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2.xml" ContentType="application/vnd.openxmlformats-officedocument.drawing+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ate1904="1" autoCompressPictures="0"/>
  <mc:AlternateContent xmlns:mc="http://schemas.openxmlformats.org/markup-compatibility/2006">
    <mc:Choice Requires="x15">
      <x15ac:absPath xmlns:x15ac="http://schemas.microsoft.com/office/spreadsheetml/2010/11/ac" url="/Users/Shared/Previously Relocated Items/Security/All My Stuff/Home Page 2002/pc/implprem/"/>
    </mc:Choice>
  </mc:AlternateContent>
  <xr:revisionPtr revIDLastSave="0" documentId="13_ncr:1_{6EEB675A-32B5-8B40-9C89-E5E5A30206F9}" xr6:coauthVersionLast="47" xr6:coauthVersionMax="47" xr10:uidLastSave="{00000000-0000-0000-0000-000000000000}"/>
  <bookViews>
    <workbookView xWindow="0" yWindow="760" windowWidth="30240" windowHeight="18880" xr2:uid="{00000000-000D-0000-FFFF-FFFF00000000}"/>
  </bookViews>
  <sheets>
    <sheet name="Impl premium calculator" sheetId="1" r:id="rId1"/>
    <sheet name="Buyback &amp; Dividend computation" sheetId="2" r:id="rId2"/>
    <sheet name="Expected growth rate" sheetId="3" r:id="rId3"/>
    <sheet name="Implied ERP- Annual since 1960" sheetId="5" r:id="rId4"/>
    <sheet name="Implied ERP (Monthly from 9-08)" sheetId="4" r:id="rId5"/>
    <sheet name="Historical ERP" sheetId="6" r:id="rId6"/>
    <sheet name="S&amp;P 500 Monthly Data (Cap IQ)" sheetId="8" r:id="rId7"/>
    <sheet name="T.Bond vs Nominal growth" sheetId="7" r:id="rId8"/>
    <sheet name="Answers" sheetId="9" r:id="rId9"/>
    <sheet name="Sheet10" sheetId="10" r:id="rId10"/>
    <sheet name="Sheet11" sheetId="11" r:id="rId11"/>
    <sheet name="Sheet12" sheetId="12" r:id="rId12"/>
    <sheet name="Sheet13" sheetId="13" r:id="rId13"/>
    <sheet name="Sheet14" sheetId="14" r:id="rId14"/>
    <sheet name="Sheet15" sheetId="15" r:id="rId15"/>
    <sheet name="Sheet16" sheetId="16" r:id="rId16"/>
  </sheets>
  <definedNames>
    <definedName name="solver_adj" localSheetId="0" hidden="1">'Impl premium calculator'!$C$40</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100</definedName>
    <definedName name="solver_lin" localSheetId="0" hidden="1">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2</definedName>
    <definedName name="solver_nod" localSheetId="0" hidden="1">2147483647</definedName>
    <definedName name="solver_num" localSheetId="0" hidden="1">0</definedName>
    <definedName name="solver_nwt" localSheetId="0" hidden="1">1</definedName>
    <definedName name="solver_opt" localSheetId="0" hidden="1">'Impl premium calculator'!$B$48</definedName>
    <definedName name="solver_pre" localSheetId="0" hidden="1">0.000001</definedName>
    <definedName name="solver_rbv" localSheetId="0" hidden="1">1</definedName>
    <definedName name="solver_rlx" localSheetId="0" hidden="1">1</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100</definedName>
    <definedName name="solver_tol" localSheetId="0" hidden="1">0.05</definedName>
    <definedName name="solver_typ" localSheetId="0" hidden="1">3</definedName>
    <definedName name="solver_val" localSheetId="0" hidden="1">1606.28</definedName>
    <definedName name="solver_ver" localSheetId="0" hidden="1">2</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182" i="4" l="1"/>
  <c r="F85" i="2"/>
  <c r="E85" i="2"/>
  <c r="D85" i="2"/>
  <c r="C85" i="2"/>
  <c r="B85" i="2"/>
  <c r="D99" i="8"/>
  <c r="H99" i="8" s="1"/>
  <c r="J99" i="8"/>
  <c r="K99" i="8" s="1"/>
  <c r="N181" i="4"/>
  <c r="H98" i="8"/>
  <c r="I98" i="8"/>
  <c r="J98" i="8"/>
  <c r="K98" i="8" s="1"/>
  <c r="C4" i="3"/>
  <c r="N180" i="4"/>
  <c r="H97" i="8"/>
  <c r="I97" i="8"/>
  <c r="J97" i="8"/>
  <c r="K97" i="8" s="1"/>
  <c r="L97" i="8"/>
  <c r="M97" i="8"/>
  <c r="N97" i="8"/>
  <c r="O97" i="8"/>
  <c r="P97" i="8"/>
  <c r="Q97" i="8"/>
  <c r="U97" i="8" s="1"/>
  <c r="R97" i="8"/>
  <c r="G10" i="3"/>
  <c r="B10" i="3"/>
  <c r="G7" i="3"/>
  <c r="B7" i="3"/>
  <c r="N179" i="4"/>
  <c r="H96" i="8"/>
  <c r="I96" i="8"/>
  <c r="J96" i="8"/>
  <c r="K96" i="8" s="1"/>
  <c r="D95" i="8"/>
  <c r="I95" i="8" s="1"/>
  <c r="H95" i="8"/>
  <c r="J95" i="8"/>
  <c r="K95" i="8" s="1"/>
  <c r="Q49" i="2"/>
  <c r="Q48" i="2"/>
  <c r="Q47" i="2"/>
  <c r="Q46" i="2"/>
  <c r="Q45" i="2"/>
  <c r="Q44" i="2"/>
  <c r="Q43" i="2"/>
  <c r="Q42" i="2"/>
  <c r="Q41" i="2"/>
  <c r="Q40" i="2"/>
  <c r="Q39" i="2"/>
  <c r="Q38" i="2"/>
  <c r="Q37" i="2"/>
  <c r="Q36" i="2"/>
  <c r="Q35" i="2"/>
  <c r="Q34" i="2"/>
  <c r="Q33" i="2"/>
  <c r="Q32" i="2"/>
  <c r="Q31" i="2"/>
  <c r="Q30" i="2"/>
  <c r="N178" i="4"/>
  <c r="G20" i="1"/>
  <c r="N177" i="4"/>
  <c r="G23" i="2"/>
  <c r="F23" i="2"/>
  <c r="E23" i="2"/>
  <c r="Q51" i="2"/>
  <c r="Q50" i="2"/>
  <c r="N51" i="2"/>
  <c r="I99" i="8" l="1"/>
  <c r="Q99" i="8" s="1"/>
  <c r="P99" i="8"/>
  <c r="O99" i="8"/>
  <c r="N99" i="8"/>
  <c r="L99" i="8"/>
  <c r="M99" i="8"/>
  <c r="P98" i="8"/>
  <c r="Q98" i="8"/>
  <c r="O98" i="8"/>
  <c r="U98" i="8" s="1"/>
  <c r="N98" i="8"/>
  <c r="M98" i="8"/>
  <c r="L98" i="8"/>
  <c r="T98" i="8"/>
  <c r="T97" i="8"/>
  <c r="S97" i="8"/>
  <c r="Q96" i="8"/>
  <c r="P96" i="8"/>
  <c r="O96" i="8"/>
  <c r="U96" i="8" s="1"/>
  <c r="N96" i="8"/>
  <c r="M96" i="8"/>
  <c r="L96" i="8"/>
  <c r="Q95" i="8"/>
  <c r="P95" i="8"/>
  <c r="O95" i="8"/>
  <c r="N95" i="8"/>
  <c r="M95" i="8"/>
  <c r="L95" i="8"/>
  <c r="D94" i="8"/>
  <c r="H94" i="8"/>
  <c r="I94" i="8"/>
  <c r="J94" i="8"/>
  <c r="P94" i="8" s="1"/>
  <c r="K94" i="8"/>
  <c r="L94" i="8"/>
  <c r="M94" i="8"/>
  <c r="N94" i="8"/>
  <c r="G51" i="2"/>
  <c r="H51" i="2" s="1"/>
  <c r="L51" i="2" s="1"/>
  <c r="J51" i="2"/>
  <c r="C23" i="2" s="1"/>
  <c r="I51" i="2"/>
  <c r="K51" i="2" s="1"/>
  <c r="D23" i="2" s="1"/>
  <c r="E55" i="2"/>
  <c r="B73" i="2" s="1"/>
  <c r="N176" i="4"/>
  <c r="D93" i="8"/>
  <c r="H93" i="8" s="1"/>
  <c r="I93" i="8"/>
  <c r="J93" i="8"/>
  <c r="N175" i="4"/>
  <c r="D92" i="8"/>
  <c r="H92" i="8" s="1"/>
  <c r="J92" i="8"/>
  <c r="L5" i="3"/>
  <c r="N174" i="4"/>
  <c r="D91" i="8"/>
  <c r="H91" i="8" s="1"/>
  <c r="J91" i="8"/>
  <c r="N91" i="8" s="1"/>
  <c r="J47" i="3"/>
  <c r="K44" i="3"/>
  <c r="K43" i="3"/>
  <c r="K42" i="3"/>
  <c r="K41" i="3"/>
  <c r="K40" i="3"/>
  <c r="K39" i="3"/>
  <c r="K38" i="3"/>
  <c r="K37" i="3"/>
  <c r="K36" i="3"/>
  <c r="K35" i="3"/>
  <c r="K34" i="3"/>
  <c r="K33" i="3"/>
  <c r="K32" i="3"/>
  <c r="K31" i="3"/>
  <c r="K30" i="3"/>
  <c r="K29" i="3"/>
  <c r="K28" i="3"/>
  <c r="N173" i="4"/>
  <c r="D90" i="8"/>
  <c r="I90" i="8" s="1"/>
  <c r="J90" i="8"/>
  <c r="N172" i="4"/>
  <c r="D89" i="8"/>
  <c r="H89" i="8" s="1"/>
  <c r="J89" i="8"/>
  <c r="N89" i="8" s="1"/>
  <c r="D88" i="8"/>
  <c r="H88" i="8" s="1"/>
  <c r="J88" i="8"/>
  <c r="K88" i="8" s="1"/>
  <c r="N171" i="4"/>
  <c r="N170" i="4"/>
  <c r="D87" i="8"/>
  <c r="J87" i="8"/>
  <c r="K87" i="8" s="1"/>
  <c r="N169" i="4"/>
  <c r="D86" i="8"/>
  <c r="I86" i="8" s="1"/>
  <c r="J86" i="8"/>
  <c r="M86" i="8" s="1"/>
  <c r="D85" i="8"/>
  <c r="H85" i="8" s="1"/>
  <c r="J85" i="8"/>
  <c r="K85" i="8" s="1"/>
  <c r="T99" i="8" l="1"/>
  <c r="U99" i="8"/>
  <c r="S99" i="8"/>
  <c r="R99" i="8"/>
  <c r="R98" i="8"/>
  <c r="S98" i="8"/>
  <c r="B23" i="2"/>
  <c r="O94" i="8"/>
  <c r="T96" i="8"/>
  <c r="R96" i="8"/>
  <c r="S96" i="8"/>
  <c r="T95" i="8"/>
  <c r="S95" i="8"/>
  <c r="R95" i="8"/>
  <c r="U95" i="8"/>
  <c r="R94" i="8"/>
  <c r="T94" i="8"/>
  <c r="S94" i="8"/>
  <c r="Q94" i="8"/>
  <c r="P93" i="8"/>
  <c r="N93" i="8"/>
  <c r="M93" i="8"/>
  <c r="K93" i="8"/>
  <c r="O93" i="8"/>
  <c r="Q93" i="8"/>
  <c r="L93" i="8"/>
  <c r="I89" i="8"/>
  <c r="Q89" i="8" s="1"/>
  <c r="U89" i="8" s="1"/>
  <c r="I92" i="8"/>
  <c r="Q92" i="8" s="1"/>
  <c r="O87" i="8"/>
  <c r="O88" i="8"/>
  <c r="N87" i="8"/>
  <c r="N88" i="8"/>
  <c r="M87" i="8"/>
  <c r="M88" i="8"/>
  <c r="H90" i="8"/>
  <c r="P90" i="8" s="1"/>
  <c r="I88" i="8"/>
  <c r="Q88" i="8" s="1"/>
  <c r="L87" i="8"/>
  <c r="O89" i="8"/>
  <c r="O92" i="8"/>
  <c r="H86" i="8"/>
  <c r="P86" i="8" s="1"/>
  <c r="I87" i="8"/>
  <c r="Q87" i="8" s="1"/>
  <c r="N92" i="8"/>
  <c r="H87" i="8"/>
  <c r="P87" i="8" s="1"/>
  <c r="P92" i="8"/>
  <c r="M92" i="8"/>
  <c r="L92" i="8"/>
  <c r="K92" i="8"/>
  <c r="I91" i="8"/>
  <c r="Q91" i="8" s="1"/>
  <c r="M91" i="8"/>
  <c r="L91" i="8"/>
  <c r="K91" i="8"/>
  <c r="P91" i="8"/>
  <c r="O91" i="8"/>
  <c r="O90" i="8"/>
  <c r="N90" i="8"/>
  <c r="M90" i="8"/>
  <c r="L90" i="8"/>
  <c r="K90" i="8"/>
  <c r="Q90" i="8"/>
  <c r="P89" i="8"/>
  <c r="M89" i="8"/>
  <c r="L89" i="8"/>
  <c r="K89" i="8"/>
  <c r="P88" i="8"/>
  <c r="L88" i="8"/>
  <c r="L86" i="8"/>
  <c r="O86" i="8"/>
  <c r="N86" i="8"/>
  <c r="K86" i="8"/>
  <c r="Q86" i="8"/>
  <c r="I85" i="8"/>
  <c r="Q85" i="8" s="1"/>
  <c r="P85" i="8"/>
  <c r="O85" i="8"/>
  <c r="N85" i="8"/>
  <c r="M85" i="8"/>
  <c r="L85" i="8"/>
  <c r="N168" i="4"/>
  <c r="N167" i="4"/>
  <c r="R87" i="8" l="1"/>
  <c r="U94" i="8"/>
  <c r="U93" i="8"/>
  <c r="T93" i="8"/>
  <c r="S93" i="8"/>
  <c r="R93" i="8"/>
  <c r="U87" i="8"/>
  <c r="S87" i="8"/>
  <c r="T89" i="8"/>
  <c r="U88" i="8"/>
  <c r="U92" i="8"/>
  <c r="T92" i="8"/>
  <c r="T88" i="8"/>
  <c r="U86" i="8"/>
  <c r="T87" i="8"/>
  <c r="T90" i="8"/>
  <c r="U90" i="8"/>
  <c r="S86" i="8"/>
  <c r="R86" i="8"/>
  <c r="R92" i="8"/>
  <c r="S92" i="8"/>
  <c r="T91" i="8"/>
  <c r="U91" i="8"/>
  <c r="R91" i="8"/>
  <c r="S91" i="8"/>
  <c r="R90" i="8"/>
  <c r="S90" i="8"/>
  <c r="R89" i="8"/>
  <c r="S89" i="8"/>
  <c r="R88" i="8"/>
  <c r="S88" i="8"/>
  <c r="T86" i="8"/>
  <c r="R85" i="8"/>
  <c r="S85" i="8"/>
  <c r="T85" i="8"/>
  <c r="U85" i="8"/>
  <c r="D84" i="8"/>
  <c r="H84" i="8" s="1"/>
  <c r="J84" i="8"/>
  <c r="N166" i="4"/>
  <c r="D83" i="8"/>
  <c r="H83" i="8" s="1"/>
  <c r="J83" i="8"/>
  <c r="N83" i="8" s="1"/>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P83" i="8" l="1"/>
  <c r="O84" i="8"/>
  <c r="P84" i="8"/>
  <c r="I84" i="8"/>
  <c r="Q84" i="8" s="1"/>
  <c r="N84" i="8"/>
  <c r="M84" i="8"/>
  <c r="L84" i="8"/>
  <c r="K84" i="8"/>
  <c r="I83" i="8"/>
  <c r="Q83" i="8" s="1"/>
  <c r="M83" i="8"/>
  <c r="L83" i="8"/>
  <c r="K83" i="8"/>
  <c r="O83" i="8"/>
  <c r="D82" i="8"/>
  <c r="H82" i="8" s="1"/>
  <c r="I82" i="8"/>
  <c r="J82" i="8"/>
  <c r="N50" i="2"/>
  <c r="T83" i="8" l="1"/>
  <c r="S83" i="8"/>
  <c r="U84" i="8"/>
  <c r="T84" i="8"/>
  <c r="R84" i="8"/>
  <c r="S84" i="8"/>
  <c r="R83" i="8"/>
  <c r="U83" i="8"/>
  <c r="P82" i="8"/>
  <c r="O82" i="8"/>
  <c r="M82" i="8"/>
  <c r="L82" i="8"/>
  <c r="K82" i="8"/>
  <c r="N82" i="8"/>
  <c r="Q82" i="8"/>
  <c r="T82" i="8" l="1"/>
  <c r="U82" i="8"/>
  <c r="S82" i="8"/>
  <c r="R82" i="8"/>
  <c r="G22" i="2"/>
  <c r="F22" i="2"/>
  <c r="E22" i="2"/>
  <c r="G50" i="2"/>
  <c r="H50" i="2" s="1"/>
  <c r="L50" i="2" s="1"/>
  <c r="J50" i="2"/>
  <c r="C22" i="2" s="1"/>
  <c r="I50" i="2"/>
  <c r="E56" i="2"/>
  <c r="J81" i="8"/>
  <c r="M81" i="8" s="1"/>
  <c r="D81" i="8"/>
  <c r="H81" i="8" s="1"/>
  <c r="J80" i="8"/>
  <c r="M80" i="8" s="1"/>
  <c r="D80" i="8"/>
  <c r="I80" i="8" s="1"/>
  <c r="G24" i="1"/>
  <c r="G23" i="1"/>
  <c r="G22" i="1"/>
  <c r="J79" i="8"/>
  <c r="M79" i="8" s="1"/>
  <c r="D79" i="8"/>
  <c r="I79" i="8" s="1"/>
  <c r="G27" i="1"/>
  <c r="B31" i="1" s="1"/>
  <c r="J78" i="8"/>
  <c r="D78" i="8"/>
  <c r="I78" i="8" s="1"/>
  <c r="J77" i="8"/>
  <c r="N77" i="8" s="1"/>
  <c r="D77" i="8"/>
  <c r="J76" i="8"/>
  <c r="M76" i="8" s="1"/>
  <c r="D76" i="8"/>
  <c r="I76" i="8" s="1"/>
  <c r="J75" i="8"/>
  <c r="M75" i="8" s="1"/>
  <c r="D75" i="8"/>
  <c r="I75" i="8" s="1"/>
  <c r="J74" i="8"/>
  <c r="D74" i="8"/>
  <c r="I74" i="8" s="1"/>
  <c r="J73" i="8"/>
  <c r="M73" i="8" s="1"/>
  <c r="D73" i="8"/>
  <c r="J72" i="8"/>
  <c r="O72" i="8" s="1"/>
  <c r="D72" i="8"/>
  <c r="J71" i="8"/>
  <c r="D71" i="8"/>
  <c r="I71" i="8" s="1"/>
  <c r="M52" i="2"/>
  <c r="J70" i="8"/>
  <c r="D70" i="8"/>
  <c r="I70" i="8" s="1"/>
  <c r="O52" i="2"/>
  <c r="F21" i="2"/>
  <c r="G21" i="2"/>
  <c r="E21" i="2"/>
  <c r="N49" i="2"/>
  <c r="G49" i="2"/>
  <c r="H49" i="2" s="1"/>
  <c r="L49" i="2" s="1"/>
  <c r="J49" i="2"/>
  <c r="C21" i="2" s="1"/>
  <c r="I49" i="2"/>
  <c r="B21" i="2" s="1"/>
  <c r="D81" i="2"/>
  <c r="E52" i="2" s="1"/>
  <c r="E57" i="2"/>
  <c r="C81" i="2"/>
  <c r="D52" i="2" s="1"/>
  <c r="J69" i="8"/>
  <c r="K69" i="8" s="1"/>
  <c r="D69" i="8"/>
  <c r="I69" i="8" s="1"/>
  <c r="B81" i="2"/>
  <c r="E58" i="2"/>
  <c r="J68" i="8"/>
  <c r="M68" i="8" s="1"/>
  <c r="D68" i="8"/>
  <c r="J67" i="8"/>
  <c r="M67" i="8" s="1"/>
  <c r="D67" i="8"/>
  <c r="D66" i="8"/>
  <c r="I66" i="8" s="1"/>
  <c r="J66" i="8"/>
  <c r="J65" i="8"/>
  <c r="N65" i="8" s="1"/>
  <c r="D65" i="8"/>
  <c r="H65" i="8" s="1"/>
  <c r="J64" i="8"/>
  <c r="O64" i="8" s="1"/>
  <c r="D64" i="8"/>
  <c r="I64" i="8" s="1"/>
  <c r="J63" i="8"/>
  <c r="K63" i="8" s="1"/>
  <c r="D63" i="8"/>
  <c r="I63" i="8" s="1"/>
  <c r="J62" i="8"/>
  <c r="K62" i="8" s="1"/>
  <c r="D62" i="8"/>
  <c r="I62" i="8" s="1"/>
  <c r="J61" i="8"/>
  <c r="N61" i="8" s="1"/>
  <c r="D61" i="8"/>
  <c r="H61" i="8" s="1"/>
  <c r="J50" i="3"/>
  <c r="J49" i="3"/>
  <c r="J48" i="3"/>
  <c r="G6" i="3"/>
  <c r="B6" i="3"/>
  <c r="G5" i="3"/>
  <c r="B5" i="3"/>
  <c r="J60" i="8"/>
  <c r="K60" i="8" s="1"/>
  <c r="D60" i="8"/>
  <c r="H60" i="8" s="1"/>
  <c r="J59" i="8"/>
  <c r="O59" i="8" s="1"/>
  <c r="I59" i="8"/>
  <c r="H59" i="8"/>
  <c r="G16" i="2"/>
  <c r="G17" i="2"/>
  <c r="G18" i="2"/>
  <c r="G19" i="2"/>
  <c r="G20" i="2"/>
  <c r="F16" i="2"/>
  <c r="F17" i="2"/>
  <c r="F18" i="2"/>
  <c r="F19" i="2"/>
  <c r="F20" i="2"/>
  <c r="E16" i="2"/>
  <c r="E17" i="2"/>
  <c r="E18" i="2"/>
  <c r="E19" i="2"/>
  <c r="E20" i="2"/>
  <c r="I44" i="2"/>
  <c r="B16" i="2" s="1"/>
  <c r="J44" i="2"/>
  <c r="C16" i="2" s="1"/>
  <c r="I45" i="2"/>
  <c r="J45" i="2"/>
  <c r="C17" i="2" s="1"/>
  <c r="I46" i="2"/>
  <c r="B18" i="2" s="1"/>
  <c r="J46" i="2"/>
  <c r="C18" i="2" s="1"/>
  <c r="I47" i="2"/>
  <c r="B19" i="2" s="1"/>
  <c r="J47" i="2"/>
  <c r="C19" i="2" s="1"/>
  <c r="I48" i="2"/>
  <c r="B20" i="2" s="1"/>
  <c r="J48" i="2"/>
  <c r="C20" i="2" s="1"/>
  <c r="G11" i="2"/>
  <c r="G12" i="2"/>
  <c r="G13" i="2"/>
  <c r="G14" i="2"/>
  <c r="G15" i="2"/>
  <c r="F11" i="2"/>
  <c r="F12" i="2"/>
  <c r="F13" i="2"/>
  <c r="F14" i="2"/>
  <c r="F15" i="2"/>
  <c r="D67" i="2"/>
  <c r="E67" i="2" s="1"/>
  <c r="D39" i="2" s="1"/>
  <c r="F66" i="2"/>
  <c r="E66" i="2"/>
  <c r="G66" i="2"/>
  <c r="G65" i="2"/>
  <c r="E65" i="2"/>
  <c r="E14" i="2"/>
  <c r="F63" i="2"/>
  <c r="E63" i="2"/>
  <c r="G63" i="2"/>
  <c r="I41" i="2"/>
  <c r="I42" i="2"/>
  <c r="B14" i="2" s="1"/>
  <c r="J42" i="2"/>
  <c r="C14" i="2" s="1"/>
  <c r="N48" i="2"/>
  <c r="G48" i="2"/>
  <c r="H48" i="2" s="1"/>
  <c r="L48" i="2" s="1"/>
  <c r="J58" i="8"/>
  <c r="N58" i="8" s="1"/>
  <c r="I58" i="8"/>
  <c r="H58" i="8"/>
  <c r="J56" i="8"/>
  <c r="D56" i="8"/>
  <c r="E59" i="2"/>
  <c r="I50" i="8"/>
  <c r="I48" i="8"/>
  <c r="I47" i="8"/>
  <c r="I41" i="8"/>
  <c r="I39" i="8"/>
  <c r="I38" i="8"/>
  <c r="I37" i="8"/>
  <c r="I31" i="8"/>
  <c r="I30" i="8"/>
  <c r="I27" i="8"/>
  <c r="I26" i="8"/>
  <c r="I24" i="8"/>
  <c r="I23" i="8"/>
  <c r="I21" i="8"/>
  <c r="I17" i="8"/>
  <c r="I16" i="8"/>
  <c r="I10" i="8"/>
  <c r="I5" i="8"/>
  <c r="J55" i="8"/>
  <c r="D55" i="8"/>
  <c r="H55" i="8" s="1"/>
  <c r="J54" i="8"/>
  <c r="N54" i="8" s="1"/>
  <c r="D54" i="8"/>
  <c r="H54" i="8" s="1"/>
  <c r="J53" i="8"/>
  <c r="O53" i="8" s="1"/>
  <c r="D53" i="8"/>
  <c r="H53" i="8" s="1"/>
  <c r="J52" i="8"/>
  <c r="M52" i="8" s="1"/>
  <c r="D52" i="8"/>
  <c r="I52" i="8" s="1"/>
  <c r="J51" i="8"/>
  <c r="M51" i="8" s="1"/>
  <c r="D51" i="8"/>
  <c r="I51" i="8" s="1"/>
  <c r="J50" i="8"/>
  <c r="L50" i="8" s="1"/>
  <c r="H50" i="8"/>
  <c r="D49" i="8"/>
  <c r="J49" i="8"/>
  <c r="O49" i="8" s="1"/>
  <c r="J48" i="8"/>
  <c r="K48" i="8" s="1"/>
  <c r="H48" i="8"/>
  <c r="N47" i="2"/>
  <c r="J46" i="8"/>
  <c r="O46" i="8" s="1"/>
  <c r="D46" i="8"/>
  <c r="I46" i="8" s="1"/>
  <c r="G47" i="2"/>
  <c r="H47" i="2" s="1"/>
  <c r="L47" i="2" s="1"/>
  <c r="G46" i="2"/>
  <c r="J45" i="8"/>
  <c r="D45" i="8"/>
  <c r="H45" i="8" s="1"/>
  <c r="J44" i="8"/>
  <c r="D44" i="8"/>
  <c r="I44" i="8" s="1"/>
  <c r="J43" i="8"/>
  <c r="M43" i="8" s="1"/>
  <c r="D43" i="8"/>
  <c r="H43" i="8" s="1"/>
  <c r="J42" i="8"/>
  <c r="O42" i="8" s="1"/>
  <c r="D42" i="8"/>
  <c r="J40" i="8"/>
  <c r="O40" i="8" s="1"/>
  <c r="D40" i="8"/>
  <c r="H40" i="8" s="1"/>
  <c r="J39" i="8"/>
  <c r="L39" i="8" s="1"/>
  <c r="H39" i="8"/>
  <c r="J38" i="8"/>
  <c r="H38" i="8"/>
  <c r="J37" i="8"/>
  <c r="O37" i="8" s="1"/>
  <c r="H37" i="8"/>
  <c r="F119" i="4"/>
  <c r="E119" i="4"/>
  <c r="D119" i="4"/>
  <c r="J36" i="8"/>
  <c r="M36" i="8" s="1"/>
  <c r="D36" i="8"/>
  <c r="I36" i="8" s="1"/>
  <c r="J35" i="8"/>
  <c r="M35" i="8" s="1"/>
  <c r="D35" i="8"/>
  <c r="I35" i="8" s="1"/>
  <c r="F69" i="2"/>
  <c r="D69" i="2"/>
  <c r="E69" i="2" s="1"/>
  <c r="G69" i="2"/>
  <c r="F68" i="2"/>
  <c r="D68" i="2"/>
  <c r="E68" i="2" s="1"/>
  <c r="G68" i="2"/>
  <c r="E60" i="2"/>
  <c r="N46" i="2"/>
  <c r="L46" i="2"/>
  <c r="J34" i="8"/>
  <c r="O34" i="8" s="1"/>
  <c r="D34" i="8"/>
  <c r="J33" i="8"/>
  <c r="K33" i="8" s="1"/>
  <c r="D33" i="8"/>
  <c r="H33" i="8" s="1"/>
  <c r="J32" i="8"/>
  <c r="M32" i="8" s="1"/>
  <c r="D32" i="8"/>
  <c r="I32" i="8" s="1"/>
  <c r="E61" i="2"/>
  <c r="G9" i="2"/>
  <c r="G10" i="2"/>
  <c r="F9" i="2"/>
  <c r="F10" i="2"/>
  <c r="B52" i="2"/>
  <c r="J31" i="8"/>
  <c r="O31" i="8" s="1"/>
  <c r="H31" i="8"/>
  <c r="E113" i="4"/>
  <c r="D113" i="4"/>
  <c r="J30" i="8"/>
  <c r="N30" i="8" s="1"/>
  <c r="H30" i="8"/>
  <c r="J29" i="8"/>
  <c r="K29" i="8" s="1"/>
  <c r="D29" i="8"/>
  <c r="I29" i="8" s="1"/>
  <c r="J28" i="8"/>
  <c r="M28" i="8" s="1"/>
  <c r="D28" i="8"/>
  <c r="I28" i="8" s="1"/>
  <c r="J27" i="8"/>
  <c r="N27" i="8" s="1"/>
  <c r="H27" i="8"/>
  <c r="J26" i="8"/>
  <c r="L26" i="8" s="1"/>
  <c r="H26" i="8"/>
  <c r="J25" i="8"/>
  <c r="D25" i="8"/>
  <c r="I25" i="8" s="1"/>
  <c r="J24" i="8"/>
  <c r="H24" i="8"/>
  <c r="N45" i="2"/>
  <c r="G45" i="2"/>
  <c r="L45" i="2"/>
  <c r="J22" i="8"/>
  <c r="D22" i="8"/>
  <c r="J20" i="8"/>
  <c r="O20" i="8" s="1"/>
  <c r="D20" i="8"/>
  <c r="I20" i="8" s="1"/>
  <c r="J19" i="8"/>
  <c r="D19" i="8"/>
  <c r="I19" i="8" s="1"/>
  <c r="D36" i="2"/>
  <c r="E36" i="2"/>
  <c r="F8" i="2"/>
  <c r="G8" i="2"/>
  <c r="J18" i="8"/>
  <c r="D18" i="8"/>
  <c r="I18" i="8" s="1"/>
  <c r="J17" i="8"/>
  <c r="H17" i="8"/>
  <c r="J16" i="8"/>
  <c r="O16" i="8" s="1"/>
  <c r="H16" i="8"/>
  <c r="J15" i="8"/>
  <c r="N15" i="8" s="1"/>
  <c r="D15" i="8"/>
  <c r="I15" i="8" s="1"/>
  <c r="J14" i="8"/>
  <c r="N14" i="8" s="1"/>
  <c r="D14" i="8"/>
  <c r="I14" i="8" s="1"/>
  <c r="E62" i="2"/>
  <c r="D35" i="2"/>
  <c r="E35" i="2"/>
  <c r="J13" i="8"/>
  <c r="N13" i="8" s="1"/>
  <c r="D13" i="8"/>
  <c r="I13" i="8" s="1"/>
  <c r="N44" i="2"/>
  <c r="G44" i="2"/>
  <c r="H44" i="2" s="1"/>
  <c r="L44" i="2" s="1"/>
  <c r="G7" i="2"/>
  <c r="F7" i="2"/>
  <c r="D7" i="2"/>
  <c r="J12" i="8"/>
  <c r="K12" i="8" s="1"/>
  <c r="D12" i="8"/>
  <c r="H12" i="8" s="1"/>
  <c r="J11" i="8"/>
  <c r="N11" i="8" s="1"/>
  <c r="D11" i="8"/>
  <c r="I11" i="8" s="1"/>
  <c r="J10" i="8"/>
  <c r="O10" i="8" s="1"/>
  <c r="H10" i="8"/>
  <c r="J9" i="8"/>
  <c r="D9" i="8"/>
  <c r="I9" i="8" s="1"/>
  <c r="B42" i="1"/>
  <c r="H42" i="1"/>
  <c r="N43" i="2"/>
  <c r="N42" i="2"/>
  <c r="N41" i="2"/>
  <c r="N40" i="2"/>
  <c r="N39" i="2"/>
  <c r="N38" i="2"/>
  <c r="N37" i="2"/>
  <c r="N36" i="2"/>
  <c r="N35" i="2"/>
  <c r="N34" i="2"/>
  <c r="N33" i="2"/>
  <c r="N32" i="2"/>
  <c r="N31" i="2"/>
  <c r="N30" i="2"/>
  <c r="J8" i="8"/>
  <c r="O8" i="8" s="1"/>
  <c r="D8" i="8"/>
  <c r="I8" i="8" s="1"/>
  <c r="H43" i="2"/>
  <c r="L43" i="2" s="1"/>
  <c r="J7" i="8"/>
  <c r="M7" i="8" s="1"/>
  <c r="D7" i="8"/>
  <c r="I7" i="8" s="1"/>
  <c r="J6" i="8"/>
  <c r="K6" i="8" s="1"/>
  <c r="D6" i="8"/>
  <c r="H6" i="8" s="1"/>
  <c r="J5" i="8"/>
  <c r="L5" i="8" s="1"/>
  <c r="H5" i="8"/>
  <c r="D4" i="8"/>
  <c r="H4" i="8" s="1"/>
  <c r="J4" i="8"/>
  <c r="F6" i="2"/>
  <c r="G6" i="2"/>
  <c r="D33" i="2"/>
  <c r="E33" i="2"/>
  <c r="D34" i="2"/>
  <c r="E34" i="2"/>
  <c r="D6" i="2"/>
  <c r="G64" i="2"/>
  <c r="F64" i="2"/>
  <c r="E64" i="2"/>
  <c r="E31" i="4"/>
  <c r="E32" i="4" s="1"/>
  <c r="E29" i="4"/>
  <c r="G5" i="2"/>
  <c r="F5" i="2"/>
  <c r="D5" i="2"/>
  <c r="D31" i="2"/>
  <c r="E31" i="2"/>
  <c r="D32" i="2"/>
  <c r="E32" i="2"/>
  <c r="E29" i="7"/>
  <c r="F29" i="7" s="1"/>
  <c r="E30" i="7"/>
  <c r="F30" i="7" s="1"/>
  <c r="E31" i="7"/>
  <c r="E32" i="7"/>
  <c r="E33" i="7"/>
  <c r="F33" i="7" s="1"/>
  <c r="E34" i="7"/>
  <c r="F34" i="7" s="1"/>
  <c r="E35" i="7"/>
  <c r="F35" i="7" s="1"/>
  <c r="E36" i="7"/>
  <c r="F36" i="7" s="1"/>
  <c r="E37" i="7"/>
  <c r="F37" i="7" s="1"/>
  <c r="E38" i="7"/>
  <c r="E39" i="7"/>
  <c r="F39" i="7" s="1"/>
  <c r="E40" i="7"/>
  <c r="F40" i="7" s="1"/>
  <c r="E41" i="7"/>
  <c r="F41" i="7" s="1"/>
  <c r="E42" i="7"/>
  <c r="F42" i="7" s="1"/>
  <c r="E43" i="7"/>
  <c r="F43" i="7" s="1"/>
  <c r="E44" i="7"/>
  <c r="F44" i="7" s="1"/>
  <c r="E45" i="7"/>
  <c r="F45" i="7" s="1"/>
  <c r="E46" i="7"/>
  <c r="F46" i="7" s="1"/>
  <c r="E47" i="7"/>
  <c r="E48" i="7"/>
  <c r="E49" i="7"/>
  <c r="F49" i="7" s="1"/>
  <c r="E50" i="7"/>
  <c r="E51" i="7"/>
  <c r="F51" i="7" s="1"/>
  <c r="E52" i="7"/>
  <c r="E53" i="7"/>
  <c r="F53" i="7" s="1"/>
  <c r="E54" i="7"/>
  <c r="F54" i="7" s="1"/>
  <c r="E55" i="7"/>
  <c r="F55" i="7" s="1"/>
  <c r="E56" i="7"/>
  <c r="F56" i="7" s="1"/>
  <c r="E57" i="7"/>
  <c r="E58" i="7"/>
  <c r="F58" i="7" s="1"/>
  <c r="E59" i="7"/>
  <c r="F59" i="7" s="1"/>
  <c r="E60" i="7"/>
  <c r="F60" i="7" s="1"/>
  <c r="E2" i="7"/>
  <c r="F2" i="7" s="1"/>
  <c r="E3" i="7"/>
  <c r="F3" i="7" s="1"/>
  <c r="E4" i="7"/>
  <c r="F4" i="7" s="1"/>
  <c r="E5" i="7"/>
  <c r="F5" i="7" s="1"/>
  <c r="E6" i="7"/>
  <c r="F6" i="7" s="1"/>
  <c r="E7" i="7"/>
  <c r="F7" i="7" s="1"/>
  <c r="E8" i="7"/>
  <c r="F8" i="7" s="1"/>
  <c r="E9" i="7"/>
  <c r="F9" i="7" s="1"/>
  <c r="E10" i="7"/>
  <c r="F10" i="7" s="1"/>
  <c r="E11" i="7"/>
  <c r="F11" i="7" s="1"/>
  <c r="E12" i="7"/>
  <c r="F12" i="7" s="1"/>
  <c r="E13" i="7"/>
  <c r="E14" i="7"/>
  <c r="F14" i="7" s="1"/>
  <c r="E15" i="7"/>
  <c r="F15" i="7" s="1"/>
  <c r="E16" i="7"/>
  <c r="F16" i="7" s="1"/>
  <c r="E17" i="7"/>
  <c r="F17" i="7" s="1"/>
  <c r="E18" i="7"/>
  <c r="E19" i="7"/>
  <c r="F19" i="7" s="1"/>
  <c r="E20" i="7"/>
  <c r="F20" i="7" s="1"/>
  <c r="E21" i="7"/>
  <c r="F21" i="7" s="1"/>
  <c r="E22" i="7"/>
  <c r="F22" i="7" s="1"/>
  <c r="E23" i="7"/>
  <c r="F23" i="7" s="1"/>
  <c r="E24" i="7"/>
  <c r="F24" i="7" s="1"/>
  <c r="E25" i="7"/>
  <c r="F25" i="7" s="1"/>
  <c r="E26" i="7"/>
  <c r="F26" i="7" s="1"/>
  <c r="E27" i="7"/>
  <c r="F27" i="7" s="1"/>
  <c r="E28" i="7"/>
  <c r="F28" i="7"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G32" i="4"/>
  <c r="G2" i="2"/>
  <c r="G3" i="2"/>
  <c r="G4" i="2"/>
  <c r="F2" i="2"/>
  <c r="F3" i="2"/>
  <c r="F4" i="2"/>
  <c r="D30" i="2"/>
  <c r="E30" i="2"/>
  <c r="F65" i="2"/>
  <c r="D4" i="2"/>
  <c r="D3" i="2"/>
  <c r="D71" i="2"/>
  <c r="E71" i="2" s="1"/>
  <c r="D70" i="2"/>
  <c r="E70" i="2" s="1"/>
  <c r="G70" i="2"/>
  <c r="F70" i="2"/>
  <c r="D2" i="2"/>
  <c r="C6" i="2"/>
  <c r="B6" i="2"/>
  <c r="C5" i="2"/>
  <c r="B5" i="2"/>
  <c r="C4" i="2"/>
  <c r="B4" i="2"/>
  <c r="C3" i="2"/>
  <c r="B3" i="2"/>
  <c r="C2" i="2"/>
  <c r="B8" i="2"/>
  <c r="C8" i="2"/>
  <c r="B7" i="2"/>
  <c r="C7" i="2"/>
  <c r="B2" i="2"/>
  <c r="E81" i="2"/>
  <c r="G9" i="3" l="1"/>
  <c r="G8" i="3"/>
  <c r="B8" i="3"/>
  <c r="B9" i="3"/>
  <c r="F24" i="2"/>
  <c r="F25" i="2"/>
  <c r="G24" i="2"/>
  <c r="G25" i="2"/>
  <c r="E25" i="2"/>
  <c r="M10" i="8"/>
  <c r="O32" i="8"/>
  <c r="P40" i="8"/>
  <c r="T40" i="8" s="1"/>
  <c r="P45" i="8"/>
  <c r="P17" i="8"/>
  <c r="K27" i="8"/>
  <c r="L27" i="8"/>
  <c r="Q63" i="8"/>
  <c r="N69" i="8"/>
  <c r="M63" i="8"/>
  <c r="L66" i="8"/>
  <c r="Q69" i="8"/>
  <c r="L52" i="8"/>
  <c r="K37" i="8"/>
  <c r="N10" i="8"/>
  <c r="O11" i="8"/>
  <c r="N8" i="8"/>
  <c r="O69" i="8"/>
  <c r="M72" i="8"/>
  <c r="H7" i="8"/>
  <c r="P7" i="8" s="1"/>
  <c r="H14" i="8"/>
  <c r="P14" i="8" s="1"/>
  <c r="K44" i="2"/>
  <c r="D16" i="2" s="1"/>
  <c r="N72" i="8"/>
  <c r="L18" i="8"/>
  <c r="L37" i="8"/>
  <c r="R37" i="8" s="1"/>
  <c r="G54" i="7"/>
  <c r="M37" i="8"/>
  <c r="P60" i="8"/>
  <c r="M33" i="8"/>
  <c r="Q8" i="8"/>
  <c r="U8" i="8" s="1"/>
  <c r="M69" i="8"/>
  <c r="M8" i="8"/>
  <c r="H15" i="8"/>
  <c r="P15" i="8" s="1"/>
  <c r="H35" i="8"/>
  <c r="P35" i="8" s="1"/>
  <c r="P37" i="8"/>
  <c r="T37" i="8" s="1"/>
  <c r="G23" i="7"/>
  <c r="O54" i="8"/>
  <c r="P16" i="8"/>
  <c r="T16" i="8" s="1"/>
  <c r="P30" i="8"/>
  <c r="P33" i="8"/>
  <c r="Q38" i="8"/>
  <c r="P54" i="8"/>
  <c r="G46" i="7"/>
  <c r="N33" i="8"/>
  <c r="K8" i="8"/>
  <c r="M12" i="8"/>
  <c r="K52" i="8"/>
  <c r="M54" i="8"/>
  <c r="N42" i="8"/>
  <c r="G32" i="7"/>
  <c r="N6" i="8"/>
  <c r="G20" i="7"/>
  <c r="N18" i="8"/>
  <c r="H11" i="8"/>
  <c r="P11" i="8" s="1"/>
  <c r="I40" i="8"/>
  <c r="Q40" i="8" s="1"/>
  <c r="U40" i="8" s="1"/>
  <c r="G40" i="7"/>
  <c r="G36" i="7"/>
  <c r="G35" i="2"/>
  <c r="G33" i="7"/>
  <c r="K51" i="8"/>
  <c r="N20" i="8"/>
  <c r="G50" i="7"/>
  <c r="G31" i="2"/>
  <c r="N12" i="8"/>
  <c r="N26" i="8"/>
  <c r="G18" i="7"/>
  <c r="G44" i="7"/>
  <c r="E63" i="7"/>
  <c r="Q51" i="8"/>
  <c r="K54" i="8"/>
  <c r="Q27" i="8"/>
  <c r="O61" i="8"/>
  <c r="K67" i="8"/>
  <c r="Q31" i="8"/>
  <c r="U31" i="8" s="1"/>
  <c r="F50" i="7"/>
  <c r="G28" i="7"/>
  <c r="G55" i="7"/>
  <c r="L25" i="8"/>
  <c r="L44" i="8"/>
  <c r="G37" i="7"/>
  <c r="F38" i="7"/>
  <c r="G22" i="7"/>
  <c r="L31" i="8"/>
  <c r="R31" i="8" s="1"/>
  <c r="N28" i="8"/>
  <c r="H25" i="8"/>
  <c r="P25" i="8" s="1"/>
  <c r="G9" i="7"/>
  <c r="M31" i="8"/>
  <c r="K31" i="8"/>
  <c r="M5" i="8"/>
  <c r="Q37" i="8"/>
  <c r="U37" i="8" s="1"/>
  <c r="H19" i="8"/>
  <c r="P19" i="8" s="1"/>
  <c r="M20" i="8"/>
  <c r="G52" i="7"/>
  <c r="P12" i="8"/>
  <c r="H18" i="8"/>
  <c r="P18" i="8" s="1"/>
  <c r="I53" i="8"/>
  <c r="Q53" i="8" s="1"/>
  <c r="U53" i="8" s="1"/>
  <c r="I61" i="8"/>
  <c r="Q61" i="8" s="1"/>
  <c r="G31" i="7"/>
  <c r="O67" i="8"/>
  <c r="G48" i="7"/>
  <c r="G35" i="7"/>
  <c r="M16" i="8"/>
  <c r="N16" i="8"/>
  <c r="G25" i="7"/>
  <c r="G38" i="7"/>
  <c r="E8" i="2"/>
  <c r="G39" i="7"/>
  <c r="G11" i="7"/>
  <c r="P31" i="8"/>
  <c r="T31" i="8" s="1"/>
  <c r="K28" i="8"/>
  <c r="N37" i="8"/>
  <c r="G10" i="7"/>
  <c r="G7" i="7"/>
  <c r="E61" i="7"/>
  <c r="Q20" i="8"/>
  <c r="U20" i="8" s="1"/>
  <c r="P50" i="8"/>
  <c r="Q46" i="8"/>
  <c r="U46" i="8" s="1"/>
  <c r="G17" i="7"/>
  <c r="L22" i="8"/>
  <c r="G19" i="7"/>
  <c r="N31" i="8"/>
  <c r="G47" i="7"/>
  <c r="M13" i="8"/>
  <c r="G2" i="7"/>
  <c r="G34" i="7"/>
  <c r="G42" i="7"/>
  <c r="G16" i="7"/>
  <c r="O13" i="8"/>
  <c r="F48" i="7"/>
  <c r="O12" i="8"/>
  <c r="F18" i="7"/>
  <c r="G13" i="7"/>
  <c r="G53" i="7"/>
  <c r="G51" i="7"/>
  <c r="Q13" i="8"/>
  <c r="K20" i="8"/>
  <c r="P39" i="8"/>
  <c r="Q50" i="8"/>
  <c r="K65" i="8"/>
  <c r="H8" i="8"/>
  <c r="P8" i="8" s="1"/>
  <c r="T8" i="8" s="1"/>
  <c r="Q7" i="8"/>
  <c r="M14" i="8"/>
  <c r="G12" i="7"/>
  <c r="K42" i="8"/>
  <c r="Q59" i="8"/>
  <c r="U59" i="8" s="1"/>
  <c r="K64" i="8"/>
  <c r="G21" i="7"/>
  <c r="M6" i="8"/>
  <c r="G49" i="7"/>
  <c r="G26" i="7"/>
  <c r="G41" i="7"/>
  <c r="G14" i="7"/>
  <c r="G15" i="7"/>
  <c r="F57" i="7"/>
  <c r="F52" i="7"/>
  <c r="F47" i="7"/>
  <c r="F32" i="7"/>
  <c r="O26" i="8"/>
  <c r="R26" i="8" s="1"/>
  <c r="H29" i="8"/>
  <c r="P29" i="8" s="1"/>
  <c r="Q32" i="8"/>
  <c r="U32" i="8" s="1"/>
  <c r="N34" i="8"/>
  <c r="O38" i="8"/>
  <c r="H44" i="8"/>
  <c r="P44" i="8" s="1"/>
  <c r="Q26" i="8"/>
  <c r="E43" i="2"/>
  <c r="J43" i="2" s="1"/>
  <c r="C15" i="2" s="1"/>
  <c r="N62" i="8"/>
  <c r="Q64" i="8"/>
  <c r="U64" i="8" s="1"/>
  <c r="K68" i="8"/>
  <c r="L68" i="8"/>
  <c r="K34" i="8"/>
  <c r="G5" i="7"/>
  <c r="G43" i="7"/>
  <c r="Q14" i="8"/>
  <c r="K26" i="8"/>
  <c r="S26" i="8" s="1"/>
  <c r="G3" i="7"/>
  <c r="G45" i="7"/>
  <c r="G4" i="7"/>
  <c r="G29" i="7"/>
  <c r="G6" i="7"/>
  <c r="G27" i="7"/>
  <c r="G8" i="7"/>
  <c r="G30" i="7"/>
  <c r="L14" i="8"/>
  <c r="K13" i="8"/>
  <c r="K11" i="8"/>
  <c r="F31" i="7"/>
  <c r="K39" i="8"/>
  <c r="S39" i="8" s="1"/>
  <c r="Q39" i="8"/>
  <c r="O28" i="8"/>
  <c r="P26" i="8"/>
  <c r="M18" i="8"/>
  <c r="L30" i="8"/>
  <c r="Q11" i="8"/>
  <c r="P27" i="8"/>
  <c r="Q35" i="8"/>
  <c r="Q44" i="8"/>
  <c r="L45" i="8"/>
  <c r="O51" i="8"/>
  <c r="I65" i="8"/>
  <c r="Q65" i="8" s="1"/>
  <c r="N44" i="8"/>
  <c r="G24" i="7"/>
  <c r="E62" i="7"/>
  <c r="F13" i="7"/>
  <c r="N7" i="8"/>
  <c r="O6" i="8"/>
  <c r="M11" i="8"/>
  <c r="L8" i="8"/>
  <c r="M26" i="8"/>
  <c r="L7" i="8"/>
  <c r="K18" i="8"/>
  <c r="G33" i="2"/>
  <c r="P6" i="8"/>
  <c r="H9" i="8"/>
  <c r="P9" i="8" s="1"/>
  <c r="Q28" i="8"/>
  <c r="D38" i="2"/>
  <c r="I38" i="2" s="1"/>
  <c r="H36" i="8"/>
  <c r="P36" i="8" s="1"/>
  <c r="K46" i="8"/>
  <c r="N51" i="8"/>
  <c r="L55" i="8"/>
  <c r="L63" i="8"/>
  <c r="S63" i="8" s="1"/>
  <c r="E41" i="2"/>
  <c r="E13" i="2" s="1"/>
  <c r="K48" i="2"/>
  <c r="D20" i="2" s="1"/>
  <c r="K49" i="2"/>
  <c r="D21" i="2" s="1"/>
  <c r="K50" i="2"/>
  <c r="D22" i="2" s="1"/>
  <c r="E5" i="2"/>
  <c r="B22" i="2"/>
  <c r="D43" i="2"/>
  <c r="J52" i="2"/>
  <c r="E4" i="2"/>
  <c r="E40" i="2"/>
  <c r="J40" i="2" s="1"/>
  <c r="C12" i="2" s="1"/>
  <c r="E37" i="2"/>
  <c r="J37" i="2" s="1"/>
  <c r="C9" i="2" s="1"/>
  <c r="K42" i="2"/>
  <c r="D14" i="2" s="1"/>
  <c r="K45" i="2"/>
  <c r="D17" i="2" s="1"/>
  <c r="G30" i="2"/>
  <c r="B17" i="2"/>
  <c r="E3" i="2"/>
  <c r="E7" i="2"/>
  <c r="I52" i="2"/>
  <c r="C52" i="2"/>
  <c r="G13" i="1" s="1"/>
  <c r="K47" i="2"/>
  <c r="D19" i="2" s="1"/>
  <c r="D25" i="2" s="1"/>
  <c r="G36" i="2"/>
  <c r="K36" i="2" s="1"/>
  <c r="D8" i="2" s="1"/>
  <c r="K46" i="2"/>
  <c r="D18" i="2" s="1"/>
  <c r="D37" i="2"/>
  <c r="I37" i="2" s="1"/>
  <c r="D40" i="2"/>
  <c r="I40" i="2" s="1"/>
  <c r="E6" i="2"/>
  <c r="E38" i="2"/>
  <c r="J38" i="2" s="1"/>
  <c r="C10" i="2" s="1"/>
  <c r="E39" i="2"/>
  <c r="J39" i="2" s="1"/>
  <c r="C11" i="2" s="1"/>
  <c r="I39" i="2"/>
  <c r="G34" i="2"/>
  <c r="G32" i="2"/>
  <c r="E2" i="2"/>
  <c r="B13" i="2"/>
  <c r="P43" i="8"/>
  <c r="H46" i="8"/>
  <c r="P46" i="8" s="1"/>
  <c r="T46" i="8" s="1"/>
  <c r="H62" i="8"/>
  <c r="P62" i="8" s="1"/>
  <c r="K72" i="8"/>
  <c r="O77" i="8"/>
  <c r="I81" i="8"/>
  <c r="Q81" i="8" s="1"/>
  <c r="Q9" i="8"/>
  <c r="L29" i="8"/>
  <c r="S29" i="8" s="1"/>
  <c r="O58" i="8"/>
  <c r="Q36" i="8"/>
  <c r="K38" i="8"/>
  <c r="N29" i="8"/>
  <c r="L48" i="8"/>
  <c r="S48" i="8" s="1"/>
  <c r="N49" i="8"/>
  <c r="N52" i="8"/>
  <c r="I45" i="8"/>
  <c r="Q45" i="8" s="1"/>
  <c r="K56" i="8"/>
  <c r="N56" i="8"/>
  <c r="N43" i="8"/>
  <c r="L15" i="8"/>
  <c r="Q16" i="8"/>
  <c r="U16" i="8" s="1"/>
  <c r="K14" i="8"/>
  <c r="L32" i="8"/>
  <c r="R32" i="8" s="1"/>
  <c r="O35" i="8"/>
  <c r="O7" i="8"/>
  <c r="O14" i="8"/>
  <c r="L16" i="8"/>
  <c r="R16" i="8" s="1"/>
  <c r="H28" i="8"/>
  <c r="P28" i="8" s="1"/>
  <c r="H32" i="8"/>
  <c r="P32" i="8" s="1"/>
  <c r="K35" i="8"/>
  <c r="N39" i="8"/>
  <c r="L46" i="8"/>
  <c r="R46" i="8" s="1"/>
  <c r="M46" i="8"/>
  <c r="Q48" i="8"/>
  <c r="M49" i="8"/>
  <c r="Q52" i="8"/>
  <c r="L56" i="8"/>
  <c r="O56" i="8"/>
  <c r="L65" i="8"/>
  <c r="H66" i="8"/>
  <c r="P66" i="8" s="1"/>
  <c r="N68" i="8"/>
  <c r="L75" i="8"/>
  <c r="N75" i="8"/>
  <c r="M56" i="8"/>
  <c r="P38" i="8"/>
  <c r="L36" i="8"/>
  <c r="L28" i="8"/>
  <c r="O33" i="8"/>
  <c r="O43" i="8"/>
  <c r="N46" i="8"/>
  <c r="N48" i="8"/>
  <c r="L49" i="8"/>
  <c r="L53" i="8"/>
  <c r="R53" i="8" s="1"/>
  <c r="P58" i="8"/>
  <c r="I60" i="8"/>
  <c r="Q60" i="8" s="1"/>
  <c r="O63" i="8"/>
  <c r="N64" i="8"/>
  <c r="O65" i="8"/>
  <c r="O68" i="8"/>
  <c r="L67" i="8"/>
  <c r="L72" i="8"/>
  <c r="R72" i="8" s="1"/>
  <c r="O75" i="8"/>
  <c r="H79" i="8"/>
  <c r="P79" i="8" s="1"/>
  <c r="L64" i="8"/>
  <c r="R64" i="8" s="1"/>
  <c r="M9" i="8"/>
  <c r="K22" i="8"/>
  <c r="K7" i="8"/>
  <c r="K43" i="8"/>
  <c r="O48" i="8"/>
  <c r="K58" i="8"/>
  <c r="P48" i="8"/>
  <c r="K50" i="8"/>
  <c r="S50" i="8" s="1"/>
  <c r="N53" i="8"/>
  <c r="H56" i="8"/>
  <c r="P56" i="8" s="1"/>
  <c r="Q62" i="8"/>
  <c r="N63" i="8"/>
  <c r="M64" i="8"/>
  <c r="H72" i="8"/>
  <c r="P72" i="8" s="1"/>
  <c r="T72" i="8" s="1"/>
  <c r="M45" i="8"/>
  <c r="N25" i="8"/>
  <c r="N36" i="8"/>
  <c r="K16" i="8"/>
  <c r="O39" i="8"/>
  <c r="O36" i="8"/>
  <c r="O18" i="8"/>
  <c r="L11" i="8"/>
  <c r="M39" i="8"/>
  <c r="N38" i="8"/>
  <c r="L10" i="8"/>
  <c r="R10" i="8" s="1"/>
  <c r="K36" i="8"/>
  <c r="Q18" i="8"/>
  <c r="O15" i="8"/>
  <c r="Q29" i="8"/>
  <c r="M48" i="8"/>
  <c r="O50" i="8"/>
  <c r="P53" i="8"/>
  <c r="T53" i="8" s="1"/>
  <c r="L54" i="8"/>
  <c r="I54" i="8"/>
  <c r="Q54" i="8" s="1"/>
  <c r="I56" i="8"/>
  <c r="Q56" i="8" s="1"/>
  <c r="K59" i="8"/>
  <c r="K61" i="8"/>
  <c r="O62" i="8"/>
  <c r="N67" i="8"/>
  <c r="I72" i="8"/>
  <c r="Q72" i="8" s="1"/>
  <c r="U72" i="8" s="1"/>
  <c r="K4" i="8"/>
  <c r="O4" i="8"/>
  <c r="M4" i="8"/>
  <c r="L4" i="8"/>
  <c r="K19" i="8"/>
  <c r="Q19" i="8"/>
  <c r="L19" i="8"/>
  <c r="M22" i="8"/>
  <c r="O22" i="8"/>
  <c r="N24" i="8"/>
  <c r="K24" i="8"/>
  <c r="O24" i="8"/>
  <c r="P24" i="8"/>
  <c r="Q70" i="8"/>
  <c r="O70" i="8"/>
  <c r="N70" i="8"/>
  <c r="M70" i="8"/>
  <c r="L70" i="8"/>
  <c r="K70" i="8"/>
  <c r="M74" i="8"/>
  <c r="Q74" i="8"/>
  <c r="I77" i="8"/>
  <c r="Q77" i="8" s="1"/>
  <c r="H77" i="8"/>
  <c r="P77" i="8" s="1"/>
  <c r="M15" i="8"/>
  <c r="M24" i="8"/>
  <c r="I4" i="8"/>
  <c r="Q4" i="8" s="1"/>
  <c r="H13" i="8"/>
  <c r="P13" i="8" s="1"/>
  <c r="L13" i="8"/>
  <c r="H20" i="8"/>
  <c r="P20" i="8" s="1"/>
  <c r="T20" i="8" s="1"/>
  <c r="Q30" i="8"/>
  <c r="M30" i="8"/>
  <c r="K30" i="8"/>
  <c r="L33" i="8"/>
  <c r="I33" i="8"/>
  <c r="Q33" i="8" s="1"/>
  <c r="K40" i="8"/>
  <c r="L40" i="8"/>
  <c r="M40" i="8"/>
  <c r="O17" i="8"/>
  <c r="Q17" i="8"/>
  <c r="K17" i="8"/>
  <c r="M17" i="8"/>
  <c r="N17" i="8"/>
  <c r="M38" i="8"/>
  <c r="L38" i="8"/>
  <c r="O19" i="8"/>
  <c r="K15" i="8"/>
  <c r="Q15" i="8"/>
  <c r="Q25" i="8"/>
  <c r="O25" i="8"/>
  <c r="L35" i="8"/>
  <c r="K45" i="8"/>
  <c r="N45" i="8"/>
  <c r="Q71" i="8"/>
  <c r="O71" i="8"/>
  <c r="N71" i="8"/>
  <c r="M71" i="8"/>
  <c r="L71" i="8"/>
  <c r="K71" i="8"/>
  <c r="I73" i="8"/>
  <c r="Q73" i="8" s="1"/>
  <c r="H73" i="8"/>
  <c r="P73" i="8" s="1"/>
  <c r="P4" i="8"/>
  <c r="L9" i="8"/>
  <c r="K9" i="8"/>
  <c r="O9" i="8"/>
  <c r="M25" i="8"/>
  <c r="L20" i="8"/>
  <c r="P5" i="8"/>
  <c r="N5" i="8"/>
  <c r="K5" i="8"/>
  <c r="S5" i="8" s="1"/>
  <c r="Q5" i="8"/>
  <c r="I42" i="8"/>
  <c r="Q42" i="8" s="1"/>
  <c r="U42" i="8" s="1"/>
  <c r="H42" i="8"/>
  <c r="P42" i="8" s="1"/>
  <c r="T42" i="8" s="1"/>
  <c r="N9" i="8"/>
  <c r="O5" i="8"/>
  <c r="R5" i="8" s="1"/>
  <c r="N19" i="8"/>
  <c r="K25" i="8"/>
  <c r="Q24" i="8"/>
  <c r="M27" i="8"/>
  <c r="O27" i="8"/>
  <c r="O29" i="8"/>
  <c r="M29" i="8"/>
  <c r="I34" i="8"/>
  <c r="Q34" i="8" s="1"/>
  <c r="U34" i="8" s="1"/>
  <c r="H34" i="8"/>
  <c r="P34" i="8" s="1"/>
  <c r="T34" i="8" s="1"/>
  <c r="I43" i="8"/>
  <c r="Q43" i="8" s="1"/>
  <c r="L43" i="8"/>
  <c r="O45" i="8"/>
  <c r="N40" i="8"/>
  <c r="L17" i="8"/>
  <c r="N4" i="8"/>
  <c r="N35" i="8"/>
  <c r="M19" i="8"/>
  <c r="N22" i="8"/>
  <c r="I6" i="8"/>
  <c r="Q6" i="8" s="1"/>
  <c r="L6" i="8"/>
  <c r="P10" i="8"/>
  <c r="T10" i="8" s="1"/>
  <c r="Q10" i="8"/>
  <c r="U10" i="8" s="1"/>
  <c r="K10" i="8"/>
  <c r="I12" i="8"/>
  <c r="Q12" i="8" s="1"/>
  <c r="L12" i="8"/>
  <c r="I22" i="8"/>
  <c r="Q22" i="8" s="1"/>
  <c r="H22" i="8"/>
  <c r="P22" i="8" s="1"/>
  <c r="L24" i="8"/>
  <c r="O30" i="8"/>
  <c r="K32" i="8"/>
  <c r="N32" i="8"/>
  <c r="M34" i="8"/>
  <c r="L34" i="8"/>
  <c r="M42" i="8"/>
  <c r="L42" i="8"/>
  <c r="O44" i="8"/>
  <c r="M44" i="8"/>
  <c r="K44" i="8"/>
  <c r="N50" i="8"/>
  <c r="K53" i="8"/>
  <c r="M55" i="8"/>
  <c r="L59" i="8"/>
  <c r="M60" i="8"/>
  <c r="P61" i="8"/>
  <c r="H49" i="8"/>
  <c r="P49" i="8" s="1"/>
  <c r="T49" i="8" s="1"/>
  <c r="N55" i="8"/>
  <c r="I55" i="8"/>
  <c r="Q55" i="8" s="1"/>
  <c r="M59" i="8"/>
  <c r="M62" i="8"/>
  <c r="N66" i="8"/>
  <c r="L69" i="8"/>
  <c r="M53" i="8"/>
  <c r="O55" i="8"/>
  <c r="Q66" i="8"/>
  <c r="H67" i="8"/>
  <c r="P67" i="8" s="1"/>
  <c r="H68" i="8"/>
  <c r="P68" i="8" s="1"/>
  <c r="H70" i="8"/>
  <c r="P70" i="8" s="1"/>
  <c r="H71" i="8"/>
  <c r="P71" i="8" s="1"/>
  <c r="N79" i="8"/>
  <c r="M50" i="8"/>
  <c r="H51" i="8"/>
  <c r="P51" i="8" s="1"/>
  <c r="H52" i="8"/>
  <c r="P52" i="8" s="1"/>
  <c r="I49" i="8"/>
  <c r="Q49" i="8" s="1"/>
  <c r="U49" i="8" s="1"/>
  <c r="L58" i="8"/>
  <c r="N59" i="8"/>
  <c r="O60" i="8"/>
  <c r="L61" i="8"/>
  <c r="M61" i="8"/>
  <c r="H63" i="8"/>
  <c r="P63" i="8" s="1"/>
  <c r="P65" i="8"/>
  <c r="M65" i="8"/>
  <c r="K66" i="8"/>
  <c r="I67" i="8"/>
  <c r="Q67" i="8" s="1"/>
  <c r="I68" i="8"/>
  <c r="Q68" i="8" s="1"/>
  <c r="H69" i="8"/>
  <c r="P69" i="8" s="1"/>
  <c r="H75" i="8"/>
  <c r="P75" i="8" s="1"/>
  <c r="K77" i="8"/>
  <c r="H78" i="8"/>
  <c r="P78" i="8" s="1"/>
  <c r="H80" i="8"/>
  <c r="P80" i="8" s="1"/>
  <c r="P55" i="8"/>
  <c r="P59" i="8"/>
  <c r="T59" i="8" s="1"/>
  <c r="N60" i="8"/>
  <c r="H76" i="8"/>
  <c r="P76" i="8" s="1"/>
  <c r="L77" i="8"/>
  <c r="K49" i="8"/>
  <c r="L51" i="8"/>
  <c r="O52" i="8"/>
  <c r="K55" i="8"/>
  <c r="Q58" i="8"/>
  <c r="M58" i="8"/>
  <c r="L60" i="8"/>
  <c r="L62" i="8"/>
  <c r="H64" i="8"/>
  <c r="P64" i="8" s="1"/>
  <c r="T64" i="8" s="1"/>
  <c r="O66" i="8"/>
  <c r="H74" i="8"/>
  <c r="P74" i="8" s="1"/>
  <c r="M77" i="8"/>
  <c r="L78" i="8"/>
  <c r="M66" i="8"/>
  <c r="K75" i="8"/>
  <c r="M78" i="8"/>
  <c r="N81" i="8"/>
  <c r="O81" i="8"/>
  <c r="P81" i="8"/>
  <c r="K81" i="8"/>
  <c r="L81" i="8"/>
  <c r="N80" i="8"/>
  <c r="O80" i="8"/>
  <c r="Q80" i="8"/>
  <c r="L80" i="8"/>
  <c r="K80" i="8"/>
  <c r="O79" i="8"/>
  <c r="Q79" i="8"/>
  <c r="K79" i="8"/>
  <c r="L79" i="8"/>
  <c r="B43" i="1"/>
  <c r="N78" i="8"/>
  <c r="O78" i="8"/>
  <c r="Q78" i="8"/>
  <c r="K78" i="8"/>
  <c r="N76" i="8"/>
  <c r="O76" i="8"/>
  <c r="Q76" i="8"/>
  <c r="K76" i="8"/>
  <c r="L76" i="8"/>
  <c r="Q75" i="8"/>
  <c r="N74" i="8"/>
  <c r="O74" i="8"/>
  <c r="K74" i="8"/>
  <c r="L74" i="8"/>
  <c r="N73" i="8"/>
  <c r="O73" i="8"/>
  <c r="K73" i="8"/>
  <c r="L73" i="8"/>
  <c r="T32" i="8" l="1"/>
  <c r="T45" i="8"/>
  <c r="R27" i="8"/>
  <c r="T17" i="8"/>
  <c r="S27" i="8"/>
  <c r="S54" i="8"/>
  <c r="U13" i="8"/>
  <c r="T24" i="8"/>
  <c r="T69" i="8"/>
  <c r="S18" i="8"/>
  <c r="U69" i="8"/>
  <c r="E15" i="2"/>
  <c r="E24" i="2" s="1"/>
  <c r="R52" i="8"/>
  <c r="U55" i="8"/>
  <c r="R66" i="8"/>
  <c r="F62" i="7"/>
  <c r="T60" i="8"/>
  <c r="T71" i="8"/>
  <c r="S25" i="8"/>
  <c r="T48" i="8"/>
  <c r="U79" i="8"/>
  <c r="S66" i="8"/>
  <c r="S53" i="8"/>
  <c r="T58" i="8"/>
  <c r="S52" i="8"/>
  <c r="U11" i="8"/>
  <c r="R54" i="8"/>
  <c r="S55" i="8"/>
  <c r="T68" i="8"/>
  <c r="R11" i="8"/>
  <c r="S37" i="8"/>
  <c r="J41" i="2"/>
  <c r="C13" i="2" s="1"/>
  <c r="T11" i="8"/>
  <c r="T33" i="8"/>
  <c r="U9" i="8"/>
  <c r="U54" i="8"/>
  <c r="U38" i="8"/>
  <c r="T54" i="8"/>
  <c r="S68" i="8"/>
  <c r="U61" i="8"/>
  <c r="S67" i="8"/>
  <c r="T56" i="8"/>
  <c r="T30" i="8"/>
  <c r="U35" i="8"/>
  <c r="U50" i="8"/>
  <c r="T67" i="8"/>
  <c r="S10" i="8"/>
  <c r="T38" i="8"/>
  <c r="R30" i="8"/>
  <c r="U67" i="8"/>
  <c r="U12" i="8"/>
  <c r="U75" i="8"/>
  <c r="U77" i="8"/>
  <c r="T13" i="8"/>
  <c r="U51" i="8"/>
  <c r="T50" i="8"/>
  <c r="I43" i="2"/>
  <c r="K43" i="2" s="1"/>
  <c r="D15" i="2" s="1"/>
  <c r="D24" i="2" s="1"/>
  <c r="T70" i="8"/>
  <c r="U65" i="8"/>
  <c r="U80" i="8"/>
  <c r="S77" i="8"/>
  <c r="T61" i="8"/>
  <c r="R50" i="8"/>
  <c r="U48" i="8"/>
  <c r="U14" i="8"/>
  <c r="T12" i="8"/>
  <c r="S31" i="8"/>
  <c r="U56" i="8"/>
  <c r="U39" i="8"/>
  <c r="S15" i="8"/>
  <c r="T18" i="8"/>
  <c r="U26" i="8"/>
  <c r="S49" i="8"/>
  <c r="S45" i="8"/>
  <c r="U18" i="8"/>
  <c r="R22" i="8"/>
  <c r="S14" i="8"/>
  <c r="R68" i="8"/>
  <c r="U62" i="8"/>
  <c r="F63" i="7"/>
  <c r="R55" i="8"/>
  <c r="R67" i="8"/>
  <c r="S30" i="8"/>
  <c r="S56" i="8"/>
  <c r="S32" i="8"/>
  <c r="T35" i="8"/>
  <c r="U17" i="8"/>
  <c r="T28" i="8"/>
  <c r="U7" i="8"/>
  <c r="S72" i="8"/>
  <c r="T26" i="8"/>
  <c r="S22" i="8"/>
  <c r="R7" i="8"/>
  <c r="S75" i="8"/>
  <c r="S44" i="8"/>
  <c r="U58" i="8"/>
  <c r="U68" i="8"/>
  <c r="R44" i="8"/>
  <c r="S64" i="8"/>
  <c r="T25" i="8"/>
  <c r="T77" i="8"/>
  <c r="R75" i="8"/>
  <c r="R48" i="8"/>
  <c r="T9" i="8"/>
  <c r="S11" i="8"/>
  <c r="T6" i="8"/>
  <c r="R63" i="8"/>
  <c r="F61" i="7"/>
  <c r="R78" i="8"/>
  <c r="S46" i="8"/>
  <c r="T65" i="8"/>
  <c r="T22" i="8"/>
  <c r="U6" i="8"/>
  <c r="U30" i="8"/>
  <c r="T51" i="8"/>
  <c r="U22" i="8"/>
  <c r="R29" i="8"/>
  <c r="S16" i="8"/>
  <c r="S7" i="8"/>
  <c r="U81" i="8"/>
  <c r="S8" i="8"/>
  <c r="R8" i="8"/>
  <c r="U76" i="8"/>
  <c r="T62" i="8"/>
  <c r="U28" i="8"/>
  <c r="L10" i="3"/>
  <c r="G39" i="2"/>
  <c r="G41" i="2"/>
  <c r="G40" i="2"/>
  <c r="G37" i="2"/>
  <c r="E9" i="2"/>
  <c r="E11" i="2"/>
  <c r="G6" i="1"/>
  <c r="Q52" i="2"/>
  <c r="G52" i="2"/>
  <c r="G4" i="1" s="1"/>
  <c r="N52" i="2"/>
  <c r="G8" i="1"/>
  <c r="G26" i="1"/>
  <c r="H3" i="3" s="1"/>
  <c r="E12" i="2"/>
  <c r="E10" i="2"/>
  <c r="G38" i="2"/>
  <c r="K39" i="2"/>
  <c r="D11" i="2" s="1"/>
  <c r="B11" i="2"/>
  <c r="B9" i="2"/>
  <c r="K37" i="2"/>
  <c r="D9" i="2" s="1"/>
  <c r="K40" i="2"/>
  <c r="D12" i="2" s="1"/>
  <c r="B12" i="2"/>
  <c r="K38" i="2"/>
  <c r="D10" i="2" s="1"/>
  <c r="B10" i="2"/>
  <c r="T80" i="8"/>
  <c r="U78" i="8"/>
  <c r="T81" i="8"/>
  <c r="U4" i="8"/>
  <c r="T29" i="8"/>
  <c r="U29" i="8"/>
  <c r="T36" i="8"/>
  <c r="T39" i="8"/>
  <c r="R18" i="8"/>
  <c r="U45" i="8"/>
  <c r="R56" i="8"/>
  <c r="S65" i="8"/>
  <c r="R65" i="8"/>
  <c r="U36" i="8"/>
  <c r="T43" i="8"/>
  <c r="U52" i="8"/>
  <c r="U63" i="8"/>
  <c r="R39" i="8"/>
  <c r="U43" i="8"/>
  <c r="R25" i="8"/>
  <c r="T52" i="8"/>
  <c r="U25" i="8"/>
  <c r="U33" i="8"/>
  <c r="S28" i="8"/>
  <c r="R28" i="8"/>
  <c r="R15" i="8"/>
  <c r="U60" i="8"/>
  <c r="T63" i="8"/>
  <c r="U24" i="8"/>
  <c r="U15" i="8"/>
  <c r="R49" i="8"/>
  <c r="R14" i="8"/>
  <c r="T14" i="8"/>
  <c r="T79" i="8"/>
  <c r="T76" i="8"/>
  <c r="S78" i="8"/>
  <c r="T75" i="8"/>
  <c r="T15" i="8"/>
  <c r="R36" i="8"/>
  <c r="S36" i="8"/>
  <c r="T7" i="8"/>
  <c r="R62" i="8"/>
  <c r="S62" i="8"/>
  <c r="S51" i="8"/>
  <c r="R51" i="8"/>
  <c r="T66" i="8"/>
  <c r="R34" i="8"/>
  <c r="S34" i="8"/>
  <c r="T73" i="8"/>
  <c r="R77" i="8"/>
  <c r="F53" i="2"/>
  <c r="F52" i="2" s="1"/>
  <c r="F45" i="2" s="1"/>
  <c r="C53" i="2"/>
  <c r="D53" i="2"/>
  <c r="E53" i="2"/>
  <c r="S58" i="8"/>
  <c r="R58" i="8"/>
  <c r="S12" i="8"/>
  <c r="R12" i="8"/>
  <c r="U5" i="8"/>
  <c r="S33" i="8"/>
  <c r="R33" i="8"/>
  <c r="U70" i="8"/>
  <c r="S60" i="8"/>
  <c r="R60" i="8"/>
  <c r="U66" i="8"/>
  <c r="R43" i="8"/>
  <c r="S43" i="8"/>
  <c r="U71" i="8"/>
  <c r="R19" i="8"/>
  <c r="S19" i="8"/>
  <c r="R9" i="8"/>
  <c r="S9" i="8"/>
  <c r="T74" i="8"/>
  <c r="T55" i="8"/>
  <c r="R61" i="8"/>
  <c r="S61" i="8"/>
  <c r="R69" i="8"/>
  <c r="S69" i="8"/>
  <c r="R42" i="8"/>
  <c r="S42" i="8"/>
  <c r="R24" i="8"/>
  <c r="S24" i="8"/>
  <c r="S6" i="8"/>
  <c r="R6" i="8"/>
  <c r="T19" i="8"/>
  <c r="R71" i="8"/>
  <c r="S71" i="8"/>
  <c r="S40" i="8"/>
  <c r="R40" i="8"/>
  <c r="R13" i="8"/>
  <c r="S13" i="8"/>
  <c r="S4" i="8"/>
  <c r="R4" i="8"/>
  <c r="R45" i="8"/>
  <c r="S59" i="8"/>
  <c r="R59" i="8"/>
  <c r="R38" i="8"/>
  <c r="S38" i="8"/>
  <c r="T5" i="8"/>
  <c r="R35" i="8"/>
  <c r="S35" i="8"/>
  <c r="R70" i="8"/>
  <c r="S70" i="8"/>
  <c r="U19" i="8"/>
  <c r="U44" i="8"/>
  <c r="T44" i="8"/>
  <c r="S17" i="8"/>
  <c r="R17" i="8"/>
  <c r="U27" i="8"/>
  <c r="T27" i="8"/>
  <c r="S20" i="8"/>
  <c r="R20" i="8"/>
  <c r="T4" i="8"/>
  <c r="S81" i="8"/>
  <c r="R81" i="8"/>
  <c r="S80" i="8"/>
  <c r="R80" i="8"/>
  <c r="S79" i="8"/>
  <c r="R79" i="8"/>
  <c r="B11" i="3"/>
  <c r="T78" i="8"/>
  <c r="S76" i="8"/>
  <c r="R76" i="8"/>
  <c r="K52" i="2"/>
  <c r="S74" i="8"/>
  <c r="R74" i="8"/>
  <c r="U74" i="8"/>
  <c r="R73" i="8"/>
  <c r="S73" i="8"/>
  <c r="U73" i="8"/>
  <c r="G7" i="1" l="1"/>
  <c r="K41" i="2"/>
  <c r="D13" i="2" s="1"/>
  <c r="G5" i="1" s="1"/>
  <c r="B15" i="2"/>
  <c r="G11" i="3"/>
  <c r="G15" i="1" s="1"/>
  <c r="B8" i="1" s="1"/>
  <c r="C31" i="1" s="1"/>
  <c r="D31" i="1" s="1"/>
  <c r="E31" i="1" s="1"/>
  <c r="F31" i="1" s="1"/>
  <c r="G31" i="1" s="1"/>
  <c r="G9" i="1"/>
  <c r="L9" i="3"/>
  <c r="L8" i="3"/>
  <c r="L7" i="3"/>
  <c r="H52" i="2"/>
  <c r="L52" i="2" s="1"/>
  <c r="G53" i="2"/>
  <c r="H53" i="2" s="1"/>
  <c r="H31" i="1" l="1"/>
  <c r="C43" i="1"/>
  <c r="G10" i="1"/>
  <c r="B33" i="1" s="1"/>
  <c r="B32" i="1" s="1"/>
  <c r="D43" i="1"/>
  <c r="B6" i="1" l="1"/>
  <c r="G17" i="1" s="1"/>
  <c r="H32" i="1"/>
  <c r="C32" i="1" s="1"/>
  <c r="H44" i="1"/>
  <c r="B45" i="1"/>
  <c r="B44" i="1" s="1"/>
  <c r="G16" i="1"/>
  <c r="E43" i="1"/>
  <c r="C44" i="1" l="1"/>
  <c r="C45" i="1" s="1"/>
  <c r="C47" i="1" s="1"/>
  <c r="D32" i="1"/>
  <c r="E32" i="1" s="1"/>
  <c r="C33" i="1"/>
  <c r="C35" i="1" s="1"/>
  <c r="F43" i="1"/>
  <c r="D44" i="1" l="1"/>
  <c r="D45" i="1" s="1"/>
  <c r="D47" i="1" s="1"/>
  <c r="D33" i="1"/>
  <c r="D35" i="1" s="1"/>
  <c r="G43" i="1"/>
  <c r="H43" i="1" s="1"/>
  <c r="H33" i="1"/>
  <c r="G34" i="1" s="1"/>
  <c r="F32" i="1"/>
  <c r="E33" i="1"/>
  <c r="E35" i="1" s="1"/>
  <c r="E44" i="1" l="1"/>
  <c r="E45" i="1" s="1"/>
  <c r="E47" i="1" s="1"/>
  <c r="H45" i="1"/>
  <c r="G46" i="1" s="1"/>
  <c r="F44" i="1"/>
  <c r="G44" i="1" s="1"/>
  <c r="G45" i="1" s="1"/>
  <c r="G32" i="1"/>
  <c r="G33" i="1" s="1"/>
  <c r="G35" i="1" s="1"/>
  <c r="F33" i="1"/>
  <c r="F35" i="1" s="1"/>
  <c r="G47" i="1" l="1"/>
  <c r="F45" i="1"/>
  <c r="F47" i="1" s="1"/>
  <c r="C36" i="1"/>
  <c r="C38" i="1" s="1"/>
  <c r="B48" i="1" l="1"/>
  <c r="C37" i="1"/>
  <c r="L6" i="3"/>
  <c r="L11" i="3" s="1"/>
  <c r="G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tc={AAB52E8A-0603-6749-B760-255D2DFA29F4}</author>
    <author>tc={C36DD17E-8879-654C-8EEC-5CB2E521D01E}</author>
  </authors>
  <commentList>
    <comment ref="B3" authorId="0" shapeId="0" xr:uid="{00000000-0006-0000-0000-000001000000}">
      <text>
        <r>
          <rPr>
            <b/>
            <sz val="10"/>
            <color rgb="FF000000"/>
            <rFont val="Calibri"/>
            <family val="2"/>
          </rPr>
          <t>Aswath Damodaran:</t>
        </r>
        <r>
          <rPr>
            <sz val="10"/>
            <color rgb="FF000000"/>
            <rFont val="Calibri"/>
            <family val="2"/>
          </rPr>
          <t xml:space="preserve">
</t>
        </r>
        <r>
          <rPr>
            <sz val="10"/>
            <color rgb="FF000000"/>
            <rFont val="Calibri"/>
            <family val="2"/>
          </rPr>
          <t>The reported number is the trailing 12-month earnings, from S&amp;P 500. You can override it using an alternative estimate that you have to input in cell G27.</t>
        </r>
      </text>
    </comment>
    <comment ref="B4" authorId="0" shapeId="0" xr:uid="{00000000-0006-0000-0000-00000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current level of the index.</t>
        </r>
      </text>
    </comment>
    <comment ref="B5" authorId="0" shapeId="0" xr:uid="{00000000-0006-0000-0000-000003000000}">
      <text>
        <r>
          <rPr>
            <b/>
            <sz val="9"/>
            <color rgb="FF000000"/>
            <rFont val="Geneva"/>
            <family val="2"/>
            <charset val="1"/>
          </rPr>
          <t xml:space="preserve">Aswath Damodaran:
</t>
        </r>
        <r>
          <rPr>
            <sz val="9"/>
            <color rgb="FF000000"/>
            <rFont val="Geneva"/>
            <family val="2"/>
            <charset val="1"/>
          </rPr>
          <t>The 5-year and 10-year averages are used in conjunction with the index at the start of the year to get a normalized cash yield number. Using these numbers (instead of the trailing 12 month) will give you a more smoothed out ERP.</t>
        </r>
      </text>
    </comment>
    <comment ref="B6" authorId="0" shapeId="0" xr:uid="{00000000-0006-0000-0000-00000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expected dividend yield. You can also add expected stock buybacks to dividends.</t>
        </r>
      </text>
    </comment>
    <comment ref="B8" authorId="0" shapeId="0" xr:uid="{00000000-0006-0000-0000-00000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should be a forecast of earnings growth from analysts following stocks in the index.</t>
        </r>
      </text>
    </comment>
    <comment ref="B9" authorId="0" shapeId="0" xr:uid="{00000000-0006-0000-0000-00000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Thks is the current rate on a long term government bond.</t>
        </r>
      </text>
    </comment>
    <comment ref="B11" authorId="0" shapeId="0" xr:uid="{00000000-0006-0000-0000-00000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the expected risk premium for investing in stock.</t>
        </r>
      </text>
    </comment>
    <comment ref="B12" authorId="1" shapeId="0" xr:uid="{AAB52E8A-0603-6749-B760-255D2DFA29F4}">
      <text>
        <t>[Threaded comment]
Your version of Excel allows you to read this threaded comment; however, any edits to it will get removed if the file is opened in a newer version of Excel. Learn more: https://go.microsoft.com/fwlink/?linkid=870924
Comment:
    See comment on the the cell below before you change this option from No to Yes.</t>
      </text>
    </comment>
    <comment ref="B13" authorId="2" shapeId="0" xr:uid="{C36DD17E-8879-654C-8EEC-5CB2E521D01E}">
      <text>
        <t>[Threaded comment]
Your version of Excel allows you to read this threaded comment; however, any edits to it will get removed if the file is opened in a newer version of Excel. Learn more: https://go.microsoft.com/fwlink/?linkid=870924
Comment:
    The default where I set the growth rate = riskfree rate is the safest option, because it preserves consistency. If you choose to change this growth rate, be careful about setting it above the riskfree rate, since it can cause both math and logical implosions.</t>
      </text>
    </comment>
    <comment ref="B14" authorId="0" shapeId="0" xr:uid="{00000000-0006-0000-0000-000009000000}">
      <text>
        <r>
          <rPr>
            <b/>
            <sz val="10"/>
            <color rgb="FF000000"/>
            <rFont val="Calibri"/>
            <family val="2"/>
          </rPr>
          <t>Aswath Damodaran:</t>
        </r>
        <r>
          <rPr>
            <sz val="10"/>
            <color rgb="FF000000"/>
            <rFont val="Calibri"/>
            <family val="2"/>
          </rPr>
          <t xml:space="preserve">
</t>
        </r>
        <r>
          <rPr>
            <sz val="10"/>
            <color rgb="FF000000"/>
            <rFont val="Calibri"/>
            <family val="2"/>
          </rPr>
          <t xml:space="preserve">The sustainable payout is computed using the stable growth rate and the trailing 12 month ROE:
</t>
        </r>
        <r>
          <rPr>
            <sz val="10"/>
            <color rgb="FF000000"/>
            <rFont val="Calibri"/>
            <family val="2"/>
          </rPr>
          <t xml:space="preserve">Sustainable Payout = 1 - g/ ROE
</t>
        </r>
        <r>
          <rPr>
            <sz val="10"/>
            <color rgb="FF000000"/>
            <rFont val="Calibri"/>
            <family val="2"/>
          </rPr>
          <t>If you answer yes, I will adjust the payout ratio over the next 5 years in linear increments to this value. if no, I will leave it at today's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A1" authorId="0" shapeId="0" xr:uid="{B97EFEDC-B8E2-3747-AEE4-DEB3CA661793}">
      <text>
        <r>
          <rPr>
            <b/>
            <sz val="9"/>
            <color rgb="FF000000"/>
            <rFont val="Geneva"/>
            <family val="2"/>
            <charset val="1"/>
          </rPr>
          <t xml:space="preserve">Aswath Damodaran:
</t>
        </r>
        <r>
          <rPr>
            <b/>
            <sz val="9"/>
            <color rgb="FF000000"/>
            <rFont val="Geneva"/>
            <family val="2"/>
            <charset val="1"/>
          </rPr>
          <t>These are estimated by aggregating the analyst forecasts of earnings for the individual companies in the S&amp;P 500. Historically, these numbers have been upward biased at the index level.</t>
        </r>
      </text>
    </comment>
    <comment ref="F1" authorId="0" shapeId="0" xr:uid="{FB604668-378C-534E-B594-46EF888267E2}">
      <text>
        <r>
          <rPr>
            <b/>
            <sz val="9"/>
            <color rgb="FF000000"/>
            <rFont val="Geneva"/>
            <family val="2"/>
            <charset val="1"/>
          </rPr>
          <t xml:space="preserve">Aswath Damodaran:
</t>
        </r>
        <r>
          <rPr>
            <b/>
            <sz val="9"/>
            <color rgb="FF000000"/>
            <rFont val="Geneva"/>
            <family val="2"/>
            <charset val="1"/>
          </rPr>
          <t>These are estimated by aggregating the analyst forecasts of earnings for the individual companies in the S&amp;P 500. Historically, these numbers have been upward biased at the index level.</t>
        </r>
      </text>
    </comment>
    <comment ref="K1" authorId="0" shapeId="0" xr:uid="{CFD8A16E-ECF1-4D47-AF43-BA27571F8323}">
      <text>
        <r>
          <rPr>
            <b/>
            <sz val="9"/>
            <color rgb="FF000000"/>
            <rFont val="Geneva"/>
            <family val="2"/>
            <charset val="1"/>
          </rPr>
          <t xml:space="preserve">Aswath Damodaran:
</t>
        </r>
        <r>
          <rPr>
            <b/>
            <sz val="9"/>
            <color rgb="FF000000"/>
            <rFont val="Geneva"/>
            <family val="2"/>
            <charset val="1"/>
          </rPr>
          <t>These are estimated by aggregating the analyst forecasts of earnings for the individual companies in the S&amp;P 500. Historically, these numbers have been upward biased at the index level.</t>
        </r>
      </text>
    </comment>
  </commentList>
</comments>
</file>

<file path=xl/sharedStrings.xml><?xml version="1.0" encoding="utf-8"?>
<sst xmlns="http://schemas.openxmlformats.org/spreadsheetml/2006/main" count="394" uniqueCount="298">
  <si>
    <t>Implied Risk Premium Calculator</t>
  </si>
  <si>
    <t>Expected Terminal Value =</t>
  </si>
  <si>
    <t>Present Value =</t>
  </si>
  <si>
    <t>Intrinsic Value of Index =</t>
  </si>
  <si>
    <t>Implied Risk Premium in current level of Index =</t>
  </si>
  <si>
    <t>Dividend Yield</t>
  </si>
  <si>
    <t>Buybacks/Index</t>
  </si>
  <si>
    <t>Year</t>
  </si>
  <si>
    <t>Year</t>
    <phoneticPr fontId="12" type="noConversion"/>
  </si>
  <si>
    <t>Dividend yield</t>
    <phoneticPr fontId="12" type="noConversion"/>
  </si>
  <si>
    <t>Buyback yield</t>
    <phoneticPr fontId="12" type="noConversion"/>
  </si>
  <si>
    <t>Dividends</t>
    <phoneticPr fontId="12" type="noConversion"/>
  </si>
  <si>
    <t>Buybacks</t>
    <phoneticPr fontId="12" type="noConversion"/>
  </si>
  <si>
    <t>Cash to equity</t>
    <phoneticPr fontId="12" type="noConversion"/>
  </si>
  <si>
    <t>Market value of index</t>
    <phoneticPr fontId="12" type="noConversion"/>
  </si>
  <si>
    <t>Ratio</t>
    <phoneticPr fontId="12" type="noConversion"/>
  </si>
  <si>
    <t>Dividends</t>
    <phoneticPr fontId="12" type="noConversion"/>
  </si>
  <si>
    <t>Dividends and Buybacks Trailing 12 months =</t>
  </si>
  <si>
    <t>Dividends</t>
  </si>
  <si>
    <t>Buybacks</t>
  </si>
  <si>
    <t>Quarter</t>
  </si>
  <si>
    <t>4 quarters ago</t>
  </si>
  <si>
    <t>3 quarters ago</t>
  </si>
  <si>
    <t>2 quarters ago</t>
  </si>
  <si>
    <t>Last quarter</t>
  </si>
  <si>
    <t>Sum</t>
  </si>
  <si>
    <t>Cash yield on index (Calculated number but you can override it)</t>
  </si>
  <si>
    <t>Average: Last 10 years =</t>
  </si>
  <si>
    <t>Dividends and Buybacks (Average yield- last decade)</t>
  </si>
  <si>
    <t>Average: Last 5 years</t>
  </si>
  <si>
    <t>Dividends and Buybacks (Average yield- last 5 years)</t>
  </si>
  <si>
    <t>Compounded average</t>
  </si>
  <si>
    <t>Index units adjuster =</t>
  </si>
  <si>
    <t>Index level</t>
  </si>
  <si>
    <t>Unit adjuster</t>
  </si>
  <si>
    <t>Market Cap</t>
  </si>
  <si>
    <t>A10</t>
  </si>
  <si>
    <t>Index at the start of the current quarter =</t>
  </si>
  <si>
    <t>C</t>
  </si>
  <si>
    <t>A5</t>
  </si>
  <si>
    <t>Enter current level of index</t>
  </si>
  <si>
    <t>Source</t>
  </si>
  <si>
    <t>Earnings on Index</t>
  </si>
  <si>
    <t>Updated at the start of every quarter</t>
  </si>
  <si>
    <t>Last updated</t>
  </si>
  <si>
    <t>Earnings</t>
  </si>
  <si>
    <t>Payout</t>
  </si>
  <si>
    <t>Book Value of Equity at start of year</t>
  </si>
  <si>
    <t>Sales per share</t>
  </si>
  <si>
    <t>Return on Equity</t>
  </si>
  <si>
    <t>Net Profit Margin</t>
  </si>
  <si>
    <t>Inputs</t>
  </si>
  <si>
    <t>What cash yield (dividends &amp; buybacks) do you want to use as your base number?</t>
  </si>
  <si>
    <t>Dividends and Buybacks (Average payout- last decade)</t>
  </si>
  <si>
    <t>Dividends and Buybacks (Average payout - last 5 years)</t>
  </si>
  <si>
    <t>P10</t>
  </si>
  <si>
    <t>P5</t>
  </si>
  <si>
    <t>Growth Choices</t>
  </si>
  <si>
    <t>Historical earnings growth rate (last decade) =</t>
  </si>
  <si>
    <t>Bottom up forecasted growth rate (next 5 years) =</t>
  </si>
  <si>
    <t>Top down forecasted growth rate (next 5 years) =</t>
  </si>
  <si>
    <t>Fundamental growth rate (based on current ROE) =</t>
  </si>
  <si>
    <t>Fundamental growth rate (based on average ROE) =</t>
  </si>
  <si>
    <t>H</t>
  </si>
  <si>
    <t>BU</t>
  </si>
  <si>
    <t>TD</t>
  </si>
  <si>
    <t>FC</t>
  </si>
  <si>
    <t>FA</t>
  </si>
  <si>
    <t>What expected growth rate do you want to use for the next 5 years?</t>
  </si>
  <si>
    <t>Expected growth rate in earnings for the next 5 years =</t>
  </si>
  <si>
    <t>Enter current long term risk free rate  =</t>
  </si>
  <si>
    <t>Historical Equity risk premium (US) =</t>
  </si>
  <si>
    <t>Historical Equity risk premium (Global) =</t>
  </si>
  <si>
    <t>Average implied ERP (last decade) =</t>
  </si>
  <si>
    <t>Average implied ERP (1960-Current) =</t>
  </si>
  <si>
    <t>Earnings Yield</t>
  </si>
  <si>
    <t>T.Bond Rate</t>
  </si>
  <si>
    <t>Implied ERP</t>
  </si>
  <si>
    <t>Start of month</t>
    <phoneticPr fontId="6" type="noConversion"/>
  </si>
  <si>
    <t>S&amp;P 500</t>
    <phoneticPr fontId="6" type="noConversion"/>
  </si>
  <si>
    <t>T.Bond Rate</t>
    <phoneticPr fontId="6" type="noConversion"/>
  </si>
  <si>
    <t>CF (Trailing 12 month)</t>
  </si>
  <si>
    <t>Expected growth rate</t>
    <phoneticPr fontId="6" type="noConversion"/>
  </si>
  <si>
    <t>ERP (T12m)</t>
  </si>
  <si>
    <t>ERP (Smoothed)</t>
  </si>
  <si>
    <t>HUS</t>
  </si>
  <si>
    <t>HG</t>
  </si>
  <si>
    <t>ERP10</t>
  </si>
  <si>
    <t>ERP used to compute fair value of index (you can override this number) =</t>
  </si>
  <si>
    <t>If you want to compute an intrinsic value for index, what ERP would you like to use?</t>
  </si>
  <si>
    <t>Implied Equity Risk Premium Calculator</t>
  </si>
  <si>
    <t>ERP Choices (for index intrinsic value)</t>
  </si>
  <si>
    <t>Here is how it works</t>
  </si>
  <si>
    <t>For the implied ERP, you will have to use the goal seek function in Excel. (See picture to the right)</t>
  </si>
  <si>
    <t>NORM</t>
  </si>
  <si>
    <t>Inflation rate</t>
  </si>
  <si>
    <t>Inflation adjusted Earnings</t>
  </si>
  <si>
    <t>2.  In "To value" box, enter the current level of the index</t>
  </si>
  <si>
    <t>Intrinsic Trailing PE =</t>
  </si>
  <si>
    <t>Factset</t>
  </si>
  <si>
    <t>Thomson Reuters</t>
  </si>
  <si>
    <t>Intrinsic CAPE (based on inflation-adjusted ten year average earnings) =</t>
  </si>
  <si>
    <t>Dividend and Buybacks (Average payout &amp; normal earnings)</t>
  </si>
  <si>
    <t>Sources for top down estimates</t>
  </si>
  <si>
    <t>Year end</t>
  </si>
  <si>
    <t>Ten-year T.Bond rate</t>
  </si>
  <si>
    <t>Real GDP growth</t>
  </si>
  <si>
    <t>Fundamental riskfree rate</t>
  </si>
  <si>
    <t>T. Bond - Fundamental (current)</t>
  </si>
  <si>
    <t>Next 5 years</t>
  </si>
  <si>
    <t>1954-2012</t>
  </si>
  <si>
    <t>1954-1980</t>
  </si>
  <si>
    <t>1981-2012</t>
  </si>
  <si>
    <t>3-month T.Bill</t>
  </si>
  <si>
    <t>Historical risk premium</t>
  </si>
  <si>
    <t>Historical High ERP (1960-Current) =</t>
  </si>
  <si>
    <t>ERPHigh</t>
  </si>
  <si>
    <t>ERPLong</t>
  </si>
  <si>
    <t>Ten-year average CF</t>
  </si>
  <si>
    <t>Notes</t>
  </si>
  <si>
    <t>Normalized Cash flow = Average CF yield over last 10 years * Index level at start of quarter</t>
  </si>
  <si>
    <t>Adjusted cash flows and expected growth rate</t>
  </si>
  <si>
    <t>Adjusted cash flows</t>
  </si>
  <si>
    <t>Adjusted growth rate &amp; cash flows</t>
  </si>
  <si>
    <t>Updated cash flows, growth rate</t>
  </si>
  <si>
    <t>Updated cash flows</t>
  </si>
  <si>
    <t>Dividends and Buybacks, net of stock issues, trailing 12 months</t>
  </si>
  <si>
    <t>NC</t>
  </si>
  <si>
    <t>Issuances</t>
  </si>
  <si>
    <t>Stock Issuances</t>
  </si>
  <si>
    <t>Gross Cash Yield</t>
  </si>
  <si>
    <t>Net Cash Yield</t>
  </si>
  <si>
    <t>ERP (Net Cash Yield)</t>
  </si>
  <si>
    <t>Computing the trailing 12 month number (S&amp;P Data updated every quarter on March 15, June 15, Sept 15 and Dec 15)</t>
  </si>
  <si>
    <t>Month</t>
  </si>
  <si>
    <t>Trailing four quarters</t>
  </si>
  <si>
    <t>Updated at the start of every month</t>
  </si>
  <si>
    <t>S&amp;P 500 Index</t>
  </si>
  <si>
    <t>Stock Issues</t>
  </si>
  <si>
    <t>Cash Return</t>
  </si>
  <si>
    <t>Net Cash Return</t>
  </si>
  <si>
    <t>Net Income</t>
  </si>
  <si>
    <t>Aggregate (in US dollars)</t>
  </si>
  <si>
    <t>Index Units</t>
  </si>
  <si>
    <t>In Index Units</t>
  </si>
  <si>
    <t>Payout Ratio</t>
  </si>
  <si>
    <t>Cash Return/Net Income</t>
  </si>
  <si>
    <t>Net Cash Return/Net Income</t>
  </si>
  <si>
    <t>This is what I get from S&amp;P Capital IQ, if I use the raw data from individual companies. It does not match up to what S&amp;P itelf reports once every quarter. Use it to look for trend lines.</t>
  </si>
  <si>
    <t>Updated growth rate</t>
  </si>
  <si>
    <t>S&amp;P Cap IQ update</t>
  </si>
  <si>
    <t>Updated cash flow</t>
  </si>
  <si>
    <t>Normalized CF</t>
  </si>
  <si>
    <t>ERP (Normalized)</t>
  </si>
  <si>
    <t>Trailing 12 month ending</t>
  </si>
  <si>
    <t>S&amp;P Capital IQ data (updated every month and does not match up to the S&amp;P update every three quarters)</t>
  </si>
  <si>
    <t>Index Units Adjuster</t>
  </si>
  <si>
    <t>Net Cash to Equity</t>
  </si>
  <si>
    <t>Updated cash flow, growth rate</t>
  </si>
  <si>
    <t>Expected Earnings</t>
  </si>
  <si>
    <t>Expected cash payout (dividends + buybacks) as % of earnings</t>
  </si>
  <si>
    <t>Last 12 months</t>
  </si>
  <si>
    <t>Terminal Year</t>
  </si>
  <si>
    <t>Do you want to adjust the payout ratio to sustainable levels in year 5?</t>
  </si>
  <si>
    <t>Yes</t>
  </si>
  <si>
    <t>No</t>
  </si>
  <si>
    <t>Yes/No</t>
  </si>
  <si>
    <t>ERP (T12 m with sustainable payout)</t>
  </si>
  <si>
    <t>(Go under Tools and choose Solver or Goal Seek: See below)</t>
  </si>
  <si>
    <t>Updated normalized and ten-year yield numbers</t>
  </si>
  <si>
    <t>Average</t>
  </si>
  <si>
    <t>Cash Flow Choices</t>
  </si>
  <si>
    <t>Base Year Earnings</t>
  </si>
  <si>
    <t>Base Year Earnings for the Index</t>
  </si>
  <si>
    <t>Column1</t>
  </si>
  <si>
    <t xml:space="preserve">For the intrinsic value of the index, I start with your base cash flow choice (from B5) and grow these cash flows at </t>
  </si>
  <si>
    <t>the expected growth rate (from B7) for 5 years. After year 5, I use the expected growth rate in the long term (B12)</t>
  </si>
  <si>
    <t xml:space="preserve">as the perpetual growth rate. The discount rate that I use is the sum of the risk free rate (B9) and your ERP choice (B11). </t>
  </si>
  <si>
    <t>Updated cash flow, growth</t>
  </si>
  <si>
    <t>Expected Dividends + Buybacks =</t>
  </si>
  <si>
    <t>Reported Earnings by companies in trailing 12 months</t>
  </si>
  <si>
    <t>Inputed</t>
  </si>
  <si>
    <t>Yardeni</t>
  </si>
  <si>
    <t>Updated cash flow, growth, annualized numbers</t>
  </si>
  <si>
    <t>S&amp;P Capital IQ</t>
  </si>
  <si>
    <t>84,88</t>
  </si>
  <si>
    <t>Dividends + Buybacks in last four quarters</t>
  </si>
  <si>
    <t>Multiplies average cash yield over last 10 years by index level at the start of most recent quarter</t>
  </si>
  <si>
    <t>Multiplies average cash yield over last 5 years by index level at the start of most recent quarter</t>
  </si>
  <si>
    <t>Multiplies Earnings in last 12 months by average payout ratio (including buybacks) over last 10 years</t>
  </si>
  <si>
    <t>Multiplies Earnings in last 12 months by average payout ratio (including buybacks) over last 5 years</t>
  </si>
  <si>
    <t>Multiplies average earnings over last 10 years by average payout ratio over same period</t>
  </si>
  <si>
    <t>Dividends + Buybacks - Stock Issuances in last four quarters</t>
  </si>
  <si>
    <t>Column2</t>
  </si>
  <si>
    <t>Base for normalized Cashflow</t>
  </si>
  <si>
    <t>individual companies for next two years</t>
  </si>
  <si>
    <t>Used estimated Net Income aggregated across</t>
  </si>
  <si>
    <t>Analyst Consensus</t>
  </si>
  <si>
    <t>Updated growth estimates</t>
  </si>
  <si>
    <t>Updated growth</t>
  </si>
  <si>
    <t>Intrinsic Value Estimate (based on your choice of ERP) based upon pre-Corona numbers</t>
  </si>
  <si>
    <t>ERP (Covid Adjusted)</t>
  </si>
  <si>
    <t>Updated cash flows, Added COVID version.</t>
  </si>
  <si>
    <t>Market Strategists Estimates</t>
  </si>
  <si>
    <t>BMO</t>
  </si>
  <si>
    <t>Brian Belski</t>
  </si>
  <si>
    <t>Jonathan Golub</t>
  </si>
  <si>
    <t>Dubravko Lakos-Bujas</t>
  </si>
  <si>
    <t>Mike Wilson</t>
  </si>
  <si>
    <t>Lori Calvasina</t>
  </si>
  <si>
    <t>UBS</t>
  </si>
  <si>
    <t>Median</t>
  </si>
  <si>
    <t>High</t>
  </si>
  <si>
    <t>Low</t>
  </si>
  <si>
    <t xml:space="preserve"> </t>
  </si>
  <si>
    <t>Updated growth rates</t>
  </si>
  <si>
    <t>Updated cash flows, growth rates</t>
  </si>
  <si>
    <t>S&amp;P 500 (includes dividends)</t>
  </si>
  <si>
    <t>US T. Bond</t>
  </si>
  <si>
    <t xml:space="preserve"> Baa Corporate Bond</t>
  </si>
  <si>
    <t>S&amp;P 500 (includes dividends)3</t>
  </si>
  <si>
    <t>3-month T.Bill4</t>
  </si>
  <si>
    <t>US T. Bond5</t>
  </si>
  <si>
    <t xml:space="preserve"> Baa Corporate Bond6</t>
  </si>
  <si>
    <t>Stocks - Bills</t>
  </si>
  <si>
    <t>Stocks - Bonds</t>
  </si>
  <si>
    <t>Stocks - Baa Corp Bond</t>
  </si>
  <si>
    <t>Major readjustment of base year earnings, growth rates</t>
  </si>
  <si>
    <t>Update earnings, cash flows and growth</t>
  </si>
  <si>
    <t>Start of year</t>
  </si>
  <si>
    <t>Estimated base year Earnings (for the most recent year)</t>
  </si>
  <si>
    <t>Ended</t>
  </si>
  <si>
    <t>CAGR: 2021E</t>
  </si>
  <si>
    <t>FIRM </t>
  </si>
  <si>
    <t>STRATEGIST </t>
  </si>
  <si>
    <t>2022 S&amp;P 500 </t>
  </si>
  <si>
    <t>IMPLIED P/E </t>
  </si>
  <si>
    <t>Scott Chronert</t>
  </si>
  <si>
    <t>Keith Parker</t>
  </si>
  <si>
    <t>Estimated</t>
  </si>
  <si>
    <t>Reported LTM</t>
  </si>
  <si>
    <t>If you choose to adjust your payout ratio, I estimate the payout ratio given average ROE over last 10 years. Payout = 1 - g/ ROE</t>
  </si>
  <si>
    <t>Market Cap2</t>
  </si>
  <si>
    <t>Dividends3</t>
  </si>
  <si>
    <t>Buybacks4</t>
  </si>
  <si>
    <t>Stock Issues5</t>
  </si>
  <si>
    <t>Net Income6</t>
  </si>
  <si>
    <t>Cash Return7</t>
  </si>
  <si>
    <t>Net Cash Return8</t>
  </si>
  <si>
    <t>Expected Return</t>
  </si>
  <si>
    <t>On 12/31/22</t>
  </si>
  <si>
    <t>Deutsche Bank</t>
  </si>
  <si>
    <t>Binky Chadha</t>
  </si>
  <si>
    <t>2023 EPS</t>
  </si>
  <si>
    <t>Scotiabank</t>
  </si>
  <si>
    <t>Hugo Ste-Marie</t>
  </si>
  <si>
    <t>Jeffries</t>
  </si>
  <si>
    <t>Sean Darby</t>
  </si>
  <si>
    <t>JP Morgan</t>
  </si>
  <si>
    <t>Cantor Fitzgerald</t>
  </si>
  <si>
    <t>Eric Johnson</t>
  </si>
  <si>
    <t>RBC Capital Markets</t>
  </si>
  <si>
    <t>Credit Suisse</t>
  </si>
  <si>
    <t>Bank of America</t>
  </si>
  <si>
    <t>Savita Subramaniam</t>
  </si>
  <si>
    <t>Goldman Sachs</t>
  </si>
  <si>
    <t>Davis Kostin</t>
  </si>
  <si>
    <t>HSBC</t>
  </si>
  <si>
    <t>Max Kettner</t>
  </si>
  <si>
    <t>Citigroup</t>
  </si>
  <si>
    <t>Morgan Stanley</t>
  </si>
  <si>
    <t>Barclays</t>
  </si>
  <si>
    <t>Venu Krishna</t>
  </si>
  <si>
    <t>Societe Generale</t>
  </si>
  <si>
    <t>Manish Kabra</t>
  </si>
  <si>
    <t>BNP Paribas</t>
  </si>
  <si>
    <t>Greg Boutle</t>
  </si>
  <si>
    <t>Evercore ISI</t>
  </si>
  <si>
    <t>Julian Emmanuel</t>
  </si>
  <si>
    <t>Stifel</t>
  </si>
  <si>
    <t>Barry Bannister</t>
  </si>
  <si>
    <t>-</t>
  </si>
  <si>
    <t>2022E</t>
  </si>
  <si>
    <t>Bottom-up Estimates (Factset on 12/22)</t>
  </si>
  <si>
    <r>
      <rPr>
        <b/>
        <sz val="12"/>
        <rFont val="Calibri (Body)"/>
      </rPr>
      <t>Jan 2023 Update</t>
    </r>
    <r>
      <rPr>
        <sz val="12"/>
        <rFont val="Calibri (Body)"/>
      </rPr>
      <t>: The COVID-adjusted ERP that I computed from March 2020 to December 2021 has been discontinued. All of the other numbers have been updated. The big jump in the normalized ERP came from changing the normalization to the 2013-22 time period and bringing in the effects of inflation in the last two years. Finally, the smoothed out ERP, where I use the average cash yield over the last ten years multiplied by the current index level to get the cash flow also had a big jump from the numbers for the last six months, largely as a result of the index value increasing.</t>
    </r>
  </si>
  <si>
    <t>Updated everything</t>
  </si>
  <si>
    <t xml:space="preserve">If yes, enter the expected growth rate to use after year 5 </t>
  </si>
  <si>
    <t>Do you want to change the growth rate in the long term?</t>
  </si>
  <si>
    <t>1. In the set cell box, enter B48</t>
  </si>
  <si>
    <t>3. In "By changing cell" enter C40</t>
  </si>
  <si>
    <t>4. Click on OK and the answer should show up in C40</t>
  </si>
  <si>
    <t>Updated April 1, 2023</t>
  </si>
  <si>
    <t>Table will be updated once the year's final numbers are in. For 2022, for instance, the update was in March 2023</t>
  </si>
  <si>
    <t>Updated July 2, 2023</t>
  </si>
  <si>
    <t>CAGR</t>
  </si>
  <si>
    <t>Top Down Estimates (Yardeni on 7/31/23)</t>
  </si>
  <si>
    <t>Top-down Estimates (Analyst Consensus on 7/31/23)</t>
  </si>
  <si>
    <t>Updated September 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</si>
</sst>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8" formatCode="&quot;$&quot;#,##0.00_);[Red]\(&quot;$&quot;#,##0.00\)"/>
    <numFmt numFmtId="44" formatCode="_(&quot;$&quot;* #,##0.00_);_(&quot;$&quot;* \(#,##0.00\);_(&quot;$&quot;* &quot;-&quot;??_);_(@_)"/>
    <numFmt numFmtId="43" formatCode="_(* #,##0.00_);_(* \(#,##0.00\);_(* &quot;-&quot;??_);_(@_)"/>
    <numFmt numFmtId="164" formatCode="&quot;$&quot;#,##0.00"/>
    <numFmt numFmtId="165" formatCode="_(* #,##0_);_(* \(#,##0\);_(* &quot;-&quot;??_);_(@_)"/>
    <numFmt numFmtId="166" formatCode="m/d/yy;@"/>
    <numFmt numFmtId="167" formatCode="&quot;$&quot;#,##0.00;[Red]&quot;$&quot;#,##0.00"/>
    <numFmt numFmtId="168" formatCode="&quot;$&quot;#,##0;[Red]&quot;$&quot;#,##0"/>
    <numFmt numFmtId="169" formatCode="0.000000000"/>
    <numFmt numFmtId="170" formatCode="_([$$-409]* #,##0_);_([$$-409]* \(#,##0\);_([$$-409]* &quot;-&quot;??_);_(@_)"/>
    <numFmt numFmtId="171" formatCode="_(&quot;$&quot;* #,##0_);_(&quot;$&quot;* \(#,##0\);_(&quot;$&quot;* &quot;-&quot;??_);_(@_)"/>
    <numFmt numFmtId="172" formatCode="_(\ #,##0_);_(\(\ #,##0\)_);_(\ &quot; - &quot;_)"/>
    <numFmt numFmtId="173" formatCode="_(\ #,##0.0#_);_(\(\ #,##0.0#\)_);_(\ &quot; - &quot;_)"/>
    <numFmt numFmtId="174" formatCode="0.0000000000000000%"/>
  </numFmts>
  <fonts count="44">
    <font>
      <b/>
      <sz val="10"/>
      <name val="Geneva"/>
      <family val="2"/>
    </font>
    <font>
      <sz val="12"/>
      <color theme="1"/>
      <name val="Calibri"/>
      <family val="2"/>
      <scheme val="minor"/>
    </font>
    <font>
      <b/>
      <sz val="10"/>
      <name val="Geneva"/>
      <family val="2"/>
    </font>
    <font>
      <i/>
      <sz val="10"/>
      <name val="Geneva"/>
      <family val="2"/>
    </font>
    <font>
      <b/>
      <i/>
      <sz val="10"/>
      <name val="Geneva"/>
      <family val="2"/>
    </font>
    <font>
      <sz val="10"/>
      <name val="Geneva"/>
      <family val="2"/>
    </font>
    <font>
      <sz val="24"/>
      <name val="Geneva"/>
      <family val="2"/>
    </font>
    <font>
      <sz val="10"/>
      <name val="Times"/>
      <family val="1"/>
    </font>
    <font>
      <b/>
      <sz val="10"/>
      <name val="Times"/>
      <family val="1"/>
    </font>
    <font>
      <sz val="12"/>
      <name val="Times"/>
      <family val="1"/>
    </font>
    <font>
      <b/>
      <sz val="12"/>
      <name val="Times"/>
      <family val="1"/>
    </font>
    <font>
      <b/>
      <u/>
      <sz val="10"/>
      <color indexed="12"/>
      <name val="Geneva"/>
      <family val="2"/>
    </font>
    <font>
      <sz val="8"/>
      <name val="Verdana"/>
      <family val="2"/>
    </font>
    <font>
      <sz val="10"/>
      <color indexed="10"/>
      <name val="Times"/>
      <family val="1"/>
    </font>
    <font>
      <b/>
      <sz val="10"/>
      <name val="Geneva"/>
      <family val="2"/>
    </font>
    <font>
      <b/>
      <sz val="12"/>
      <name val="Geneva"/>
      <family val="2"/>
    </font>
    <font>
      <b/>
      <sz val="24"/>
      <name val="Geneva"/>
      <family val="2"/>
    </font>
    <font>
      <sz val="16"/>
      <name val="Geneva"/>
      <family val="2"/>
    </font>
    <font>
      <i/>
      <sz val="10"/>
      <name val="Times"/>
      <family val="1"/>
    </font>
    <font>
      <i/>
      <sz val="12"/>
      <name val="Times"/>
      <family val="1"/>
    </font>
    <font>
      <sz val="12"/>
      <color indexed="8"/>
      <name val="Arial"/>
      <family val="2"/>
    </font>
    <font>
      <sz val="10"/>
      <name val="Times Roman"/>
    </font>
    <font>
      <b/>
      <sz val="10"/>
      <color rgb="FFFF0000"/>
      <name val="Geneva"/>
      <family val="2"/>
    </font>
    <font>
      <sz val="12"/>
      <name val="Calibri"/>
      <family val="2"/>
      <scheme val="minor"/>
    </font>
    <font>
      <b/>
      <sz val="10"/>
      <color rgb="FFFF0000"/>
      <name val="Times"/>
      <family val="1"/>
    </font>
    <font>
      <sz val="10"/>
      <color rgb="FFFF0000"/>
      <name val="Times"/>
      <family val="1"/>
    </font>
    <font>
      <i/>
      <sz val="12"/>
      <name val="Calibri"/>
      <family val="2"/>
      <scheme val="minor"/>
    </font>
    <font>
      <sz val="10"/>
      <name val="Calibri"/>
      <family val="2"/>
      <scheme val="minor"/>
    </font>
    <font>
      <i/>
      <sz val="10"/>
      <name val="Calibri"/>
      <family val="2"/>
      <scheme val="minor"/>
    </font>
    <font>
      <b/>
      <sz val="10"/>
      <color rgb="FF000000"/>
      <name val="Calibri"/>
      <family val="2"/>
    </font>
    <font>
      <sz val="10"/>
      <color rgb="FF000000"/>
      <name val="Calibri"/>
      <family val="2"/>
    </font>
    <font>
      <b/>
      <u/>
      <sz val="10"/>
      <color theme="11"/>
      <name val="Geneva"/>
      <family val="2"/>
    </font>
    <font>
      <sz val="12"/>
      <name val="Geneva"/>
      <family val="2"/>
    </font>
    <font>
      <sz val="8"/>
      <color indexed="8"/>
      <name val="Arial"/>
      <family val="2"/>
    </font>
    <font>
      <sz val="12"/>
      <name val="Calibri (Body)"/>
    </font>
    <font>
      <b/>
      <sz val="14"/>
      <name val="Geneva"/>
      <family val="2"/>
    </font>
    <font>
      <b/>
      <sz val="9"/>
      <color rgb="FF000000"/>
      <name val="Geneva"/>
      <family val="2"/>
      <charset val="1"/>
    </font>
    <font>
      <sz val="9"/>
      <color rgb="FF000000"/>
      <name val="Geneva"/>
      <family val="2"/>
      <charset val="1"/>
    </font>
    <font>
      <b/>
      <sz val="12"/>
      <name val="Calibri (Body)"/>
    </font>
    <font>
      <sz val="12"/>
      <color rgb="FF747474"/>
      <name val="Helvetica"/>
      <family val="2"/>
    </font>
    <font>
      <sz val="12"/>
      <color rgb="FF000000"/>
      <name val="Helvetica"/>
      <family val="2"/>
    </font>
    <font>
      <b/>
      <sz val="8"/>
      <name val="Geneva"/>
      <family val="2"/>
    </font>
    <font>
      <b/>
      <sz val="10"/>
      <name val="Arial"/>
      <family val="2"/>
    </font>
    <font>
      <sz val="10"/>
      <name val="Arial"/>
      <family val="2"/>
    </font>
  </fonts>
  <fills count="9">
    <fill>
      <patternFill patternType="none"/>
    </fill>
    <fill>
      <patternFill patternType="gray125"/>
    </fill>
    <fill>
      <patternFill patternType="solid">
        <fgColor rgb="FFFFFF00"/>
        <bgColor indexed="64"/>
      </patternFill>
    </fill>
    <fill>
      <patternFill patternType="solid">
        <fgColor rgb="FFCCFFCC"/>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rgb="FF00B0F0"/>
        <bgColor indexed="64"/>
      </patternFill>
    </fill>
    <fill>
      <patternFill patternType="solid">
        <fgColor theme="2"/>
        <bgColor indexed="64"/>
      </patternFill>
    </fill>
    <fill>
      <patternFill patternType="solid">
        <fgColor theme="0" tint="-0.14999847407452621"/>
        <bgColor theme="0" tint="-0.14999847407452621"/>
      </patternFill>
    </fill>
  </fills>
  <borders count="24">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medium">
        <color auto="1"/>
      </left>
      <right/>
      <top style="thin">
        <color auto="1"/>
      </top>
      <bottom style="medium">
        <color auto="1"/>
      </bottom>
      <diagonal/>
    </border>
    <border>
      <left style="thin">
        <color auto="1"/>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1">
    <xf numFmtId="0" fontId="0" fillId="0" borderId="0"/>
    <xf numFmtId="43"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9" fontId="5"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cellStyleXfs>
  <cellXfs count="218">
    <xf numFmtId="0" fontId="0" fillId="0" borderId="0" xfId="0"/>
    <xf numFmtId="0" fontId="6" fillId="0" borderId="0" xfId="0" applyFont="1"/>
    <xf numFmtId="0" fontId="7" fillId="0" borderId="0" xfId="0" applyFont="1"/>
    <xf numFmtId="0" fontId="7" fillId="0" borderId="1" xfId="0" applyFont="1" applyBorder="1"/>
    <xf numFmtId="0" fontId="8" fillId="0" borderId="0" xfId="0" applyFont="1"/>
    <xf numFmtId="44" fontId="7" fillId="0" borderId="0" xfId="2" applyFont="1" applyBorder="1"/>
    <xf numFmtId="164" fontId="7" fillId="0" borderId="1" xfId="0" applyNumberFormat="1" applyFont="1" applyBorder="1"/>
    <xf numFmtId="165" fontId="7" fillId="0" borderId="1" xfId="1" applyNumberFormat="1" applyFont="1" applyBorder="1" applyAlignment="1">
      <alignment horizontal="center"/>
    </xf>
    <xf numFmtId="0" fontId="10" fillId="0" borderId="0" xfId="0" applyFont="1"/>
    <xf numFmtId="0" fontId="7" fillId="0" borderId="3" xfId="0" applyFont="1" applyBorder="1"/>
    <xf numFmtId="0" fontId="0" fillId="0" borderId="0" xfId="0" applyAlignment="1">
      <alignment horizontal="center"/>
    </xf>
    <xf numFmtId="10" fontId="0" fillId="0" borderId="1"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left"/>
    </xf>
    <xf numFmtId="0" fontId="0" fillId="0" borderId="1" xfId="0" applyBorder="1" applyAlignment="1">
      <alignment horizontal="center"/>
    </xf>
    <xf numFmtId="0" fontId="0" fillId="0" borderId="5" xfId="0" applyBorder="1" applyAlignment="1">
      <alignment horizontal="center"/>
    </xf>
    <xf numFmtId="2" fontId="9" fillId="0" borderId="1" xfId="0" applyNumberFormat="1" applyFont="1" applyBorder="1" applyAlignment="1">
      <alignment horizontal="center"/>
    </xf>
    <xf numFmtId="2" fontId="0" fillId="0" borderId="1" xfId="0" applyNumberFormat="1" applyBorder="1" applyAlignment="1">
      <alignment horizontal="center"/>
    </xf>
    <xf numFmtId="2" fontId="2" fillId="0" borderId="1" xfId="0" applyNumberFormat="1" applyFont="1" applyBorder="1" applyAlignment="1">
      <alignment horizontal="center"/>
    </xf>
    <xf numFmtId="0" fontId="5" fillId="0" borderId="1" xfId="0" applyFont="1" applyBorder="1" applyAlignment="1">
      <alignment horizontal="center"/>
    </xf>
    <xf numFmtId="2" fontId="5" fillId="0" borderId="1" xfId="0" applyNumberFormat="1" applyFont="1" applyBorder="1" applyAlignment="1">
      <alignment horizontal="center"/>
    </xf>
    <xf numFmtId="0" fontId="5" fillId="0" borderId="1" xfId="0" applyFont="1" applyBorder="1" applyAlignment="1">
      <alignment horizontal="left"/>
    </xf>
    <xf numFmtId="0" fontId="13" fillId="2" borderId="1" xfId="0" applyFont="1" applyFill="1" applyBorder="1"/>
    <xf numFmtId="10" fontId="7" fillId="2" borderId="1" xfId="0" applyNumberFormat="1" applyFont="1" applyFill="1" applyBorder="1"/>
    <xf numFmtId="10" fontId="13" fillId="2" borderId="1" xfId="0" applyNumberFormat="1" applyFont="1" applyFill="1" applyBorder="1"/>
    <xf numFmtId="10" fontId="7" fillId="2" borderId="1" xfId="4" applyNumberFormat="1" applyFont="1" applyFill="1" applyBorder="1"/>
    <xf numFmtId="10" fontId="7" fillId="3" borderId="1" xfId="0" applyNumberFormat="1" applyFont="1" applyFill="1" applyBorder="1"/>
    <xf numFmtId="10" fontId="0" fillId="0" borderId="0" xfId="0" applyNumberFormat="1"/>
    <xf numFmtId="10" fontId="9" fillId="3" borderId="6" xfId="0" applyNumberFormat="1" applyFont="1" applyFill="1" applyBorder="1" applyAlignment="1">
      <alignment horizontal="center"/>
    </xf>
    <xf numFmtId="0" fontId="0" fillId="0" borderId="7" xfId="0" applyBorder="1" applyAlignment="1">
      <alignment horizontal="center"/>
    </xf>
    <xf numFmtId="0" fontId="0" fillId="0" borderId="2" xfId="0" applyBorder="1" applyAlignment="1">
      <alignment horizontal="center"/>
    </xf>
    <xf numFmtId="2" fontId="0" fillId="0" borderId="7" xfId="0" applyNumberFormat="1" applyBorder="1" applyAlignment="1">
      <alignment horizontal="center"/>
    </xf>
    <xf numFmtId="0" fontId="0" fillId="0" borderId="0" xfId="0" applyAlignment="1">
      <alignment horizontal="left"/>
    </xf>
    <xf numFmtId="10" fontId="8" fillId="0" borderId="0" xfId="0" applyNumberFormat="1" applyFont="1"/>
    <xf numFmtId="0" fontId="8" fillId="0" borderId="1" xfId="0" applyFont="1" applyBorder="1"/>
    <xf numFmtId="10" fontId="0" fillId="0" borderId="4" xfId="0" applyNumberFormat="1" applyBorder="1" applyAlignment="1">
      <alignment horizontal="center"/>
    </xf>
    <xf numFmtId="10" fontId="0" fillId="0" borderId="8" xfId="0" applyNumberFormat="1" applyBorder="1" applyAlignment="1">
      <alignment horizontal="center"/>
    </xf>
    <xf numFmtId="10" fontId="0" fillId="0" borderId="0" xfId="0" applyNumberFormat="1" applyAlignment="1">
      <alignment horizontal="center"/>
    </xf>
    <xf numFmtId="10" fontId="4" fillId="0" borderId="1" xfId="0" applyNumberFormat="1" applyFont="1" applyBorder="1" applyAlignment="1">
      <alignment horizontal="center"/>
    </xf>
    <xf numFmtId="10" fontId="0" fillId="0" borderId="0" xfId="4" applyNumberFormat="1" applyFont="1"/>
    <xf numFmtId="0" fontId="22" fillId="0" borderId="0" xfId="0" applyFont="1" applyAlignment="1">
      <alignment horizontal="left"/>
    </xf>
    <xf numFmtId="15" fontId="0" fillId="0" borderId="0" xfId="0" applyNumberFormat="1" applyAlignment="1">
      <alignment horizontal="center"/>
    </xf>
    <xf numFmtId="2" fontId="23" fillId="0" borderId="1" xfId="0" applyNumberFormat="1" applyFont="1" applyBorder="1" applyAlignment="1">
      <alignment horizontal="center"/>
    </xf>
    <xf numFmtId="0" fontId="23" fillId="0" borderId="1" xfId="0" applyFont="1" applyBorder="1" applyAlignment="1">
      <alignment horizontal="center"/>
    </xf>
    <xf numFmtId="0" fontId="0" fillId="0" borderId="0" xfId="0" applyAlignment="1">
      <alignment horizontal="center" wrapText="1"/>
    </xf>
    <xf numFmtId="10" fontId="0" fillId="0" borderId="5" xfId="0" applyNumberFormat="1" applyBorder="1" applyAlignment="1">
      <alignment horizontal="center"/>
    </xf>
    <xf numFmtId="10" fontId="0" fillId="0" borderId="9" xfId="0" applyNumberFormat="1" applyBorder="1" applyAlignment="1">
      <alignment horizontal="center"/>
    </xf>
    <xf numFmtId="10" fontId="0" fillId="0" borderId="10" xfId="0" applyNumberFormat="1" applyBorder="1" applyAlignment="1">
      <alignment horizontal="center"/>
    </xf>
    <xf numFmtId="10" fontId="0" fillId="0" borderId="1" xfId="4" applyNumberFormat="1" applyFont="1" applyBorder="1" applyAlignment="1">
      <alignment horizontal="center"/>
    </xf>
    <xf numFmtId="0" fontId="7" fillId="0" borderId="0" xfId="0" applyFont="1" applyAlignment="1">
      <alignment horizontal="center"/>
    </xf>
    <xf numFmtId="0" fontId="16" fillId="0" borderId="0" xfId="0" applyFont="1"/>
    <xf numFmtId="9" fontId="7" fillId="0" borderId="0" xfId="0" applyNumberFormat="1" applyFont="1"/>
    <xf numFmtId="2" fontId="24" fillId="0" borderId="1" xfId="0" applyNumberFormat="1" applyFont="1" applyBorder="1"/>
    <xf numFmtId="10" fontId="24" fillId="0" borderId="1" xfId="4" applyNumberFormat="1" applyFont="1" applyBorder="1"/>
    <xf numFmtId="10" fontId="24" fillId="0" borderId="1" xfId="0" applyNumberFormat="1" applyFont="1" applyBorder="1"/>
    <xf numFmtId="10" fontId="7" fillId="2" borderId="1" xfId="0" applyNumberFormat="1" applyFont="1" applyFill="1" applyBorder="1" applyAlignment="1">
      <alignment horizontal="center"/>
    </xf>
    <xf numFmtId="0" fontId="7" fillId="2" borderId="1" xfId="0" applyFont="1" applyFill="1" applyBorder="1" applyAlignment="1">
      <alignment horizontal="center"/>
    </xf>
    <xf numFmtId="0" fontId="18" fillId="0" borderId="0" xfId="0" applyFont="1"/>
    <xf numFmtId="10" fontId="7" fillId="0" borderId="0" xfId="0" applyNumberFormat="1" applyFont="1" applyAlignment="1">
      <alignment horizontal="center"/>
    </xf>
    <xf numFmtId="15" fontId="0" fillId="0" borderId="0" xfId="0" applyNumberFormat="1"/>
    <xf numFmtId="9" fontId="0" fillId="0" borderId="0" xfId="0" applyNumberFormat="1"/>
    <xf numFmtId="1" fontId="0" fillId="0" borderId="0" xfId="0" applyNumberFormat="1"/>
    <xf numFmtId="0" fontId="5" fillId="0" borderId="0" xfId="0" applyFont="1"/>
    <xf numFmtId="10" fontId="25" fillId="0" borderId="1" xfId="0" applyNumberFormat="1" applyFont="1" applyBorder="1"/>
    <xf numFmtId="2" fontId="0" fillId="0" borderId="0" xfId="0" applyNumberFormat="1" applyAlignment="1">
      <alignment horizontal="center"/>
    </xf>
    <xf numFmtId="0" fontId="7" fillId="0" borderId="7" xfId="0" applyFont="1" applyBorder="1"/>
    <xf numFmtId="0" fontId="0" fillId="0" borderId="11" xfId="0" applyBorder="1" applyAlignment="1">
      <alignment horizontal="center"/>
    </xf>
    <xf numFmtId="0" fontId="11" fillId="0" borderId="0" xfId="3" applyAlignment="1" applyProtection="1"/>
    <xf numFmtId="1" fontId="0" fillId="0" borderId="0" xfId="0" applyNumberFormat="1" applyAlignment="1">
      <alignment horizontal="center"/>
    </xf>
    <xf numFmtId="10" fontId="0" fillId="0" borderId="0" xfId="4" applyNumberFormat="1" applyFont="1" applyFill="1" applyBorder="1" applyAlignment="1" applyProtection="1"/>
    <xf numFmtId="0" fontId="26" fillId="0" borderId="1" xfId="0" applyFont="1" applyBorder="1" applyAlignment="1">
      <alignment horizontal="center"/>
    </xf>
    <xf numFmtId="10" fontId="23" fillId="0" borderId="1" xfId="0" applyNumberFormat="1" applyFont="1" applyBorder="1" applyAlignment="1">
      <alignment horizontal="center"/>
    </xf>
    <xf numFmtId="10" fontId="8" fillId="0" borderId="0" xfId="4" applyNumberFormat="1" applyFont="1"/>
    <xf numFmtId="2" fontId="7" fillId="3" borderId="1" xfId="0" applyNumberFormat="1" applyFont="1" applyFill="1" applyBorder="1" applyAlignment="1">
      <alignment horizontal="center"/>
    </xf>
    <xf numFmtId="2" fontId="7" fillId="3" borderId="7" xfId="0" applyNumberFormat="1" applyFont="1" applyFill="1" applyBorder="1" applyAlignment="1">
      <alignment horizontal="center"/>
    </xf>
    <xf numFmtId="0" fontId="19" fillId="0" borderId="0" xfId="0" applyFont="1"/>
    <xf numFmtId="0" fontId="0" fillId="0" borderId="0" xfId="0" applyAlignment="1">
      <alignment wrapText="1"/>
    </xf>
    <xf numFmtId="0" fontId="5" fillId="0" borderId="0" xfId="0" applyFont="1" applyAlignment="1">
      <alignment horizontal="center"/>
    </xf>
    <xf numFmtId="17" fontId="0" fillId="0" borderId="0" xfId="0" applyNumberFormat="1"/>
    <xf numFmtId="0" fontId="3" fillId="0" borderId="0" xfId="0" applyFont="1" applyAlignment="1">
      <alignment horizontal="left"/>
    </xf>
    <xf numFmtId="0" fontId="4" fillId="0" borderId="0" xfId="0" applyFont="1" applyAlignment="1">
      <alignment horizontal="left"/>
    </xf>
    <xf numFmtId="2" fontId="0" fillId="4" borderId="0" xfId="0" applyNumberFormat="1" applyFill="1" applyAlignment="1">
      <alignment horizontal="center"/>
    </xf>
    <xf numFmtId="0" fontId="0" fillId="4" borderId="0" xfId="0" applyFill="1" applyAlignment="1">
      <alignment horizontal="center"/>
    </xf>
    <xf numFmtId="0" fontId="0" fillId="4" borderId="0" xfId="0" applyFill="1"/>
    <xf numFmtId="0" fontId="0" fillId="2" borderId="2" xfId="0" applyFill="1" applyBorder="1" applyAlignment="1">
      <alignment horizontal="center"/>
    </xf>
    <xf numFmtId="10" fontId="27" fillId="0" borderId="1" xfId="0" applyNumberFormat="1" applyFont="1" applyBorder="1" applyAlignment="1">
      <alignment horizontal="center" vertical="center"/>
    </xf>
    <xf numFmtId="10" fontId="27" fillId="0" borderId="1" xfId="4" applyNumberFormat="1" applyFont="1" applyBorder="1" applyAlignment="1">
      <alignment horizontal="center" vertical="center"/>
    </xf>
    <xf numFmtId="10" fontId="27" fillId="0" borderId="1" xfId="0" applyNumberFormat="1" applyFont="1" applyBorder="1" applyAlignment="1">
      <alignment horizontal="center"/>
    </xf>
    <xf numFmtId="10" fontId="27" fillId="0" borderId="1" xfId="4" applyNumberFormat="1" applyFont="1" applyBorder="1" applyAlignment="1">
      <alignment horizontal="center"/>
    </xf>
    <xf numFmtId="0" fontId="4" fillId="0" borderId="0" xfId="0" applyFont="1"/>
    <xf numFmtId="15" fontId="15" fillId="0" borderId="0" xfId="0" applyNumberFormat="1" applyFont="1"/>
    <xf numFmtId="0" fontId="15" fillId="0" borderId="0" xfId="0" applyFont="1"/>
    <xf numFmtId="170" fontId="15" fillId="0" borderId="0" xfId="0" applyNumberFormat="1" applyFont="1"/>
    <xf numFmtId="168" fontId="15" fillId="0" borderId="0" xfId="0" applyNumberFormat="1" applyFont="1"/>
    <xf numFmtId="169" fontId="15" fillId="0" borderId="0" xfId="0" applyNumberFormat="1" applyFont="1"/>
    <xf numFmtId="2" fontId="15" fillId="0" borderId="0" xfId="0" applyNumberFormat="1" applyFont="1"/>
    <xf numFmtId="167" fontId="15" fillId="0" borderId="0" xfId="0" applyNumberFormat="1" applyFont="1"/>
    <xf numFmtId="10" fontId="15" fillId="0" borderId="0" xfId="4" applyNumberFormat="1" applyFont="1"/>
    <xf numFmtId="171" fontId="20" fillId="0" borderId="0" xfId="2" applyNumberFormat="1" applyFont="1" applyAlignment="1">
      <alignment horizontal="right"/>
    </xf>
    <xf numFmtId="171" fontId="15" fillId="0" borderId="0" xfId="2" applyNumberFormat="1" applyFont="1"/>
    <xf numFmtId="0" fontId="3" fillId="0" borderId="1" xfId="0" applyFont="1" applyBorder="1" applyAlignment="1">
      <alignment horizontal="center" wrapText="1"/>
    </xf>
    <xf numFmtId="0" fontId="3" fillId="0" borderId="0" xfId="0" applyFont="1" applyAlignment="1">
      <alignment horizontal="center" wrapText="1"/>
    </xf>
    <xf numFmtId="166" fontId="0" fillId="4" borderId="0" xfId="0" applyNumberFormat="1" applyFill="1" applyAlignment="1">
      <alignment horizontal="center"/>
    </xf>
    <xf numFmtId="172" fontId="20" fillId="0" borderId="0" xfId="0" applyNumberFormat="1" applyFont="1" applyAlignment="1">
      <alignment horizontal="right"/>
    </xf>
    <xf numFmtId="0" fontId="18" fillId="0" borderId="1" xfId="0" applyFont="1" applyBorder="1" applyAlignment="1">
      <alignment horizontal="center"/>
    </xf>
    <xf numFmtId="2" fontId="7" fillId="0" borderId="3" xfId="0" applyNumberFormat="1" applyFont="1" applyBorder="1" applyAlignment="1">
      <alignment horizontal="center"/>
    </xf>
    <xf numFmtId="10" fontId="7" fillId="0" borderId="3" xfId="4" applyNumberFormat="1" applyFont="1" applyBorder="1" applyAlignment="1">
      <alignment horizontal="center"/>
    </xf>
    <xf numFmtId="2" fontId="7" fillId="0" borderId="1" xfId="0" applyNumberFormat="1" applyFont="1" applyBorder="1" applyAlignment="1">
      <alignment horizontal="center"/>
    </xf>
    <xf numFmtId="0" fontId="7" fillId="0" borderId="1" xfId="0" applyFont="1" applyBorder="1" applyAlignment="1">
      <alignment horizontal="center"/>
    </xf>
    <xf numFmtId="0" fontId="7" fillId="0" borderId="7" xfId="0" applyFont="1" applyBorder="1" applyAlignment="1">
      <alignment horizontal="center"/>
    </xf>
    <xf numFmtId="0" fontId="8" fillId="0" borderId="0" xfId="0" applyFont="1" applyAlignment="1">
      <alignment horizontal="center"/>
    </xf>
    <xf numFmtId="44" fontId="7" fillId="0" borderId="1" xfId="2" applyFont="1" applyBorder="1" applyAlignment="1">
      <alignment horizontal="center"/>
    </xf>
    <xf numFmtId="44" fontId="7" fillId="0" borderId="7" xfId="2" applyFont="1" applyBorder="1" applyAlignment="1">
      <alignment horizontal="center"/>
    </xf>
    <xf numFmtId="44" fontId="7" fillId="0" borderId="0" xfId="2" applyFont="1" applyBorder="1" applyAlignment="1">
      <alignment horizontal="center"/>
    </xf>
    <xf numFmtId="0" fontId="22" fillId="5" borderId="0" xfId="0" applyFont="1" applyFill="1" applyAlignment="1">
      <alignment horizontal="left"/>
    </xf>
    <xf numFmtId="0" fontId="2" fillId="5" borderId="0" xfId="0" applyFont="1" applyFill="1" applyAlignment="1">
      <alignment horizontal="center"/>
    </xf>
    <xf numFmtId="0" fontId="0" fillId="5" borderId="0" xfId="0" applyFill="1" applyAlignment="1">
      <alignment horizontal="center"/>
    </xf>
    <xf numFmtId="15" fontId="0" fillId="5" borderId="0" xfId="0" applyNumberFormat="1" applyFill="1" applyAlignment="1">
      <alignment horizontal="center"/>
    </xf>
    <xf numFmtId="10" fontId="7" fillId="0" borderId="1" xfId="4" applyNumberFormat="1" applyFont="1" applyBorder="1" applyAlignment="1">
      <alignment horizontal="center"/>
    </xf>
    <xf numFmtId="0" fontId="8" fillId="0" borderId="1" xfId="0" applyFont="1" applyBorder="1" applyAlignment="1">
      <alignment horizontal="center"/>
    </xf>
    <xf numFmtId="164" fontId="18" fillId="0" borderId="1" xfId="0" applyNumberFormat="1" applyFont="1" applyBorder="1" applyAlignment="1">
      <alignment horizontal="center"/>
    </xf>
    <xf numFmtId="0" fontId="27" fillId="0" borderId="0" xfId="0" applyFont="1" applyAlignment="1">
      <alignment horizontal="center"/>
    </xf>
    <xf numFmtId="9" fontId="0" fillId="0" borderId="0" xfId="0" applyNumberFormat="1" applyAlignment="1">
      <alignment horizontal="center"/>
    </xf>
    <xf numFmtId="2" fontId="0" fillId="0" borderId="0" xfId="0" applyNumberFormat="1"/>
    <xf numFmtId="0" fontId="0" fillId="4" borderId="1" xfId="0" applyFill="1" applyBorder="1" applyAlignment="1">
      <alignment horizontal="left"/>
    </xf>
    <xf numFmtId="0" fontId="0" fillId="4" borderId="1" xfId="0" applyFill="1" applyBorder="1" applyAlignment="1">
      <alignment horizontal="center"/>
    </xf>
    <xf numFmtId="2" fontId="0" fillId="4" borderId="1" xfId="0" applyNumberFormat="1" applyFill="1" applyBorder="1" applyAlignment="1">
      <alignment horizontal="center"/>
    </xf>
    <xf numFmtId="2" fontId="2" fillId="4" borderId="1" xfId="0" applyNumberFormat="1" applyFont="1" applyFill="1" applyBorder="1" applyAlignment="1">
      <alignment horizontal="center"/>
    </xf>
    <xf numFmtId="0" fontId="22" fillId="4" borderId="0" xfId="0" applyFont="1" applyFill="1" applyAlignment="1">
      <alignment horizontal="left"/>
    </xf>
    <xf numFmtId="15" fontId="0" fillId="4" borderId="0" xfId="0" applyNumberFormat="1" applyFill="1" applyAlignment="1">
      <alignment horizontal="center"/>
    </xf>
    <xf numFmtId="10" fontId="14" fillId="0" borderId="1" xfId="4" applyNumberFormat="1" applyFont="1" applyFill="1" applyBorder="1" applyAlignment="1">
      <alignment horizontal="center"/>
    </xf>
    <xf numFmtId="10" fontId="22" fillId="0" borderId="0" xfId="4" applyNumberFormat="1" applyFont="1" applyFill="1" applyBorder="1" applyAlignment="1" applyProtection="1"/>
    <xf numFmtId="1" fontId="0" fillId="0" borderId="1" xfId="0" applyNumberFormat="1" applyBorder="1" applyAlignment="1">
      <alignment horizontal="center"/>
    </xf>
    <xf numFmtId="2" fontId="0" fillId="0" borderId="0" xfId="0" applyNumberFormat="1" applyAlignment="1">
      <alignment horizontal="center" wrapText="1"/>
    </xf>
    <xf numFmtId="0" fontId="0" fillId="2" borderId="1" xfId="0" applyFill="1" applyBorder="1"/>
    <xf numFmtId="0" fontId="27" fillId="0" borderId="8" xfId="0" applyFont="1" applyBorder="1" applyAlignment="1">
      <alignment horizontal="center" vertical="center"/>
    </xf>
    <xf numFmtId="1" fontId="27" fillId="0" borderId="8" xfId="0" applyNumberFormat="1" applyFont="1" applyBorder="1" applyAlignment="1">
      <alignment horizontal="center" vertical="center"/>
    </xf>
    <xf numFmtId="1" fontId="27" fillId="0" borderId="8" xfId="0" applyNumberFormat="1" applyFont="1" applyBorder="1" applyAlignment="1">
      <alignment horizontal="center"/>
    </xf>
    <xf numFmtId="0" fontId="27" fillId="0" borderId="8" xfId="0" applyFont="1" applyBorder="1" applyAlignment="1">
      <alignment horizontal="center"/>
    </xf>
    <xf numFmtId="10" fontId="27" fillId="0" borderId="5" xfId="0" applyNumberFormat="1" applyFont="1" applyBorder="1" applyAlignment="1">
      <alignment horizontal="center" vertical="center"/>
    </xf>
    <xf numFmtId="10" fontId="27" fillId="0" borderId="5" xfId="0" applyNumberFormat="1" applyFont="1" applyBorder="1" applyAlignment="1">
      <alignment horizontal="center"/>
    </xf>
    <xf numFmtId="0" fontId="28" fillId="0" borderId="15" xfId="0" applyFont="1" applyBorder="1" applyAlignment="1">
      <alignment horizontal="center" vertical="center"/>
    </xf>
    <xf numFmtId="0" fontId="28" fillId="0" borderId="3" xfId="0" applyFont="1" applyBorder="1" applyAlignment="1">
      <alignment horizontal="center" vertical="center"/>
    </xf>
    <xf numFmtId="10" fontId="28" fillId="0" borderId="16" xfId="0" applyNumberFormat="1" applyFont="1" applyBorder="1" applyAlignment="1">
      <alignment horizontal="center" vertical="center"/>
    </xf>
    <xf numFmtId="0" fontId="27" fillId="0" borderId="17" xfId="0" applyFont="1" applyBorder="1" applyAlignment="1">
      <alignment horizontal="center"/>
    </xf>
    <xf numFmtId="10" fontId="27" fillId="0" borderId="7" xfId="0" applyNumberFormat="1" applyFont="1" applyBorder="1" applyAlignment="1">
      <alignment horizontal="center"/>
    </xf>
    <xf numFmtId="10" fontId="27" fillId="0" borderId="11" xfId="0" applyNumberFormat="1" applyFont="1" applyBorder="1" applyAlignment="1">
      <alignment horizontal="center"/>
    </xf>
    <xf numFmtId="10" fontId="27" fillId="0" borderId="7" xfId="4" applyNumberFormat="1" applyFont="1" applyBorder="1" applyAlignment="1">
      <alignment horizontal="center"/>
    </xf>
    <xf numFmtId="0" fontId="0" fillId="0" borderId="1" xfId="0" applyBorder="1"/>
    <xf numFmtId="0" fontId="4" fillId="0" borderId="1" xfId="0" applyFont="1" applyBorder="1" applyAlignment="1">
      <alignment horizontal="center"/>
    </xf>
    <xf numFmtId="10" fontId="25" fillId="0" borderId="0" xfId="0" applyNumberFormat="1" applyFont="1"/>
    <xf numFmtId="44" fontId="23" fillId="0" borderId="1" xfId="2" applyFont="1" applyBorder="1" applyAlignment="1">
      <alignment horizontal="center"/>
    </xf>
    <xf numFmtId="10" fontId="0" fillId="0" borderId="0" xfId="4" applyNumberFormat="1" applyFont="1" applyAlignment="1">
      <alignment horizontal="center"/>
    </xf>
    <xf numFmtId="10" fontId="2" fillId="0" borderId="1" xfId="0" applyNumberFormat="1" applyFont="1" applyBorder="1" applyAlignment="1">
      <alignment horizontal="center"/>
    </xf>
    <xf numFmtId="0" fontId="2" fillId="0" borderId="1" xfId="0" applyFont="1" applyBorder="1" applyAlignment="1">
      <alignment horizontal="center"/>
    </xf>
    <xf numFmtId="0" fontId="0" fillId="6" borderId="1" xfId="0" applyFill="1" applyBorder="1" applyAlignment="1">
      <alignment horizontal="left"/>
    </xf>
    <xf numFmtId="2" fontId="2" fillId="6" borderId="1" xfId="0" applyNumberFormat="1" applyFont="1" applyFill="1" applyBorder="1" applyAlignment="1">
      <alignment horizontal="center"/>
    </xf>
    <xf numFmtId="10" fontId="2" fillId="6" borderId="1" xfId="0" applyNumberFormat="1" applyFont="1" applyFill="1" applyBorder="1" applyAlignment="1">
      <alignment horizontal="center"/>
    </xf>
    <xf numFmtId="10" fontId="4" fillId="6" borderId="1" xfId="0" applyNumberFormat="1" applyFont="1" applyFill="1" applyBorder="1" applyAlignment="1">
      <alignment horizontal="center"/>
    </xf>
    <xf numFmtId="0" fontId="2" fillId="6" borderId="1" xfId="0" applyFont="1" applyFill="1" applyBorder="1" applyAlignment="1">
      <alignment horizontal="center"/>
    </xf>
    <xf numFmtId="10" fontId="14" fillId="6" borderId="1" xfId="4" applyNumberFormat="1" applyFont="1" applyFill="1" applyBorder="1" applyAlignment="1">
      <alignment horizontal="center"/>
    </xf>
    <xf numFmtId="10" fontId="2" fillId="6" borderId="0" xfId="0" applyNumberFormat="1" applyFont="1" applyFill="1" applyAlignment="1">
      <alignment horizontal="center"/>
    </xf>
    <xf numFmtId="2" fontId="2" fillId="6" borderId="0" xfId="0" applyNumberFormat="1" applyFont="1" applyFill="1" applyAlignment="1">
      <alignment horizontal="center"/>
    </xf>
    <xf numFmtId="10" fontId="0" fillId="7" borderId="2" xfId="0" applyNumberFormat="1" applyFill="1" applyBorder="1"/>
    <xf numFmtId="173" fontId="33" fillId="0" borderId="0" xfId="0" applyNumberFormat="1" applyFont="1" applyAlignment="1">
      <alignment horizontal="right"/>
    </xf>
    <xf numFmtId="2" fontId="21" fillId="2" borderId="3" xfId="0" applyNumberFormat="1" applyFont="1" applyFill="1" applyBorder="1" applyAlignment="1">
      <alignment horizontal="center" vertical="center"/>
    </xf>
    <xf numFmtId="0" fontId="17" fillId="0" borderId="0" xfId="0" applyFont="1"/>
    <xf numFmtId="0" fontId="7" fillId="0" borderId="0" xfId="0" applyFont="1" applyAlignment="1">
      <alignment vertical="top"/>
    </xf>
    <xf numFmtId="44" fontId="8" fillId="3" borderId="1" xfId="2" applyFont="1" applyFill="1" applyBorder="1" applyAlignment="1">
      <alignment horizontal="center"/>
    </xf>
    <xf numFmtId="2" fontId="7" fillId="2" borderId="1" xfId="0" applyNumberFormat="1" applyFont="1" applyFill="1" applyBorder="1"/>
    <xf numFmtId="0" fontId="15" fillId="0" borderId="0" xfId="0" applyFont="1" applyAlignment="1">
      <alignment horizontal="center"/>
    </xf>
    <xf numFmtId="9" fontId="0" fillId="0" borderId="0" xfId="4" applyFont="1" applyAlignment="1"/>
    <xf numFmtId="0" fontId="35" fillId="0" borderId="0" xfId="0" applyFont="1"/>
    <xf numFmtId="8" fontId="0" fillId="0" borderId="1" xfId="0" applyNumberFormat="1" applyBorder="1"/>
    <xf numFmtId="0" fontId="26" fillId="0" borderId="8" xfId="0" applyFont="1" applyBorder="1" applyAlignment="1">
      <alignment horizontal="center"/>
    </xf>
    <xf numFmtId="174" fontId="0" fillId="0" borderId="0" xfId="0" applyNumberFormat="1"/>
    <xf numFmtId="0" fontId="0" fillId="2" borderId="7" xfId="0" applyFill="1" applyBorder="1"/>
    <xf numFmtId="2" fontId="25" fillId="0" borderId="1" xfId="2" applyNumberFormat="1" applyFont="1" applyBorder="1"/>
    <xf numFmtId="2" fontId="0" fillId="0" borderId="1" xfId="0" applyNumberFormat="1" applyBorder="1"/>
    <xf numFmtId="0" fontId="39" fillId="0" borderId="0" xfId="0" applyFont="1"/>
    <xf numFmtId="0" fontId="40" fillId="0" borderId="0" xfId="0" applyFont="1"/>
    <xf numFmtId="2" fontId="39" fillId="0" borderId="0" xfId="0" applyNumberFormat="1" applyFont="1" applyAlignment="1">
      <alignment horizontal="center"/>
    </xf>
    <xf numFmtId="0" fontId="23" fillId="0" borderId="0" xfId="0" applyFont="1" applyAlignment="1">
      <alignment horizontal="center"/>
    </xf>
    <xf numFmtId="0" fontId="23" fillId="0" borderId="7" xfId="0" applyFont="1" applyBorder="1" applyAlignment="1">
      <alignment horizontal="center"/>
    </xf>
    <xf numFmtId="10" fontId="23" fillId="0" borderId="7" xfId="0" applyNumberFormat="1" applyFont="1" applyBorder="1" applyAlignment="1">
      <alignment horizontal="center"/>
    </xf>
    <xf numFmtId="2" fontId="7" fillId="0" borderId="2" xfId="2" applyNumberFormat="1" applyFont="1" applyBorder="1"/>
    <xf numFmtId="2" fontId="7" fillId="0" borderId="1" xfId="2" applyNumberFormat="1" applyFont="1" applyBorder="1"/>
    <xf numFmtId="2" fontId="7" fillId="0" borderId="1" xfId="0" applyNumberFormat="1" applyFont="1" applyBorder="1"/>
    <xf numFmtId="2" fontId="8" fillId="0" borderId="1" xfId="0" applyNumberFormat="1" applyFont="1" applyBorder="1"/>
    <xf numFmtId="2" fontId="7" fillId="0" borderId="1" xfId="1" applyNumberFormat="1" applyFont="1" applyBorder="1" applyAlignment="1">
      <alignment horizontal="center"/>
    </xf>
    <xf numFmtId="167" fontId="15" fillId="0" borderId="0" xfId="4" applyNumberFormat="1" applyFont="1"/>
    <xf numFmtId="164" fontId="42" fillId="0" borderId="0" xfId="0" applyNumberFormat="1" applyFont="1" applyAlignment="1">
      <alignment horizontal="center"/>
    </xf>
    <xf numFmtId="164" fontId="43" fillId="0" borderId="0" xfId="0" applyNumberFormat="1" applyFont="1" applyAlignment="1">
      <alignment horizontal="center"/>
    </xf>
    <xf numFmtId="2" fontId="39" fillId="0" borderId="0" xfId="0" applyNumberFormat="1" applyFont="1"/>
    <xf numFmtId="8" fontId="0" fillId="0" borderId="1" xfId="0" applyNumberFormat="1" applyBorder="1" applyAlignment="1">
      <alignment horizontal="center"/>
    </xf>
    <xf numFmtId="0" fontId="39" fillId="0" borderId="0" xfId="0" applyFont="1" applyAlignment="1">
      <alignment horizontal="center"/>
    </xf>
    <xf numFmtId="10" fontId="1" fillId="8" borderId="7" xfId="2" applyNumberFormat="1" applyFont="1" applyFill="1" applyBorder="1" applyAlignment="1">
      <alignment horizontal="center"/>
    </xf>
    <xf numFmtId="10" fontId="23" fillId="0" borderId="1" xfId="2" applyNumberFormat="1" applyFont="1" applyBorder="1" applyAlignment="1">
      <alignment horizontal="center"/>
    </xf>
    <xf numFmtId="0" fontId="5" fillId="0" borderId="5" xfId="0" applyFont="1" applyBorder="1" applyAlignment="1">
      <alignment horizontal="center"/>
    </xf>
    <xf numFmtId="10" fontId="5" fillId="0" borderId="7" xfId="0" applyNumberFormat="1" applyFont="1" applyBorder="1" applyAlignment="1">
      <alignment horizontal="center"/>
    </xf>
    <xf numFmtId="10" fontId="5" fillId="0" borderId="11" xfId="0" applyNumberFormat="1" applyFont="1" applyBorder="1" applyAlignment="1">
      <alignment horizontal="center"/>
    </xf>
    <xf numFmtId="10" fontId="7" fillId="2" borderId="1" xfId="4" applyNumberFormat="1" applyFont="1" applyFill="1" applyBorder="1" applyAlignment="1">
      <alignment horizontal="center"/>
    </xf>
    <xf numFmtId="2" fontId="0" fillId="0" borderId="0" xfId="4" applyNumberFormat="1" applyFont="1" applyAlignment="1">
      <alignment horizontal="center"/>
    </xf>
    <xf numFmtId="0" fontId="10" fillId="0" borderId="9" xfId="0" applyFont="1" applyBorder="1" applyAlignment="1">
      <alignment horizontal="center"/>
    </xf>
    <xf numFmtId="0" fontId="10" fillId="0" borderId="18" xfId="0" applyFont="1" applyBorder="1" applyAlignment="1">
      <alignment horizontal="center"/>
    </xf>
    <xf numFmtId="0" fontId="10" fillId="0" borderId="19" xfId="0" applyFont="1" applyBorder="1" applyAlignment="1">
      <alignment horizontal="center"/>
    </xf>
    <xf numFmtId="0" fontId="10" fillId="0" borderId="20" xfId="0" applyFont="1" applyBorder="1" applyAlignment="1">
      <alignment horizontal="center"/>
    </xf>
    <xf numFmtId="0" fontId="10" fillId="0" borderId="0" xfId="0" applyFont="1" applyAlignment="1">
      <alignment horizontal="center"/>
    </xf>
    <xf numFmtId="0" fontId="34" fillId="7" borderId="12" xfId="0" applyFont="1" applyFill="1" applyBorder="1" applyAlignment="1">
      <alignment horizontal="left" vertical="top" wrapText="1"/>
    </xf>
    <xf numFmtId="0" fontId="17" fillId="7" borderId="13" xfId="0" applyFont="1" applyFill="1" applyBorder="1" applyAlignment="1">
      <alignment horizontal="left" vertical="top" wrapText="1"/>
    </xf>
    <xf numFmtId="0" fontId="17" fillId="7" borderId="14" xfId="0" applyFont="1" applyFill="1" applyBorder="1" applyAlignment="1">
      <alignment horizontal="left" vertical="top" wrapText="1"/>
    </xf>
    <xf numFmtId="0" fontId="17" fillId="7" borderId="21" xfId="0" applyFont="1" applyFill="1" applyBorder="1" applyAlignment="1">
      <alignment horizontal="left" vertical="top" wrapText="1"/>
    </xf>
    <xf numFmtId="0" fontId="17" fillId="7" borderId="22" xfId="0" applyFont="1" applyFill="1" applyBorder="1" applyAlignment="1">
      <alignment horizontal="left" vertical="top" wrapText="1"/>
    </xf>
    <xf numFmtId="0" fontId="17" fillId="7" borderId="23" xfId="0" applyFont="1" applyFill="1" applyBorder="1" applyAlignment="1">
      <alignment horizontal="left" vertical="top" wrapText="1"/>
    </xf>
    <xf numFmtId="0" fontId="4" fillId="0" borderId="0" xfId="0" applyFont="1" applyAlignment="1">
      <alignment horizontal="left" wrapText="1"/>
    </xf>
    <xf numFmtId="0" fontId="0" fillId="0" borderId="0" xfId="0" applyAlignment="1">
      <alignment horizontal="center"/>
    </xf>
    <xf numFmtId="0" fontId="32" fillId="0" borderId="0" xfId="0" applyFont="1" applyAlignment="1">
      <alignment horizontal="center"/>
    </xf>
    <xf numFmtId="0" fontId="15" fillId="0" borderId="0" xfId="0" applyFont="1" applyAlignment="1">
      <alignment horizontal="center"/>
    </xf>
  </cellXfs>
  <cellStyles count="11">
    <cellStyle name="Comma" xfId="1" builtinId="3"/>
    <cellStyle name="Currency" xfId="2" builtinId="4"/>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3" builtinId="8"/>
    <cellStyle name="Normal" xfId="0" builtinId="0"/>
    <cellStyle name="Percent" xfId="4" builtinId="5"/>
  </cellStyles>
  <dxfs count="63">
    <dxf>
      <font>
        <b/>
        <i val="0"/>
        <strike val="0"/>
        <condense val="0"/>
        <extend val="0"/>
        <outline val="0"/>
        <shadow val="0"/>
        <u val="none"/>
        <vertAlign val="baseline"/>
        <sz val="12"/>
        <color auto="1"/>
        <name val="Geneva"/>
        <family val="2"/>
        <scheme val="none"/>
      </font>
      <numFmt numFmtId="14" formatCode="0.00%"/>
    </dxf>
    <dxf>
      <font>
        <b/>
        <i val="0"/>
        <strike val="0"/>
        <condense val="0"/>
        <extend val="0"/>
        <outline val="0"/>
        <shadow val="0"/>
        <u val="none"/>
        <vertAlign val="baseline"/>
        <sz val="12"/>
        <color auto="1"/>
        <name val="Geneva"/>
        <family val="2"/>
        <scheme val="none"/>
      </font>
      <numFmt numFmtId="14" formatCode="0.00%"/>
    </dxf>
    <dxf>
      <font>
        <b/>
        <i val="0"/>
        <strike val="0"/>
        <condense val="0"/>
        <extend val="0"/>
        <outline val="0"/>
        <shadow val="0"/>
        <u val="none"/>
        <vertAlign val="baseline"/>
        <sz val="12"/>
        <color auto="1"/>
        <name val="Geneva"/>
        <family val="2"/>
        <scheme val="none"/>
      </font>
      <numFmt numFmtId="14" formatCode="0.00%"/>
    </dxf>
    <dxf>
      <font>
        <b/>
        <i val="0"/>
        <strike val="0"/>
        <condense val="0"/>
        <extend val="0"/>
        <outline val="0"/>
        <shadow val="0"/>
        <u val="none"/>
        <vertAlign val="baseline"/>
        <sz val="12"/>
        <color auto="1"/>
        <name val="Geneva"/>
        <family val="2"/>
        <scheme val="none"/>
      </font>
      <numFmt numFmtId="14" formatCode="0.00%"/>
    </dxf>
    <dxf>
      <font>
        <b/>
        <i val="0"/>
        <strike val="0"/>
        <condense val="0"/>
        <extend val="0"/>
        <outline val="0"/>
        <shadow val="0"/>
        <u val="none"/>
        <vertAlign val="baseline"/>
        <sz val="12"/>
        <color auto="1"/>
        <name val="Geneva"/>
        <family val="2"/>
        <scheme val="none"/>
      </font>
      <numFmt numFmtId="167" formatCode="&quot;$&quot;#,##0.00;[Red]&quot;$&quot;#,##0.00"/>
    </dxf>
    <dxf>
      <font>
        <b/>
        <i val="0"/>
        <strike val="0"/>
        <condense val="0"/>
        <extend val="0"/>
        <outline val="0"/>
        <shadow val="0"/>
        <u val="none"/>
        <vertAlign val="baseline"/>
        <sz val="12"/>
        <color auto="1"/>
        <name val="Geneva"/>
        <family val="2"/>
        <scheme val="none"/>
      </font>
      <numFmt numFmtId="167" formatCode="&quot;$&quot;#,##0.00;[Red]&quot;$&quot;#,##0.00"/>
    </dxf>
    <dxf>
      <font>
        <b/>
        <i val="0"/>
        <strike val="0"/>
        <condense val="0"/>
        <extend val="0"/>
        <outline val="0"/>
        <shadow val="0"/>
        <u val="none"/>
        <vertAlign val="baseline"/>
        <sz val="12"/>
        <color auto="1"/>
        <name val="Geneva"/>
        <family val="2"/>
        <scheme val="none"/>
      </font>
      <numFmt numFmtId="167" formatCode="&quot;$&quot;#,##0.00;[Red]&quot;$&quot;#,##0.00"/>
    </dxf>
    <dxf>
      <font>
        <b/>
        <i val="0"/>
        <strike val="0"/>
        <condense val="0"/>
        <extend val="0"/>
        <outline val="0"/>
        <shadow val="0"/>
        <u val="none"/>
        <vertAlign val="baseline"/>
        <sz val="12"/>
        <color auto="1"/>
        <name val="Geneva"/>
        <family val="2"/>
        <scheme val="none"/>
      </font>
      <numFmt numFmtId="167" formatCode="&quot;$&quot;#,##0.00;[Red]&quot;$&quot;#,##0.00"/>
    </dxf>
    <dxf>
      <font>
        <b/>
        <i val="0"/>
        <strike val="0"/>
        <condense val="0"/>
        <extend val="0"/>
        <outline val="0"/>
        <shadow val="0"/>
        <u val="none"/>
        <vertAlign val="baseline"/>
        <sz val="12"/>
        <color auto="1"/>
        <name val="Geneva"/>
        <family val="2"/>
        <scheme val="none"/>
      </font>
      <numFmt numFmtId="167" formatCode="&quot;$&quot;#,##0.00;[Red]&quot;$&quot;#,##0.00"/>
    </dxf>
    <dxf>
      <font>
        <b/>
        <i val="0"/>
        <strike val="0"/>
        <condense val="0"/>
        <extend val="0"/>
        <outline val="0"/>
        <shadow val="0"/>
        <u val="none"/>
        <vertAlign val="baseline"/>
        <sz val="12"/>
        <color auto="1"/>
        <name val="Geneva"/>
        <family val="2"/>
        <scheme val="none"/>
      </font>
      <numFmt numFmtId="167" formatCode="&quot;$&quot;#,##0.00;[Red]&quot;$&quot;#,##0.00"/>
    </dxf>
    <dxf>
      <font>
        <b/>
        <i val="0"/>
        <strike val="0"/>
        <condense val="0"/>
        <extend val="0"/>
        <outline val="0"/>
        <shadow val="0"/>
        <u val="none"/>
        <vertAlign val="baseline"/>
        <sz val="12"/>
        <color auto="1"/>
        <name val="Geneva"/>
        <family val="2"/>
        <scheme val="none"/>
      </font>
      <numFmt numFmtId="2" formatCode="0.00"/>
    </dxf>
    <dxf>
      <font>
        <b/>
        <i val="0"/>
        <strike val="0"/>
        <condense val="0"/>
        <extend val="0"/>
        <outline val="0"/>
        <shadow val="0"/>
        <u val="none"/>
        <vertAlign val="baseline"/>
        <sz val="12"/>
        <color auto="1"/>
        <name val="Geneva"/>
        <family val="2"/>
        <scheme val="none"/>
      </font>
      <numFmt numFmtId="169" formatCode="0.000000000"/>
    </dxf>
    <dxf>
      <font>
        <b/>
        <i val="0"/>
        <strike val="0"/>
        <condense val="0"/>
        <extend val="0"/>
        <outline val="0"/>
        <shadow val="0"/>
        <u val="none"/>
        <vertAlign val="baseline"/>
        <sz val="12"/>
        <color auto="1"/>
        <name val="Geneva"/>
        <family val="2"/>
        <scheme val="none"/>
      </font>
      <numFmt numFmtId="168" formatCode="&quot;$&quot;#,##0;[Red]&quot;$&quot;#,##0"/>
    </dxf>
    <dxf>
      <font>
        <b/>
        <i val="0"/>
        <strike val="0"/>
        <condense val="0"/>
        <extend val="0"/>
        <outline val="0"/>
        <shadow val="0"/>
        <u val="none"/>
        <vertAlign val="baseline"/>
        <sz val="12"/>
        <color auto="1"/>
        <name val="Geneva"/>
        <family val="2"/>
        <scheme val="none"/>
      </font>
      <numFmt numFmtId="170" formatCode="_([$$-409]* #,##0_);_([$$-409]* \(#,##0\);_([$$-409]* &quot;-&quot;??_);_(@_)"/>
    </dxf>
    <dxf>
      <font>
        <b/>
        <i val="0"/>
        <strike val="0"/>
        <condense val="0"/>
        <extend val="0"/>
        <outline val="0"/>
        <shadow val="0"/>
        <u val="none"/>
        <vertAlign val="baseline"/>
        <sz val="12"/>
        <color auto="1"/>
        <name val="Geneva"/>
        <family val="2"/>
        <scheme val="none"/>
      </font>
    </dxf>
    <dxf>
      <numFmt numFmtId="20" formatCode="d\-mmm\-yy"/>
    </dxf>
    <dxf>
      <font>
        <b/>
        <i val="0"/>
        <strike val="0"/>
        <condense val="0"/>
        <extend val="0"/>
        <outline val="0"/>
        <shadow val="0"/>
        <u val="none"/>
        <vertAlign val="baseline"/>
        <sz val="12"/>
        <color auto="1"/>
        <name val="Geneva"/>
        <family val="2"/>
        <scheme val="none"/>
      </font>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Calibri"/>
        <family val="2"/>
        <scheme val="minor"/>
      </font>
      <numFmt numFmtId="34" formatCode="_(&quot;$&quot;* #,##0.00_);_(&quot;$&quot;* \(#,##0.00\);_(&quot;$&quot;* &quot;-&quot;??_);_(@_)"/>
      <fill>
        <patternFill patternType="solid">
          <fgColor theme="0" tint="-0.14999847407452621"/>
          <bgColor theme="0" tint="-0.149998474074526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Calibri"/>
        <family val="2"/>
        <scheme val="minor"/>
      </font>
      <numFmt numFmtId="34" formatCode="_(&quot;$&quot;* #,##0.00_);_(&quot;$&quot;* \(#,##0.00\);_(&quot;$&quot;* &quot;-&quot;??_);_(@_)"/>
      <fill>
        <patternFill patternType="solid">
          <fgColor theme="0" tint="-0.14999847407452621"/>
          <bgColor theme="0" tint="-0.149998474074526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Calibri"/>
        <family val="2"/>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Calibri"/>
        <family val="2"/>
        <scheme val="minor"/>
      </font>
      <fill>
        <patternFill patternType="solid">
          <fgColor theme="0" tint="-0.14999847407452621"/>
          <bgColor theme="0" tint="-0.149998474074526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Calibri"/>
        <family val="2"/>
        <scheme val="minor"/>
      </font>
      <numFmt numFmtId="14" formatCode="0.00%"/>
      <fill>
        <patternFill patternType="solid">
          <fgColor theme="0" tint="-0.14999847407452621"/>
          <bgColor theme="0" tint="-0.149998474074526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outline="0">
        <right style="thin">
          <color auto="1"/>
        </right>
      </border>
    </dxf>
    <dxf>
      <alignment horizontal="center" vertical="bottom" textRotation="0" wrapText="0" indent="0" justifyLastLine="0" shrinkToFit="0" readingOrder="0"/>
      <border outline="0">
        <right style="thin">
          <color auto="1"/>
        </right>
      </border>
    </dxf>
    <dxf>
      <alignment horizontal="center" vertical="bottom" textRotation="0" wrapText="0" indent="0" justifyLastLine="0" shrinkToFit="0" readingOrder="0"/>
      <border outline="0">
        <right style="thin">
          <color auto="1"/>
        </right>
      </border>
    </dxf>
    <dxf>
      <border outline="0">
        <right style="thin">
          <color auto="1"/>
        </right>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alignment horizontal="center" vertical="bottom" textRotation="0" wrapText="0" indent="0" justifyLastLine="0" shrinkToFit="0" readingOrder="0"/>
    </dxf>
    <dxf>
      <numFmt numFmtId="14" formatCode="0.0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 formatCode="0"/>
    </dxf>
    <dxf>
      <numFmt numFmtId="20" formatCode="d\-mmm\-yy"/>
    </dxf>
    <dxf>
      <alignment horizontal="general" vertical="bottom" textRotation="0" wrapText="1" indent="0" justifyLastLine="0" shrinkToFit="0" readingOrder="0"/>
    </dxf>
    <dxf>
      <font>
        <b val="0"/>
        <i val="0"/>
        <strike val="0"/>
        <condense val="0"/>
        <extend val="0"/>
        <outline val="0"/>
        <shadow val="0"/>
        <u val="none"/>
        <vertAlign val="baseline"/>
        <sz val="10"/>
        <color auto="1"/>
        <name val="Calibri"/>
        <scheme val="minor"/>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0"/>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strike val="0"/>
        <condense val="0"/>
        <extend val="0"/>
        <outline val="0"/>
        <shadow val="0"/>
        <u val="none"/>
        <vertAlign val="baseline"/>
        <sz val="10"/>
        <color auto="1"/>
        <name val="Calibri"/>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698500</xdr:colOff>
      <xdr:row>28</xdr:row>
      <xdr:rowOff>0</xdr:rowOff>
    </xdr:from>
    <xdr:to>
      <xdr:col>7</xdr:col>
      <xdr:colOff>876300</xdr:colOff>
      <xdr:row>30</xdr:row>
      <xdr:rowOff>22860</xdr:rowOff>
    </xdr:to>
    <xdr:sp macro="" textlink="">
      <xdr:nvSpPr>
        <xdr:cNvPr id="1680" name="Rectangle 1">
          <a:extLst>
            <a:ext uri="{FF2B5EF4-FFF2-40B4-BE49-F238E27FC236}">
              <a16:creationId xmlns:a16="http://schemas.microsoft.com/office/drawing/2014/main" id="{3C977FC5-F8BC-B941-AC5F-A533DCEFEEAE}"/>
            </a:ext>
          </a:extLst>
        </xdr:cNvPr>
        <xdr:cNvSpPr>
          <a:spLocks noChangeArrowheads="1"/>
        </xdr:cNvSpPr>
      </xdr:nvSpPr>
      <xdr:spPr bwMode="auto">
        <a:xfrm>
          <a:off x="12115800" y="4864100"/>
          <a:ext cx="177800" cy="406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rtlCol="0"/>
        <a:lstStyle/>
        <a:p>
          <a:pPr algn="ctr"/>
          <a:endParaRPr lang="en-US"/>
        </a:p>
      </xdr:txBody>
    </xdr:sp>
    <xdr:clientData/>
  </xdr:twoCellAnchor>
  <xdr:oneCellAnchor>
    <xdr:from>
      <xdr:col>0</xdr:col>
      <xdr:colOff>3921760</xdr:colOff>
      <xdr:row>16</xdr:row>
      <xdr:rowOff>111760</xdr:rowOff>
    </xdr:from>
    <xdr:ext cx="184731" cy="264560"/>
    <xdr:sp macro="" textlink="">
      <xdr:nvSpPr>
        <xdr:cNvPr id="4" name="TextBox 3">
          <a:extLst>
            <a:ext uri="{FF2B5EF4-FFF2-40B4-BE49-F238E27FC236}">
              <a16:creationId xmlns:a16="http://schemas.microsoft.com/office/drawing/2014/main" id="{4B41EFDF-080C-B4E7-D217-773EEAC2D28E}"/>
            </a:ext>
          </a:extLst>
        </xdr:cNvPr>
        <xdr:cNvSpPr txBox="1"/>
      </xdr:nvSpPr>
      <xdr:spPr>
        <a:xfrm>
          <a:off x="3921760" y="3362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11</xdr:col>
      <xdr:colOff>889000</xdr:colOff>
      <xdr:row>14</xdr:row>
      <xdr:rowOff>25400</xdr:rowOff>
    </xdr:from>
    <xdr:to>
      <xdr:col>19</xdr:col>
      <xdr:colOff>228600</xdr:colOff>
      <xdr:row>38</xdr:row>
      <xdr:rowOff>198072</xdr:rowOff>
    </xdr:to>
    <xdr:pic>
      <xdr:nvPicPr>
        <xdr:cNvPr id="6" name="Picture 5">
          <a:extLst>
            <a:ext uri="{FF2B5EF4-FFF2-40B4-BE49-F238E27FC236}">
              <a16:creationId xmlns:a16="http://schemas.microsoft.com/office/drawing/2014/main" id="{7370189F-5A12-8B38-20DA-6566A1F8929A}"/>
            </a:ext>
          </a:extLst>
        </xdr:cNvPr>
        <xdr:cNvPicPr>
          <a:picLocks noChangeAspect="1"/>
        </xdr:cNvPicPr>
      </xdr:nvPicPr>
      <xdr:blipFill>
        <a:blip xmlns:r="http://schemas.openxmlformats.org/officeDocument/2006/relationships" r:embed="rId1"/>
        <a:stretch>
          <a:fillRect/>
        </a:stretch>
      </xdr:blipFill>
      <xdr:spPr>
        <a:xfrm>
          <a:off x="17145000" y="2565400"/>
          <a:ext cx="7772400" cy="4808172"/>
        </a:xfrm>
        <a:prstGeom prst="rect">
          <a:avLst/>
        </a:prstGeom>
      </xdr:spPr>
    </xdr:pic>
    <xdr:clientData/>
  </xdr:twoCellAnchor>
  <xdr:twoCellAnchor editAs="oneCell">
    <xdr:from>
      <xdr:col>0</xdr:col>
      <xdr:colOff>127000</xdr:colOff>
      <xdr:row>18</xdr:row>
      <xdr:rowOff>0</xdr:rowOff>
    </xdr:from>
    <xdr:to>
      <xdr:col>4</xdr:col>
      <xdr:colOff>330200</xdr:colOff>
      <xdr:row>59</xdr:row>
      <xdr:rowOff>127000</xdr:rowOff>
    </xdr:to>
    <xdr:pic>
      <xdr:nvPicPr>
        <xdr:cNvPr id="5" name="Picture 4">
          <a:extLst>
            <a:ext uri="{FF2B5EF4-FFF2-40B4-BE49-F238E27FC236}">
              <a16:creationId xmlns:a16="http://schemas.microsoft.com/office/drawing/2014/main" id="{82270ED8-21CA-A94F-3137-DBAEEE657B62}"/>
            </a:ext>
          </a:extLst>
        </xdr:cNvPr>
        <xdr:cNvPicPr>
          <a:picLocks noChangeAspect="1"/>
        </xdr:cNvPicPr>
      </xdr:nvPicPr>
      <xdr:blipFill>
        <a:blip xmlns:r="http://schemas.openxmlformats.org/officeDocument/2006/relationships" r:embed="rId2"/>
        <a:stretch>
          <a:fillRect/>
        </a:stretch>
      </xdr:blipFill>
      <xdr:spPr>
        <a:xfrm>
          <a:off x="127000" y="3251200"/>
          <a:ext cx="6261100" cy="79883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swath Damodaran" id="{E0FE28A3-A0BF-7A46-AD80-848A4D2CE1F5}" userId="589fc2f8758a430e"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ist1" displayName="List1" ref="A1:I28" totalsRowShown="0" headerRowDxfId="62">
  <autoFilter ref="A1:I28" xr:uid="{00000000-0009-0000-0100-000001000000}"/>
  <tableColumns count="9">
    <tableColumn id="1" xr3:uid="{00000000-0010-0000-0000-000001000000}" name="Year"/>
    <tableColumn id="2" xr3:uid="{00000000-0010-0000-0000-000002000000}" name="Dividend Yield"/>
    <tableColumn id="3" xr3:uid="{00000000-0010-0000-0000-000003000000}" name="Buybacks/Index"/>
    <tableColumn id="4" xr3:uid="{00000000-0010-0000-0000-000004000000}" name="Gross Cash Yield"/>
    <tableColumn id="7" xr3:uid="{00000000-0010-0000-0000-000007000000}" name="Payout" dataDxfId="61"/>
    <tableColumn id="8" xr3:uid="{00000000-0010-0000-0000-000008000000}" name="Return on Equity" dataDxfId="60"/>
    <tableColumn id="9" xr3:uid="{00000000-0010-0000-0000-000009000000}" name="Net Profit Margin" dataDxfId="59"/>
    <tableColumn id="10" xr3:uid="{00000000-0010-0000-0000-00000A000000}" name="Column1" dataDxfId="58"/>
    <tableColumn id="5" xr3:uid="{7DF5D73E-55E3-8645-8627-1D880972964D}" name="Column2" dataDxfId="5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xr:uid="{00000000-000C-0000-FFFF-FFFF02000000}" name="Table168" displayName="Table168" ref="A1:E63" totalsRowShown="0" headerRowDxfId="56" headerRowBorderDxfId="55" tableBorderDxfId="54" totalsRowBorderDxfId="53">
  <autoFilter ref="A1:E63" xr:uid="{00000000-0009-0000-0100-0000A8000000}"/>
  <tableColumns count="5">
    <tableColumn id="1" xr3:uid="{00000000-0010-0000-0200-000001000000}" name="Year" dataDxfId="52"/>
    <tableColumn id="2" xr3:uid="{00000000-0010-0000-0200-000002000000}" name="Earnings Yield" dataDxfId="51"/>
    <tableColumn id="3" xr3:uid="{00000000-0010-0000-0200-000003000000}" name="Dividend Yield" dataDxfId="50" dataCellStyle="Percent"/>
    <tableColumn id="4" xr3:uid="{00000000-0010-0000-0200-000004000000}" name="T.Bond Rate" dataDxfId="49"/>
    <tableColumn id="5" xr3:uid="{00000000-0010-0000-0200-000005000000}" name="Implied ERP" dataDxfId="48"/>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xr:uid="{00000000-000C-0000-FFFF-FFFF01000000}" name="Table167" displayName="Table167" ref="A1:N182" totalsRowShown="0" headerRowDxfId="47">
  <autoFilter ref="A1:N182" xr:uid="{00000000-0009-0000-0100-0000A7000000}"/>
  <tableColumns count="14">
    <tableColumn id="1" xr3:uid="{00000000-0010-0000-0100-000001000000}" name="Start of month" dataDxfId="46"/>
    <tableColumn id="2" xr3:uid="{00000000-0010-0000-0100-000002000000}" name="S&amp;P 500" dataDxfId="45"/>
    <tableColumn id="3" xr3:uid="{00000000-0010-0000-0100-000003000000}" name="T.Bond Rate" dataDxfId="44"/>
    <tableColumn id="4" xr3:uid="{00000000-0010-0000-0100-000004000000}" name="Ten-year average CF" dataDxfId="43"/>
    <tableColumn id="5" xr3:uid="{00000000-0010-0000-0100-000005000000}" name="CF (Trailing 12 month)" dataDxfId="42"/>
    <tableColumn id="6" xr3:uid="{00000000-0010-0000-0100-000006000000}" name="Normalized CF" dataDxfId="41"/>
    <tableColumn id="7" xr3:uid="{00000000-0010-0000-0100-000007000000}" name="Expected growth rate" dataDxfId="40"/>
    <tableColumn id="8" xr3:uid="{00000000-0010-0000-0100-000008000000}" name="ERP (T12 m with sustainable payout)" dataDxfId="39"/>
    <tableColumn id="9" xr3:uid="{00000000-0010-0000-0100-000009000000}" name="ERP (T12m)" dataDxfId="38"/>
    <tableColumn id="10" xr3:uid="{00000000-0010-0000-0100-00000A000000}" name="ERP (Smoothed)" dataDxfId="37"/>
    <tableColumn id="11" xr3:uid="{00000000-0010-0000-0100-00000B000000}" name="ERP (Normalized)" dataDxfId="36"/>
    <tableColumn id="12" xr3:uid="{00000000-0010-0000-0100-00000C000000}" name="ERP (Net Cash Yield)" dataDxfId="35"/>
    <tableColumn id="13" xr3:uid="{B7C735F1-E878-2B4C-B4B2-C35A50B29D88}" name="ERP (Covid Adjusted)" dataDxfId="34"/>
    <tableColumn id="14" xr3:uid="{AF6968C0-2285-5F40-817C-933E57A70F62}" name="Expected Return" dataDxfId="33">
      <calculatedColumnFormula>Table167[[#This Row],[ERP (T12m)]]+Table167[[#This Row],[T.Bond Rate]]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CC5EBA-703D-F24C-B855-59980D29DF2D}" name="Table2" displayName="Table2" ref="A1:M96" totalsRowShown="0" headerRowBorderDxfId="32" tableBorderDxfId="31" totalsRowBorderDxfId="30">
  <autoFilter ref="A1:M96" xr:uid="{F52A7475-E6DE-8340-9915-19F5A722F7FC}"/>
  <tableColumns count="13">
    <tableColumn id="1" xr3:uid="{72AA1A63-CC06-094F-AAA8-E13844EBF509}" name="Year" dataDxfId="29"/>
    <tableColumn id="2" xr3:uid="{4F3FC60E-69C0-484D-825B-57EE95FE147E}" name="S&amp;P 500 (includes dividends)" dataDxfId="28"/>
    <tableColumn id="3" xr3:uid="{91607162-EE8F-1D46-8AB3-E9F3B1F96CDE}" name="3-month T.Bill" dataDxfId="27"/>
    <tableColumn id="4" xr3:uid="{D60C9173-2DFA-CD4B-A1CF-4CF4B02FB0A0}" name="US T. Bond" dataDxfId="26"/>
    <tableColumn id="5" xr3:uid="{EF895B12-9B95-234B-9D1B-FF4CB6ACFADB}" name=" Baa Corporate Bond" dataDxfId="25" dataCellStyle="Currency"/>
    <tableColumn id="6" xr3:uid="{6F737A17-4532-5448-81A3-8CACE7F37621}" name="S&amp;P 500 (includes dividends)3" dataDxfId="24" dataCellStyle="Currency"/>
    <tableColumn id="7" xr3:uid="{2116686A-71AE-5349-97D4-27E8CA0C9C9D}" name="3-month T.Bill4" dataDxfId="23" dataCellStyle="Currency"/>
    <tableColumn id="8" xr3:uid="{24832FDA-0F6A-0E44-81FF-447F0FBBCF29}" name="US T. Bond5" dataDxfId="22"/>
    <tableColumn id="9" xr3:uid="{B4863488-E1C6-1C4D-916F-C85F7AAD1B19}" name=" Baa Corporate Bond6" dataDxfId="21"/>
    <tableColumn id="10" xr3:uid="{28601764-59E5-A946-82AB-217D748DD3DE}" name="Stocks - Bills" dataDxfId="20" dataCellStyle="Currency"/>
    <tableColumn id="11" xr3:uid="{F64F86BF-B573-2944-8F8B-8C2AE0A78A92}" name="Stocks - Bonds" dataDxfId="19" dataCellStyle="Currency"/>
    <tableColumn id="12" xr3:uid="{28DE1DF7-7977-CB4A-96B4-233A93C1E9DD}" name="Stocks - Baa Corp Bond" dataDxfId="18"/>
    <tableColumn id="13" xr3:uid="{2ED2B781-2D51-8B47-AB59-4CBC2B8D656E}" name="Historical risk premium" dataDxfId="17"/>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EB5F5B0-FE63-0840-B9D5-A57E110BC1CB}" name="Table4" displayName="Table4" ref="A3:U99" totalsRowShown="0" dataDxfId="16" dataCellStyle="Percent">
  <autoFilter ref="A3:U99" xr:uid="{EEB5F5B0-FE63-0840-B9D5-A57E110BC1CB}"/>
  <tableColumns count="21">
    <tableColumn id="1" xr3:uid="{8AFC7C4B-0C84-6F49-8F14-E7441682C99E}" name="Trailing 12 month ending" dataDxfId="15"/>
    <tableColumn id="2" xr3:uid="{8A8F4D0D-8C5C-9146-AED1-D1D3C49DE7D8}" name="S&amp;P 500 Index" dataDxfId="14"/>
    <tableColumn id="3" xr3:uid="{E10C04D6-A1C6-874A-A8A7-B65D12F211C5}" name="Market Cap"/>
    <tableColumn id="4" xr3:uid="{62069293-7065-1246-98DA-E24A5526FBAA}" name="Dividends"/>
    <tableColumn id="5" xr3:uid="{9EC72324-38CA-C145-BEAE-063C4C3C0073}" name="Buybacks"/>
    <tableColumn id="6" xr3:uid="{0A62D566-AFA7-3E4F-905A-991B76F3D329}" name="Stock Issues"/>
    <tableColumn id="7" xr3:uid="{2427EAC0-EB26-D247-BC6D-F496CA70C7E6}" name="Net Income"/>
    <tableColumn id="8" xr3:uid="{1EABB81E-FEDB-4F4A-92A5-59FCD5D67068}" name="Cash Return" dataDxfId="13">
      <calculatedColumnFormula>D4+E4</calculatedColumnFormula>
    </tableColumn>
    <tableColumn id="9" xr3:uid="{E159F73A-AAB8-CE44-AB55-A881FB7FB180}" name="Net Cash Return" dataDxfId="12">
      <calculatedColumnFormula>D4+E4-F4</calculatedColumnFormula>
    </tableColumn>
    <tableColumn id="10" xr3:uid="{F6CA3325-66CF-6C4B-AE9D-E5CF8FA68067}" name="Index Units" dataDxfId="11">
      <calculatedColumnFormula>B4/C4</calculatedColumnFormula>
    </tableColumn>
    <tableColumn id="11" xr3:uid="{25AC49EC-4783-5E48-8637-888153424BF0}" name="Market Cap2" dataDxfId="10">
      <calculatedColumnFormula>$J4*C4</calculatedColumnFormula>
    </tableColumn>
    <tableColumn id="12" xr3:uid="{6FE524E0-7136-3345-9254-027B1099E3C4}" name="Dividends3" dataDxfId="9">
      <calculatedColumnFormula>$J4*D4</calculatedColumnFormula>
    </tableColumn>
    <tableColumn id="13" xr3:uid="{0BF72C5B-4A5B-2449-BC40-8A9EC4A8DC56}" name="Buybacks4" dataDxfId="8">
      <calculatedColumnFormula>$J4*E4</calculatedColumnFormula>
    </tableColumn>
    <tableColumn id="14" xr3:uid="{EFAF5852-ED90-FF4F-A363-75A9696EA293}" name="Stock Issues5" dataDxfId="7">
      <calculatedColumnFormula>$J4*F4</calculatedColumnFormula>
    </tableColumn>
    <tableColumn id="15" xr3:uid="{6DCBC6FA-F44B-A24B-A070-55DD2C424A4D}" name="Net Income6" dataDxfId="6">
      <calculatedColumnFormula>$J4*G4</calculatedColumnFormula>
    </tableColumn>
    <tableColumn id="16" xr3:uid="{3AFB5B82-3E04-9E48-8F92-9F945D26C74E}" name="Cash Return7" dataDxfId="5">
      <calculatedColumnFormula>$J4*H4</calculatedColumnFormula>
    </tableColumn>
    <tableColumn id="17" xr3:uid="{FFB09946-1EC8-9C4B-9C95-A00794DCA923}" name="Net Cash Return8" dataDxfId="4">
      <calculatedColumnFormula>$J4*I4</calculatedColumnFormula>
    </tableColumn>
    <tableColumn id="18" xr3:uid="{BFE639BD-ECC6-C14B-8AEA-FF060F0BB067}" name="Payout Ratio" dataDxfId="3" dataCellStyle="Percent">
      <calculatedColumnFormula>L4/O4</calculatedColumnFormula>
    </tableColumn>
    <tableColumn id="19" xr3:uid="{1172CE25-355E-7C46-A572-C896E22C54CE}" name="Dividend Yield" dataDxfId="2" dataCellStyle="Percent">
      <calculatedColumnFormula>L4/K4</calculatedColumnFormula>
    </tableColumn>
    <tableColumn id="20" xr3:uid="{A278F2CB-CF62-4845-9993-95341233E16B}" name="Cash Return/Net Income" dataDxfId="1" dataCellStyle="Percent">
      <calculatedColumnFormula>P4/O4</calculatedColumnFormula>
    </tableColumn>
    <tableColumn id="21" xr3:uid="{09CB7A3D-E339-6B4C-8C5E-9BABC6F3387D}" name="Net Cash Return/Net Income" dataDxfId="0" dataCellStyle="Percent">
      <calculatedColumnFormula>Q4/O4</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2" dT="2023-02-24T17:47:39.99" personId="{E0FE28A3-A0BF-7A46-AD80-848A4D2CE1F5}" id="{AAB52E8A-0603-6749-B760-255D2DFA29F4}">
    <text>See comment on the the cell below before you change this option from No to Yes.</text>
  </threadedComment>
  <threadedComment ref="B13" dT="2023-02-24T17:47:06.84" personId="{E0FE28A3-A0BF-7A46-AD80-848A4D2CE1F5}" id="{C36DD17E-8879-654C-8EEC-5CB2E521D01E}">
    <text>The default where I set the growth rate = riskfree rate is the safest option, because it preserves consistency. If you choose to change this growth rate, be careful about setting it above the riskfree rate, since it can cause both math and logical implosions.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us.spindices.com/indices/equity/sp-500" TargetMode="External"/><Relationship Id="rId7" Type="http://schemas.openxmlformats.org/officeDocument/2006/relationships/comments" Target="../comments2.xml"/><Relationship Id="rId2" Type="http://schemas.openxmlformats.org/officeDocument/2006/relationships/hyperlink" Target="http://www.trpropresearch.com/" TargetMode="External"/><Relationship Id="rId1" Type="http://schemas.openxmlformats.org/officeDocument/2006/relationships/hyperlink" Target="http://www.factset.com/websitefiles/PDFs/earningsinsight/earningsinsight_12.19.14"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hyperlink" Target="https://www.yardeni.com/"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7"/>
  <sheetViews>
    <sheetView tabSelected="1" topLeftCell="A36" zoomScale="125" workbookViewId="0">
      <selection activeCell="B5" sqref="B5"/>
    </sheetView>
  </sheetViews>
  <sheetFormatPr baseColWidth="10" defaultRowHeight="14"/>
  <cols>
    <col min="1" max="1" width="55" customWidth="1"/>
    <col min="2" max="2" width="14.5703125" customWidth="1"/>
    <col min="3" max="6" width="12.5703125" customWidth="1"/>
    <col min="7" max="7" width="9.42578125" customWidth="1"/>
    <col min="8" max="8" width="14.5703125" bestFit="1" customWidth="1"/>
  </cols>
  <sheetData>
    <row r="1" spans="1:13" s="1" customFormat="1" ht="32">
      <c r="A1" s="166" t="s">
        <v>0</v>
      </c>
      <c r="B1" s="208" t="s">
        <v>284</v>
      </c>
      <c r="C1" s="209"/>
      <c r="D1" s="209"/>
      <c r="E1" s="209"/>
      <c r="F1" s="209"/>
      <c r="G1" s="209"/>
      <c r="H1" s="209"/>
      <c r="I1" s="209"/>
      <c r="J1" s="210"/>
      <c r="M1" s="62"/>
    </row>
    <row r="2" spans="1:13" s="50" customFormat="1" ht="33" customHeight="1" thickBot="1">
      <c r="A2" s="4" t="s">
        <v>51</v>
      </c>
      <c r="B2" s="211"/>
      <c r="C2" s="212"/>
      <c r="D2" s="212"/>
      <c r="E2" s="212"/>
      <c r="F2" s="212"/>
      <c r="G2" s="212"/>
      <c r="H2" s="212"/>
      <c r="I2" s="212"/>
      <c r="J2" s="213"/>
    </row>
    <row r="3" spans="1:13" s="50" customFormat="1" ht="17" customHeight="1">
      <c r="A3" s="2" t="s">
        <v>173</v>
      </c>
      <c r="B3" s="165" t="s">
        <v>181</v>
      </c>
      <c r="D3" s="75" t="s">
        <v>171</v>
      </c>
      <c r="H3"/>
    </row>
    <row r="4" spans="1:13" s="4" customFormat="1" ht="13">
      <c r="A4" s="2" t="s">
        <v>40</v>
      </c>
      <c r="B4" s="22">
        <v>4507.66</v>
      </c>
      <c r="D4" s="2" t="s">
        <v>17</v>
      </c>
      <c r="G4" s="52">
        <f>'Buyback &amp; Dividend computation'!G52</f>
        <v>171.86840732541455</v>
      </c>
      <c r="H4" s="34" t="s">
        <v>38</v>
      </c>
      <c r="I4" s="57" t="s">
        <v>186</v>
      </c>
    </row>
    <row r="5" spans="1:13" s="4" customFormat="1" ht="13">
      <c r="A5" s="2" t="s">
        <v>52</v>
      </c>
      <c r="B5" s="56" t="s">
        <v>38</v>
      </c>
      <c r="D5" s="2" t="s">
        <v>28</v>
      </c>
      <c r="G5" s="52">
        <f>'Buyback &amp; Dividend computation'!D24*'Buyback &amp; Dividend computation'!D27</f>
        <v>203.41591237731248</v>
      </c>
      <c r="H5" s="34" t="s">
        <v>36</v>
      </c>
      <c r="I5" s="57" t="s">
        <v>187</v>
      </c>
    </row>
    <row r="6" spans="1:13" s="4" customFormat="1" ht="13">
      <c r="A6" s="167" t="s">
        <v>26</v>
      </c>
      <c r="B6" s="26">
        <f>IF(B5="C",G4/B4,IF(B5="A10",G5/B4,IF(B5="A5",G6/B4,IF(B5="P10",G7/B4,IF(B5="p5",G8/B4,IF(B5="NC",G10/B4,G9/B4))))))</f>
        <v>3.8128076945779972E-2</v>
      </c>
      <c r="C6" s="2"/>
      <c r="D6" s="51" t="s">
        <v>30</v>
      </c>
      <c r="G6" s="52">
        <f>'Buyback &amp; Dividend computation'!D25*'Buyback &amp; Dividend computation'!D27</f>
        <v>193.63049270331871</v>
      </c>
      <c r="H6" s="34" t="s">
        <v>39</v>
      </c>
      <c r="I6" s="57" t="s">
        <v>188</v>
      </c>
    </row>
    <row r="7" spans="1:13" s="4" customFormat="1" ht="13">
      <c r="A7" s="2" t="s">
        <v>68</v>
      </c>
      <c r="B7" s="55" t="s">
        <v>65</v>
      </c>
      <c r="C7" s="2"/>
      <c r="D7" s="2" t="s">
        <v>53</v>
      </c>
      <c r="G7" s="52">
        <f>'Buyback &amp; Dividend computation'!E24*'Buyback &amp; Dividend computation'!C52</f>
        <v>184.50098150125513</v>
      </c>
      <c r="H7" s="34" t="s">
        <v>55</v>
      </c>
      <c r="I7" s="57" t="s">
        <v>189</v>
      </c>
    </row>
    <row r="8" spans="1:13" s="4" customFormat="1" ht="13">
      <c r="A8" s="2" t="s">
        <v>69</v>
      </c>
      <c r="B8" s="26">
        <f>IF(B7="H",G13,IF(B7="BU",G14,IF(B7="TD",G15,IF(B7="FC",G16,G17))))</f>
        <v>7.1420612787501669E-2</v>
      </c>
      <c r="D8" s="2" t="s">
        <v>54</v>
      </c>
      <c r="G8" s="52">
        <f>'Buyback &amp; Dividend computation'!E25*'Buyback &amp; Dividend computation'!C52</f>
        <v>179.71458281622034</v>
      </c>
      <c r="H8" s="34" t="s">
        <v>56</v>
      </c>
      <c r="I8" s="57" t="s">
        <v>190</v>
      </c>
    </row>
    <row r="9" spans="1:13" s="4" customFormat="1" ht="13">
      <c r="A9" s="2" t="s">
        <v>70</v>
      </c>
      <c r="B9" s="24">
        <v>4.1099999999999998E-2</v>
      </c>
      <c r="D9" s="2" t="s">
        <v>102</v>
      </c>
      <c r="G9" s="52">
        <f>'Buyback &amp; Dividend computation'!E24*AVERAGE('Buyback &amp; Dividend computation'!Q42:Q52)</f>
        <v>152.3573423868375</v>
      </c>
      <c r="H9" s="34" t="s">
        <v>94</v>
      </c>
      <c r="I9" s="57" t="s">
        <v>191</v>
      </c>
    </row>
    <row r="10" spans="1:13" s="4" customFormat="1" ht="13">
      <c r="A10" s="2" t="s">
        <v>89</v>
      </c>
      <c r="B10" s="55" t="s">
        <v>87</v>
      </c>
      <c r="D10" s="2" t="s">
        <v>126</v>
      </c>
      <c r="G10" s="52">
        <f>'Buyback &amp; Dividend computation'!H52</f>
        <v>163.65440312155252</v>
      </c>
      <c r="H10" s="34" t="s">
        <v>127</v>
      </c>
      <c r="I10" s="57" t="s">
        <v>192</v>
      </c>
    </row>
    <row r="11" spans="1:13" s="4" customFormat="1" ht="16">
      <c r="A11" s="2" t="s">
        <v>88</v>
      </c>
      <c r="B11" s="25">
        <v>0.05</v>
      </c>
      <c r="D11" s="75"/>
      <c r="E11" s="2"/>
      <c r="F11" s="2"/>
      <c r="G11" s="2"/>
      <c r="H11" s="2"/>
    </row>
    <row r="12" spans="1:13" s="4" customFormat="1" ht="16">
      <c r="A12" s="2" t="s">
        <v>287</v>
      </c>
      <c r="B12" s="201" t="s">
        <v>165</v>
      </c>
      <c r="D12" s="75" t="s">
        <v>57</v>
      </c>
      <c r="E12" s="2"/>
      <c r="F12" s="2"/>
      <c r="G12" s="2"/>
      <c r="H12" s="2"/>
    </row>
    <row r="13" spans="1:13" s="2" customFormat="1" ht="13">
      <c r="A13" s="2" t="s">
        <v>286</v>
      </c>
      <c r="B13" s="23">
        <v>0.03</v>
      </c>
      <c r="D13" s="2" t="s">
        <v>58</v>
      </c>
      <c r="E13" s="4"/>
      <c r="F13" s="4"/>
      <c r="G13" s="53">
        <f>('Buyback &amp; Dividend computation'!C52/'Buyback &amp; Dividend computation'!C40)^(1/10)-1</f>
        <v>7.6526313998128481E-2</v>
      </c>
      <c r="H13" s="34" t="s">
        <v>63</v>
      </c>
    </row>
    <row r="14" spans="1:13" s="4" customFormat="1" ht="13">
      <c r="A14" s="2" t="s">
        <v>163</v>
      </c>
      <c r="B14" s="56" t="s">
        <v>165</v>
      </c>
      <c r="D14" s="2" t="s">
        <v>59</v>
      </c>
      <c r="G14" s="54">
        <f>'Expected growth rate'!L11</f>
        <v>4.555908750470139E-2</v>
      </c>
      <c r="H14" s="34" t="s">
        <v>64</v>
      </c>
    </row>
    <row r="15" spans="1:13" s="4" customFormat="1" ht="13">
      <c r="A15" s="4" t="s">
        <v>92</v>
      </c>
      <c r="D15" s="2" t="s">
        <v>60</v>
      </c>
      <c r="G15" s="54">
        <f>'Expected growth rate'!G11</f>
        <v>7.1420612787501669E-2</v>
      </c>
      <c r="H15" s="34" t="s">
        <v>65</v>
      </c>
    </row>
    <row r="16" spans="1:13" s="4" customFormat="1">
      <c r="A16" s="2" t="s">
        <v>175</v>
      </c>
      <c r="B16"/>
      <c r="D16" s="2" t="s">
        <v>61</v>
      </c>
      <c r="G16" s="53">
        <f>(1-((B6*B4)/B31))*'Buyback &amp; Dividend computation'!$F18</f>
        <v>3.4315686727165215E-2</v>
      </c>
      <c r="H16" s="34" t="s">
        <v>66</v>
      </c>
    </row>
    <row r="17" spans="1:9" s="4" customFormat="1">
      <c r="A17" s="2" t="s">
        <v>176</v>
      </c>
      <c r="B17"/>
      <c r="D17" s="2" t="s">
        <v>62</v>
      </c>
      <c r="G17" s="53">
        <f>(1-((B6*B4)/B31))*'Buyback &amp; Dividend computation'!$F24</f>
        <v>3.6117555763176615E-2</v>
      </c>
      <c r="H17" s="34" t="s">
        <v>67</v>
      </c>
    </row>
    <row r="18" spans="1:9" s="4" customFormat="1" ht="13">
      <c r="A18" s="2" t="s">
        <v>177</v>
      </c>
    </row>
    <row r="19" spans="1:9" s="4" customFormat="1" ht="16">
      <c r="A19" s="2" t="s">
        <v>241</v>
      </c>
      <c r="D19" s="75" t="s">
        <v>91</v>
      </c>
    </row>
    <row r="20" spans="1:9" s="4" customFormat="1" ht="13">
      <c r="A20" s="57" t="s">
        <v>93</v>
      </c>
      <c r="D20" s="2" t="s">
        <v>71</v>
      </c>
      <c r="G20" s="63">
        <f>'Historical ERP'!M96</f>
        <v>5.0613437213325563E-2</v>
      </c>
      <c r="H20" s="34" t="s">
        <v>85</v>
      </c>
      <c r="I20" s="72"/>
    </row>
    <row r="21" spans="1:9" s="4" customFormat="1" ht="16">
      <c r="A21" s="2" t="s">
        <v>288</v>
      </c>
      <c r="D21" s="2" t="s">
        <v>72</v>
      </c>
      <c r="E21" s="8"/>
      <c r="F21" s="8"/>
      <c r="G21" s="63">
        <v>3.2000000000000001E-2</v>
      </c>
      <c r="H21" s="34" t="s">
        <v>86</v>
      </c>
    </row>
    <row r="22" spans="1:9" s="8" customFormat="1" ht="16">
      <c r="A22" s="2" t="s">
        <v>97</v>
      </c>
      <c r="B22" s="4"/>
      <c r="C22" s="72"/>
      <c r="D22" s="2" t="s">
        <v>73</v>
      </c>
      <c r="E22" s="4"/>
      <c r="F22" s="4"/>
      <c r="G22" s="63">
        <f>AVERAGE('Implied ERP- Annual since 1960'!E54:E63)</f>
        <v>5.3530000000000001E-2</v>
      </c>
      <c r="H22" s="34" t="s">
        <v>87</v>
      </c>
    </row>
    <row r="23" spans="1:9" s="4" customFormat="1" ht="13">
      <c r="A23" s="2" t="s">
        <v>289</v>
      </c>
      <c r="D23" s="2" t="s">
        <v>74</v>
      </c>
      <c r="G23" s="63">
        <f>AVERAGE('Implied ERP- Annual since 1960'!E3:E63)</f>
        <v>4.213114754098362E-2</v>
      </c>
      <c r="H23" s="34" t="s">
        <v>117</v>
      </c>
    </row>
    <row r="24" spans="1:9" s="4" customFormat="1" ht="13">
      <c r="A24" s="2" t="s">
        <v>290</v>
      </c>
      <c r="D24" s="2" t="s">
        <v>115</v>
      </c>
      <c r="G24" s="63">
        <f>MAX('Implied ERP- Annual since 1960'!E3:E63)</f>
        <v>6.4500000000000002E-2</v>
      </c>
      <c r="H24" s="4" t="s">
        <v>116</v>
      </c>
    </row>
    <row r="25" spans="1:9" s="4" customFormat="1" ht="16">
      <c r="A25" s="2"/>
      <c r="D25" s="75" t="s">
        <v>172</v>
      </c>
      <c r="G25" s="150"/>
    </row>
    <row r="26" spans="1:9" s="4" customFormat="1" ht="13">
      <c r="A26" s="2"/>
      <c r="D26" s="2" t="s">
        <v>180</v>
      </c>
      <c r="G26" s="177">
        <f>'Buyback &amp; Dividend computation'!C52</f>
        <v>201.60611515488571</v>
      </c>
      <c r="H26" s="4" t="s">
        <v>240</v>
      </c>
    </row>
    <row r="27" spans="1:9" s="4" customFormat="1" ht="13">
      <c r="D27" s="2" t="s">
        <v>230</v>
      </c>
      <c r="G27" s="169">
        <f>'Expected growth rate'!H4</f>
        <v>218.09</v>
      </c>
      <c r="H27" s="4" t="s">
        <v>239</v>
      </c>
    </row>
    <row r="28" spans="1:9" s="4" customFormat="1">
      <c r="A28"/>
      <c r="B28"/>
      <c r="D28"/>
      <c r="E28"/>
      <c r="F28"/>
    </row>
    <row r="29" spans="1:9" s="4" customFormat="1" ht="16">
      <c r="A29" s="206" t="s">
        <v>200</v>
      </c>
      <c r="B29" s="207"/>
      <c r="C29" s="207"/>
      <c r="D29" s="207"/>
      <c r="E29" s="207"/>
      <c r="F29" s="207"/>
      <c r="G29" s="207"/>
      <c r="H29" s="8"/>
    </row>
    <row r="30" spans="1:9" s="4" customFormat="1" ht="13">
      <c r="A30" s="9"/>
      <c r="B30" s="104" t="s">
        <v>161</v>
      </c>
      <c r="C30" s="9">
        <v>1</v>
      </c>
      <c r="D30" s="9">
        <v>2</v>
      </c>
      <c r="E30" s="9">
        <v>3</v>
      </c>
      <c r="F30" s="9">
        <v>4</v>
      </c>
      <c r="G30" s="9">
        <v>5</v>
      </c>
      <c r="H30" s="104" t="s">
        <v>162</v>
      </c>
    </row>
    <row r="31" spans="1:9" s="4" customFormat="1" ht="13">
      <c r="A31" s="9" t="s">
        <v>159</v>
      </c>
      <c r="B31" s="105">
        <f>G27</f>
        <v>218.09</v>
      </c>
      <c r="C31" s="105">
        <f>B31*(1+$B$8)</f>
        <v>233.66612144282624</v>
      </c>
      <c r="D31" s="105">
        <f>C31*(1+$B$8)</f>
        <v>250.35469902395167</v>
      </c>
      <c r="E31" s="105">
        <f>D31*(1+$B$8)</f>
        <v>268.23518504247284</v>
      </c>
      <c r="F31" s="105">
        <f>E31*(1+$B$8)</f>
        <v>287.39270632937513</v>
      </c>
      <c r="G31" s="105">
        <f>F31*(1+$B$8)</f>
        <v>307.91846952607762</v>
      </c>
      <c r="H31" s="107">
        <f>IF(B12="No",G31*(1+B9),G31*(1+B13))</f>
        <v>320.57391862359935</v>
      </c>
    </row>
    <row r="32" spans="1:9" s="4" customFormat="1" ht="13">
      <c r="A32" s="9" t="s">
        <v>160</v>
      </c>
      <c r="B32" s="106">
        <f>B33/G26</f>
        <v>0.85249600287855898</v>
      </c>
      <c r="C32" s="106">
        <f>IF($B$14="Yes",B32-($B$32-$H$32)/5,$B$32)</f>
        <v>0.85249600287855898</v>
      </c>
      <c r="D32" s="106">
        <f>IF($B$14="Yes",C32-($B$32-$H$32)/5,$B$32)</f>
        <v>0.85249600287855898</v>
      </c>
      <c r="E32" s="106">
        <f>IF($B$14="Yes",D32-($B$32-$H$32)/5,$B$32)</f>
        <v>0.85249600287855898</v>
      </c>
      <c r="F32" s="106">
        <f>IF($B$14="Yes",E32-($B$32-$H$32)/5,$B$32)</f>
        <v>0.85249600287855898</v>
      </c>
      <c r="G32" s="106">
        <f>IF($B$14="Yes",F32-($B$32-$H$32)/5,$B$32)</f>
        <v>0.85249600287855898</v>
      </c>
      <c r="H32" s="118">
        <f>IF($B$14="Yes",IF(B12="No",1-B9/'Buyback &amp; Dividend computation'!F24,1-B13/'Buyback &amp; Dividend computation'!F24),$B$32)</f>
        <v>0.85249600287855898</v>
      </c>
      <c r="I32" s="57"/>
    </row>
    <row r="33" spans="1:14" s="4" customFormat="1" ht="16">
      <c r="A33" s="3" t="s">
        <v>179</v>
      </c>
      <c r="B33" s="107">
        <f>IF(B5="C",G4,IF(B5="A10",G5,IF(B5="A5",G6,IF(B5="P10",G7,IF(B5="P5",G8,IF(B5="NORM",G9,G10))))))</f>
        <v>171.86840732541455</v>
      </c>
      <c r="C33" s="111">
        <f>C31*C32</f>
        <v>199.19943453814531</v>
      </c>
      <c r="D33" s="111">
        <f>D31*D32</f>
        <v>213.42638021978345</v>
      </c>
      <c r="E33" s="111">
        <f>E31*E32</f>
        <v>228.66942308009871</v>
      </c>
      <c r="F33" s="111">
        <f>F31*F32</f>
        <v>245.00113340224382</v>
      </c>
      <c r="G33" s="111">
        <f>G31*G32</f>
        <v>262.49926448346451</v>
      </c>
      <c r="H33" s="107">
        <f>H32*H31</f>
        <v>273.28798425373486</v>
      </c>
      <c r="J33" s="8"/>
      <c r="K33" s="8"/>
      <c r="L33" s="8"/>
      <c r="M33" s="8"/>
    </row>
    <row r="34" spans="1:14" s="8" customFormat="1" ht="15" customHeight="1">
      <c r="A34" s="3" t="s">
        <v>1</v>
      </c>
      <c r="B34" s="108"/>
      <c r="C34" s="111"/>
      <c r="D34" s="111"/>
      <c r="E34" s="111"/>
      <c r="F34" s="111"/>
      <c r="G34" s="111">
        <f>IF(B12="No",H33/(B9+B11-B9),H33/(B9+B11-B13))</f>
        <v>5465.7596850746968</v>
      </c>
      <c r="H34" s="119"/>
      <c r="I34" s="4"/>
      <c r="J34" s="4"/>
      <c r="K34" s="4"/>
      <c r="L34" s="4"/>
      <c r="M34" s="4"/>
      <c r="N34" s="4"/>
    </row>
    <row r="35" spans="1:14" s="4" customFormat="1" ht="13">
      <c r="A35" s="65" t="s">
        <v>2</v>
      </c>
      <c r="B35" s="109"/>
      <c r="C35" s="112">
        <f>C33/(1+$B$9+$B$11)^C30</f>
        <v>182.56753234180673</v>
      </c>
      <c r="D35" s="112">
        <f>D33/(1+$B$9+$B$11)^D30</f>
        <v>179.27469285744715</v>
      </c>
      <c r="E35" s="111">
        <f>E33/(1+$B$9+$B$11)^E30</f>
        <v>176.04124395437375</v>
      </c>
      <c r="F35" s="111">
        <f>F33/(1+$B$9+$B$11)^F30</f>
        <v>172.86611444731847</v>
      </c>
      <c r="G35" s="111">
        <f>(G33+G34)/(1+$B$9+$B$11)^G30</f>
        <v>3704.2463654268067</v>
      </c>
      <c r="H35" s="119"/>
    </row>
    <row r="36" spans="1:14" s="4" customFormat="1" ht="13">
      <c r="A36" s="3" t="s">
        <v>3</v>
      </c>
      <c r="B36" s="108"/>
      <c r="C36" s="168">
        <f>SUM(C35:G35)</f>
        <v>4414.9959490277524</v>
      </c>
      <c r="D36" s="113"/>
      <c r="E36" s="113"/>
      <c r="F36" s="113"/>
      <c r="G36" s="113"/>
      <c r="H36" s="110"/>
    </row>
    <row r="37" spans="1:14" s="4" customFormat="1" ht="13">
      <c r="A37" s="3" t="s">
        <v>98</v>
      </c>
      <c r="B37" s="108"/>
      <c r="C37" s="73">
        <f>C36/'Buyback &amp; Dividend computation'!C52</f>
        <v>21.89911722487134</v>
      </c>
    </row>
    <row r="38" spans="1:14" s="4" customFormat="1" thickBot="1">
      <c r="A38" s="65" t="s">
        <v>101</v>
      </c>
      <c r="B38" s="109"/>
      <c r="C38" s="74">
        <f>C36/AVERAGE('Buyback &amp; Dividend computation'!Q36:Q45)</f>
        <v>37.624891992616995</v>
      </c>
      <c r="L38" s="33"/>
    </row>
    <row r="39" spans="1:14" s="4" customFormat="1" ht="20" customHeight="1" thickBot="1">
      <c r="A39" s="203" t="s">
        <v>90</v>
      </c>
      <c r="B39" s="204"/>
      <c r="C39" s="204">
        <v>-4.2534788807143958E+27</v>
      </c>
      <c r="D39" s="204"/>
      <c r="E39" s="204"/>
      <c r="F39" s="205"/>
      <c r="G39" s="8"/>
      <c r="H39" s="8"/>
    </row>
    <row r="40" spans="1:14" s="4" customFormat="1" ht="17" thickBot="1">
      <c r="A40" s="2" t="s">
        <v>4</v>
      </c>
      <c r="C40" s="28">
        <v>4.8983200409283022E-2</v>
      </c>
      <c r="D40" s="4" t="s">
        <v>168</v>
      </c>
    </row>
    <row r="41" spans="1:14" s="4" customFormat="1" ht="13"/>
    <row r="42" spans="1:14" s="4" customFormat="1">
      <c r="A42" s="6" t="s">
        <v>214</v>
      </c>
      <c r="B42" s="120" t="str">
        <f>B30</f>
        <v>Last 12 months</v>
      </c>
      <c r="C42" s="7">
        <v>1</v>
      </c>
      <c r="D42" s="7">
        <v>2</v>
      </c>
      <c r="E42" s="7">
        <v>3</v>
      </c>
      <c r="F42" s="7">
        <v>4</v>
      </c>
      <c r="G42" s="7">
        <v>5</v>
      </c>
      <c r="H42" s="104" t="str">
        <f>H30</f>
        <v>Terminal Year</v>
      </c>
      <c r="J42"/>
      <c r="K42"/>
      <c r="L42"/>
      <c r="M42"/>
      <c r="N42"/>
    </row>
    <row r="43" spans="1:14" s="4" customFormat="1">
      <c r="A43" s="9" t="s">
        <v>159</v>
      </c>
      <c r="B43" s="107">
        <f>B31</f>
        <v>218.09</v>
      </c>
      <c r="C43" s="189">
        <f>C31</f>
        <v>233.66612144282624</v>
      </c>
      <c r="D43" s="189">
        <f>D31</f>
        <v>250.35469902395167</v>
      </c>
      <c r="E43" s="189">
        <f>E31</f>
        <v>268.23518504247284</v>
      </c>
      <c r="F43" s="189">
        <f>F31</f>
        <v>287.39270632937513</v>
      </c>
      <c r="G43" s="189">
        <f>G31</f>
        <v>307.91846952607762</v>
      </c>
      <c r="H43" s="107">
        <f>IF(B12="No",G43*(1+B9),G43*(1+B13))</f>
        <v>320.57391862359935</v>
      </c>
      <c r="J43"/>
      <c r="K43"/>
      <c r="L43"/>
      <c r="M43"/>
      <c r="N43"/>
    </row>
    <row r="44" spans="1:14" s="4" customFormat="1">
      <c r="A44" s="9" t="s">
        <v>160</v>
      </c>
      <c r="B44" s="118">
        <f>B45/G26</f>
        <v>0.85249600287855898</v>
      </c>
      <c r="C44" s="118">
        <f>IF($B$14="Yes",B44-($B$44-$H$44)/5,$B$44)</f>
        <v>0.85249600287855898</v>
      </c>
      <c r="D44" s="118">
        <f>IF($B$14="Yes",C44-($B$44-$H$44)/5,$B$44)</f>
        <v>0.85249600287855898</v>
      </c>
      <c r="E44" s="118">
        <f>IF($B$14="Yes",D44-($B$44-$H$44)/5,$B$44)</f>
        <v>0.85249600287855898</v>
      </c>
      <c r="F44" s="118">
        <f>IF($B$14="Yes",E44-($B$44-$H$44)/5,$B$44)</f>
        <v>0.85249600287855898</v>
      </c>
      <c r="G44" s="118">
        <f>IF($B$14="Yes",F44-($B$44-$H$44)/5,$B$44)</f>
        <v>0.85249600287855898</v>
      </c>
      <c r="H44" s="118">
        <f>IF($B$14="Yes",IF(B12="No",1-B9/'Buyback &amp; Dividend computation'!F24,1-B13/'Buyback &amp; Dividend computation'!F24),$B$32)</f>
        <v>0.85249600287855898</v>
      </c>
      <c r="J44"/>
      <c r="K44"/>
      <c r="L44"/>
      <c r="M44"/>
      <c r="N44"/>
    </row>
    <row r="45" spans="1:14">
      <c r="A45" s="3" t="s">
        <v>179</v>
      </c>
      <c r="B45" s="107">
        <f>B33</f>
        <v>171.86840732541455</v>
      </c>
      <c r="C45" s="186">
        <f t="shared" ref="C45:H45" si="0">C43*C44</f>
        <v>199.19943453814531</v>
      </c>
      <c r="D45" s="186">
        <f t="shared" si="0"/>
        <v>213.42638021978345</v>
      </c>
      <c r="E45" s="186">
        <f t="shared" si="0"/>
        <v>228.66942308009871</v>
      </c>
      <c r="F45" s="186">
        <f t="shared" si="0"/>
        <v>245.00113340224382</v>
      </c>
      <c r="G45" s="186">
        <f t="shared" si="0"/>
        <v>262.49926448346451</v>
      </c>
      <c r="H45" s="107">
        <f t="shared" si="0"/>
        <v>273.28798425373486</v>
      </c>
      <c r="I45" s="4"/>
    </row>
    <row r="46" spans="1:14">
      <c r="A46" s="3" t="s">
        <v>1</v>
      </c>
      <c r="B46" s="187"/>
      <c r="C46" s="186"/>
      <c r="D46" s="186"/>
      <c r="E46" s="186"/>
      <c r="F46" s="186"/>
      <c r="G46" s="186">
        <f>IF(B12="No",H45/(B9+C40-B9),H45/(B9+C40-B13))</f>
        <v>5579.2186294536768</v>
      </c>
      <c r="H46" s="188"/>
      <c r="I46" s="4"/>
    </row>
    <row r="47" spans="1:14" ht="15" thickBot="1">
      <c r="A47" s="3" t="s">
        <v>2</v>
      </c>
      <c r="B47" s="187"/>
      <c r="C47" s="186">
        <f>C45/(1+$B$9+$C$40)^C42</f>
        <v>182.73782630844494</v>
      </c>
      <c r="D47" s="186">
        <f>D45/(1+$B$9+$C$40)^D42</f>
        <v>179.60929383127737</v>
      </c>
      <c r="E47" s="186">
        <f>E45/(1+$B$9+$C$40)^E42</f>
        <v>176.53432287258914</v>
      </c>
      <c r="F47" s="186">
        <f>F45/(1+$B$9+$C$40)^F42</f>
        <v>173.51199644133644</v>
      </c>
      <c r="G47" s="186">
        <f>(G45+G46)/(1+$B$9+C40)^G42</f>
        <v>3795.2671119857637</v>
      </c>
      <c r="H47" s="188"/>
      <c r="I47" s="4"/>
    </row>
    <row r="48" spans="1:14" ht="15" thickBot="1">
      <c r="A48" s="3" t="s">
        <v>3</v>
      </c>
      <c r="B48" s="185">
        <f>SUM(C47:G47)</f>
        <v>4507.6605514394114</v>
      </c>
      <c r="C48" s="5"/>
      <c r="D48" s="5"/>
      <c r="E48" s="5"/>
      <c r="F48" s="5"/>
      <c r="G48" s="4"/>
      <c r="H48" s="4"/>
    </row>
    <row r="49" spans="1:8">
      <c r="A49" s="4"/>
      <c r="B49" s="4"/>
      <c r="C49" s="4"/>
      <c r="D49" s="4"/>
      <c r="E49" s="4"/>
      <c r="F49" s="4"/>
      <c r="G49" s="4"/>
      <c r="H49" s="4"/>
    </row>
    <row r="57" spans="1:8">
      <c r="D57" s="171"/>
      <c r="E57" s="27"/>
    </row>
  </sheetData>
  <mergeCells count="3">
    <mergeCell ref="A39:F39"/>
    <mergeCell ref="A29:G29"/>
    <mergeCell ref="B1:J2"/>
  </mergeCells>
  <phoneticPr fontId="12" type="noConversion"/>
  <dataValidations count="4">
    <dataValidation type="list" allowBlank="1" showInputMessage="1" showErrorMessage="1" sqref="B7" xr:uid="{00000000-0002-0000-0000-000000000000}">
      <formula1>$H$13:$H$17</formula1>
    </dataValidation>
    <dataValidation type="list" allowBlank="1" showInputMessage="1" showErrorMessage="1" sqref="B5" xr:uid="{00000000-0002-0000-0000-000001000000}">
      <formula1>$H$4:$H$10</formula1>
    </dataValidation>
    <dataValidation type="list" allowBlank="1" showInputMessage="1" showErrorMessage="1" sqref="B10" xr:uid="{00000000-0002-0000-0000-000002000000}">
      <formula1>$H$20:$H$24</formula1>
    </dataValidation>
    <dataValidation type="list" allowBlank="1" showInputMessage="1" showErrorMessage="1" sqref="B3" xr:uid="{00000000-0002-0000-0000-000003000000}">
      <formula1>$H$26:$H$27</formula1>
    </dataValidation>
  </dataValidations>
  <printOptions gridLines="1" gridLinesSet="0"/>
  <pageMargins left="0.75" right="0.75" top="1" bottom="1" header="0.5" footer="0.5"/>
  <pageSetup scale="80" orientation="landscape" horizontalDpi="4294967292" verticalDpi="4294967292"/>
  <headerFooter alignWithMargins="0">
    <oddHeader>&amp;A</oddHeader>
    <oddFooter>Page &amp;P</oddFooter>
  </headerFooter>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Answers!$A$2:$A$3</xm:f>
          </x14:formula1>
          <xm:sqref>B14 B12</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5"/>
  <sheetViews>
    <sheetView topLeftCell="A41" workbookViewId="0">
      <selection activeCell="B86" sqref="B86"/>
    </sheetView>
  </sheetViews>
  <sheetFormatPr baseColWidth="10" defaultRowHeight="14"/>
  <cols>
    <col min="1" max="1" width="15.42578125" style="10" bestFit="1" customWidth="1"/>
    <col min="2" max="2" width="15.85546875" style="10" bestFit="1" customWidth="1"/>
    <col min="3" max="5" width="10.7109375" style="10"/>
    <col min="6" max="6" width="11.7109375" style="10" bestFit="1" customWidth="1"/>
    <col min="7" max="16384" width="10.7109375" style="10"/>
  </cols>
  <sheetData>
    <row r="1" spans="1:12" ht="30">
      <c r="A1" s="10" t="s">
        <v>7</v>
      </c>
      <c r="B1" s="10" t="s">
        <v>5</v>
      </c>
      <c r="C1" s="10" t="s">
        <v>6</v>
      </c>
      <c r="D1" s="44" t="s">
        <v>130</v>
      </c>
      <c r="E1" s="14" t="s">
        <v>46</v>
      </c>
      <c r="F1" s="14" t="s">
        <v>49</v>
      </c>
      <c r="G1" s="14" t="s">
        <v>50</v>
      </c>
      <c r="H1" t="s">
        <v>174</v>
      </c>
      <c r="I1" s="10" t="s">
        <v>193</v>
      </c>
    </row>
    <row r="2" spans="1:12">
      <c r="A2" s="14">
        <v>2001</v>
      </c>
      <c r="B2" s="11">
        <f t="shared" ref="B2:B14" si="0">I30</f>
        <v>1.3709726589378883E-2</v>
      </c>
      <c r="C2" s="11">
        <f t="shared" ref="C2:C14" si="1">J30</f>
        <v>1.2490273410621118E-2</v>
      </c>
      <c r="D2" s="45">
        <f t="shared" ref="D2:D14" si="2">K30</f>
        <v>2.6200000000000001E-2</v>
      </c>
      <c r="E2" s="48">
        <f>(D30+E30)/C30</f>
        <v>0.77425889317889307</v>
      </c>
      <c r="F2" s="48">
        <f t="shared" ref="F2:F14" si="3">C30/M30</f>
        <v>0.11924493554327809</v>
      </c>
      <c r="G2" s="48">
        <f t="shared" ref="G2:G15" si="4">C30/O30</f>
        <v>5.2722288568016501E-2</v>
      </c>
      <c r="H2"/>
      <c r="J2" s="32"/>
    </row>
    <row r="3" spans="1:12">
      <c r="A3" s="14">
        <v>2002</v>
      </c>
      <c r="B3" s="11">
        <f t="shared" si="0"/>
        <v>1.8140074106067151E-2</v>
      </c>
      <c r="C3" s="11">
        <f t="shared" si="1"/>
        <v>1.5759925893932849E-2</v>
      </c>
      <c r="D3" s="45">
        <f t="shared" si="2"/>
        <v>3.39E-2</v>
      </c>
      <c r="E3" s="48">
        <f t="shared" ref="E3:E13" si="5">(D31+E31)/C31</f>
        <v>0.64782576020851435</v>
      </c>
      <c r="F3" s="48">
        <f t="shared" si="3"/>
        <v>0.13606407187398409</v>
      </c>
      <c r="G3" s="48">
        <f t="shared" si="4"/>
        <v>6.8248862271898483E-2</v>
      </c>
      <c r="H3"/>
      <c r="J3" s="32"/>
    </row>
    <row r="4" spans="1:12">
      <c r="A4" s="14">
        <v>2003</v>
      </c>
      <c r="B4" s="11">
        <f t="shared" si="0"/>
        <v>1.6080438164959392E-2</v>
      </c>
      <c r="C4" s="11">
        <f t="shared" si="1"/>
        <v>1.2319561835040609E-2</v>
      </c>
      <c r="D4" s="45">
        <f t="shared" si="2"/>
        <v>2.8400000000000002E-2</v>
      </c>
      <c r="E4" s="48">
        <f t="shared" si="5"/>
        <v>0.57740435180106064</v>
      </c>
      <c r="F4" s="48">
        <f t="shared" si="3"/>
        <v>0.1679049490359818</v>
      </c>
      <c r="G4" s="48">
        <f t="shared" si="4"/>
        <v>7.694039194721515E-2</v>
      </c>
      <c r="H4"/>
    </row>
    <row r="5" spans="1:12">
      <c r="A5" s="14">
        <v>2004</v>
      </c>
      <c r="B5" s="11">
        <f t="shared" si="0"/>
        <v>1.568585385173939E-2</v>
      </c>
      <c r="C5" s="11">
        <f t="shared" si="1"/>
        <v>1.7814146148260612E-2</v>
      </c>
      <c r="D5" s="45">
        <f t="shared" si="2"/>
        <v>3.3500000000000002E-2</v>
      </c>
      <c r="E5" s="48">
        <f t="shared" si="5"/>
        <v>0.59987174940898347</v>
      </c>
      <c r="F5" s="48">
        <f t="shared" si="3"/>
        <v>0.18432878503145683</v>
      </c>
      <c r="G5" s="48">
        <f t="shared" si="4"/>
        <v>8.5869799662509363E-2</v>
      </c>
      <c r="H5"/>
    </row>
    <row r="6" spans="1:12">
      <c r="A6" s="14">
        <v>2005</v>
      </c>
      <c r="B6" s="11">
        <f t="shared" si="0"/>
        <v>1.7899999999999999E-2</v>
      </c>
      <c r="C6" s="11">
        <f t="shared" si="1"/>
        <v>3.1099999999999999E-2</v>
      </c>
      <c r="D6" s="45">
        <f t="shared" si="2"/>
        <v>4.9000000000000002E-2</v>
      </c>
      <c r="E6" s="48">
        <f t="shared" si="5"/>
        <v>0.80008122956180494</v>
      </c>
      <c r="F6" s="48">
        <f t="shared" si="3"/>
        <v>0.18432790837854129</v>
      </c>
      <c r="G6" s="48">
        <f t="shared" si="4"/>
        <v>8.7439381462164886E-2</v>
      </c>
      <c r="H6"/>
    </row>
    <row r="7" spans="1:12">
      <c r="A7" s="14">
        <v>2006</v>
      </c>
      <c r="B7" s="11">
        <f t="shared" si="0"/>
        <v>1.765653232775552E-2</v>
      </c>
      <c r="C7" s="11">
        <f t="shared" si="1"/>
        <v>3.3924895906984054E-2</v>
      </c>
      <c r="D7" s="45">
        <f t="shared" si="2"/>
        <v>5.16E-2</v>
      </c>
      <c r="E7" s="48">
        <f t="shared" si="5"/>
        <v>0.83399384023405299</v>
      </c>
      <c r="F7" s="48">
        <f t="shared" si="3"/>
        <v>0.19361673950470137</v>
      </c>
      <c r="G7" s="48">
        <f t="shared" si="4"/>
        <v>9.209352132786007E-2</v>
      </c>
      <c r="H7"/>
    </row>
    <row r="8" spans="1:12">
      <c r="A8" s="15">
        <v>2007</v>
      </c>
      <c r="B8" s="11">
        <f t="shared" si="0"/>
        <v>1.9163040099471559E-2</v>
      </c>
      <c r="C8" s="11">
        <f t="shared" si="1"/>
        <v>4.5781784271059993E-2</v>
      </c>
      <c r="D8" s="45">
        <f t="shared" si="2"/>
        <v>6.4944824370531548E-2</v>
      </c>
      <c r="E8" s="48">
        <f t="shared" si="5"/>
        <v>1.1553474959136625</v>
      </c>
      <c r="F8" s="48">
        <f t="shared" si="3"/>
        <v>0.1636432125934297</v>
      </c>
      <c r="G8" s="48">
        <f t="shared" si="4"/>
        <v>8.0520544737971683E-2</v>
      </c>
      <c r="H8"/>
    </row>
    <row r="9" spans="1:12">
      <c r="A9" s="10">
        <v>2008</v>
      </c>
      <c r="B9" s="11">
        <f t="shared" si="0"/>
        <v>3.1493886907794193E-2</v>
      </c>
      <c r="C9" s="11">
        <f t="shared" si="1"/>
        <v>4.3255221599592462E-2</v>
      </c>
      <c r="D9" s="45">
        <f t="shared" si="2"/>
        <v>7.4749108507386655E-2</v>
      </c>
      <c r="E9" s="48">
        <f t="shared" si="5"/>
        <v>1.3637069735264997</v>
      </c>
      <c r="F9" s="48">
        <f t="shared" si="3"/>
        <v>9.3487414792575385E-2</v>
      </c>
      <c r="G9" s="48">
        <f t="shared" si="4"/>
        <v>4.7493429004470192E-2</v>
      </c>
      <c r="H9"/>
    </row>
    <row r="10" spans="1:12">
      <c r="A10" s="10">
        <v>2009</v>
      </c>
      <c r="B10" s="11">
        <f t="shared" si="0"/>
        <v>1.9702860596293312E-2</v>
      </c>
      <c r="C10" s="11">
        <f t="shared" si="1"/>
        <v>1.3864826752618856E-2</v>
      </c>
      <c r="D10" s="45">
        <f t="shared" si="2"/>
        <v>3.3567687348912169E-2</v>
      </c>
      <c r="E10" s="48">
        <f t="shared" si="5"/>
        <v>0.65824782613501698</v>
      </c>
      <c r="F10" s="48">
        <f t="shared" si="3"/>
        <v>0.12597204067616369</v>
      </c>
      <c r="G10" s="48">
        <f t="shared" si="4"/>
        <v>6.2593571114046676E-2</v>
      </c>
      <c r="H10"/>
      <c r="J10" s="214" t="s">
        <v>292</v>
      </c>
      <c r="K10" s="214"/>
      <c r="L10" s="214"/>
    </row>
    <row r="11" spans="1:12">
      <c r="A11" s="10">
        <v>2010</v>
      </c>
      <c r="B11" s="11">
        <f t="shared" si="0"/>
        <v>1.8007874015748031E-2</v>
      </c>
      <c r="C11" s="11">
        <f t="shared" si="1"/>
        <v>2.6143482064741905E-2</v>
      </c>
      <c r="D11" s="45">
        <f t="shared" si="2"/>
        <v>4.4151356080489937E-2</v>
      </c>
      <c r="E11" s="48">
        <f t="shared" si="5"/>
        <v>0.66284483062035782</v>
      </c>
      <c r="F11" s="48">
        <f t="shared" si="3"/>
        <v>0.16310993418746833</v>
      </c>
      <c r="G11" s="48">
        <f t="shared" si="4"/>
        <v>8.7014781190597371E-2</v>
      </c>
      <c r="H11"/>
      <c r="J11" s="214"/>
      <c r="K11" s="214"/>
      <c r="L11" s="214"/>
    </row>
    <row r="12" spans="1:12">
      <c r="A12" s="10">
        <v>2011</v>
      </c>
      <c r="B12" s="11">
        <f t="shared" si="0"/>
        <v>2.1097935880544576E-2</v>
      </c>
      <c r="C12" s="11">
        <f t="shared" si="1"/>
        <v>3.5580149319279761E-2</v>
      </c>
      <c r="D12" s="45">
        <f t="shared" si="2"/>
        <v>5.6678085199824341E-2</v>
      </c>
      <c r="E12" s="48">
        <f t="shared" si="5"/>
        <v>0.73909539555473958</v>
      </c>
      <c r="F12" s="48">
        <f t="shared" si="3"/>
        <v>0.1665227751493594</v>
      </c>
      <c r="G12" s="48">
        <f t="shared" si="4"/>
        <v>9.1600733261780157E-2</v>
      </c>
      <c r="H12"/>
      <c r="J12" s="214"/>
      <c r="K12" s="214"/>
      <c r="L12" s="214"/>
    </row>
    <row r="13" spans="1:12">
      <c r="A13" s="10">
        <v>2012</v>
      </c>
      <c r="B13" s="35">
        <f t="shared" si="0"/>
        <v>2.1911526514700005E-2</v>
      </c>
      <c r="C13" s="36">
        <f t="shared" si="1"/>
        <v>3.1306702244545591E-2</v>
      </c>
      <c r="D13" s="37">
        <f t="shared" si="2"/>
        <v>5.3218228759245596E-2</v>
      </c>
      <c r="E13" s="48">
        <f t="shared" si="5"/>
        <v>0.78392176899554311</v>
      </c>
      <c r="F13" s="48">
        <f t="shared" si="3"/>
        <v>0.1579084711485142</v>
      </c>
      <c r="G13" s="48">
        <f t="shared" si="4"/>
        <v>8.863297234453528E-2</v>
      </c>
      <c r="H13"/>
    </row>
    <row r="14" spans="1:12">
      <c r="A14" s="10">
        <v>2013</v>
      </c>
      <c r="B14" s="35">
        <f t="shared" si="0"/>
        <v>1.888160315090134E-2</v>
      </c>
      <c r="C14" s="35">
        <f t="shared" si="1"/>
        <v>2.8798502456231469E-2</v>
      </c>
      <c r="D14" s="37">
        <f t="shared" si="2"/>
        <v>4.768010560713281E-2</v>
      </c>
      <c r="E14" s="48">
        <f t="shared" ref="E14:E18" si="6">(D42+E42)/C42</f>
        <v>0.83997331300038114</v>
      </c>
      <c r="F14" s="48">
        <f t="shared" si="3"/>
        <v>0.15730842466677661</v>
      </c>
      <c r="G14" s="48">
        <f t="shared" si="4"/>
        <v>9.3946150195646533E-2</v>
      </c>
      <c r="H14"/>
    </row>
    <row r="15" spans="1:12">
      <c r="A15" s="10">
        <v>2014</v>
      </c>
      <c r="B15" s="35">
        <f t="shared" ref="B15:D16" si="7">I43</f>
        <v>1.9206906001644285E-2</v>
      </c>
      <c r="C15" s="35">
        <f t="shared" si="7"/>
        <v>3.0324472458207727E-2</v>
      </c>
      <c r="D15" s="37">
        <f t="shared" si="7"/>
        <v>4.9531378459852012E-2</v>
      </c>
      <c r="E15" s="48">
        <f t="shared" si="6"/>
        <v>0.87792833256705682</v>
      </c>
      <c r="F15" s="48">
        <f t="shared" ref="F15:F21" si="8">C43/M43</f>
        <v>0.16227089852481</v>
      </c>
      <c r="G15" s="48">
        <f t="shared" si="4"/>
        <v>9.9852147302547878E-2</v>
      </c>
      <c r="H15"/>
    </row>
    <row r="16" spans="1:12">
      <c r="A16" s="10">
        <v>2015</v>
      </c>
      <c r="B16" s="35">
        <f t="shared" si="7"/>
        <v>2.1238392516414375E-2</v>
      </c>
      <c r="C16" s="35">
        <f t="shared" si="7"/>
        <v>3.1771969822988931E-2</v>
      </c>
      <c r="D16" s="35">
        <f t="shared" si="7"/>
        <v>5.3010362339403302E-2</v>
      </c>
      <c r="E16" s="48">
        <f t="shared" si="6"/>
        <v>1.0783240445859872</v>
      </c>
      <c r="F16" s="48">
        <f t="shared" si="8"/>
        <v>0.13821943435677342</v>
      </c>
      <c r="G16" s="48">
        <f t="shared" ref="G16:G21" si="9">C44/O44</f>
        <v>8.9146771002457562E-2</v>
      </c>
      <c r="H16"/>
    </row>
    <row r="17" spans="1:19">
      <c r="A17" s="10">
        <v>2016</v>
      </c>
      <c r="B17" s="35">
        <f t="shared" ref="B17:D17" si="10">I45</f>
        <v>2.0412538748090511E-2</v>
      </c>
      <c r="C17" s="35">
        <f t="shared" si="10"/>
        <v>2.7836092227155374E-2</v>
      </c>
      <c r="D17" s="37">
        <f t="shared" si="10"/>
        <v>4.8248630975245885E-2</v>
      </c>
      <c r="E17" s="48">
        <f t="shared" si="6"/>
        <v>1.0165631469979297</v>
      </c>
      <c r="F17" s="48">
        <f t="shared" si="8"/>
        <v>0.14353834308176527</v>
      </c>
      <c r="G17" s="48">
        <f t="shared" si="9"/>
        <v>9.2345395765981858E-2</v>
      </c>
      <c r="H17"/>
      <c r="I17" s="32"/>
    </row>
    <row r="18" spans="1:19">
      <c r="A18" s="10">
        <v>2017</v>
      </c>
      <c r="B18" s="35">
        <f t="shared" ref="B18:D18" si="11">I46</f>
        <v>1.830109851474224E-2</v>
      </c>
      <c r="C18" s="35">
        <f t="shared" si="11"/>
        <v>2.2759489977969862E-2</v>
      </c>
      <c r="D18" s="37">
        <f t="shared" si="11"/>
        <v>4.1060588492712102E-2</v>
      </c>
      <c r="E18" s="48">
        <f t="shared" si="6"/>
        <v>0.88169624929724522</v>
      </c>
      <c r="F18" s="48">
        <f t="shared" si="8"/>
        <v>0.16191367898152123</v>
      </c>
      <c r="G18" s="48">
        <f t="shared" si="9"/>
        <v>0.10109859772485527</v>
      </c>
      <c r="H18"/>
      <c r="I18" s="32"/>
    </row>
    <row r="19" spans="1:19">
      <c r="A19" s="10">
        <v>2018</v>
      </c>
      <c r="B19" s="35">
        <f t="shared" ref="B19:D20" si="12">I47</f>
        <v>2.1696551449029659E-2</v>
      </c>
      <c r="C19" s="35">
        <f t="shared" si="12"/>
        <v>3.8338951273510585E-2</v>
      </c>
      <c r="D19" s="37">
        <f t="shared" si="12"/>
        <v>6.003550272254024E-2</v>
      </c>
      <c r="E19" s="48">
        <f>(D47+E47)/C47</f>
        <v>0.98507658070428061</v>
      </c>
      <c r="F19" s="48">
        <f t="shared" si="8"/>
        <v>0.18484731161980353</v>
      </c>
      <c r="G19" s="48">
        <f t="shared" si="9"/>
        <v>0.11522826177133849</v>
      </c>
      <c r="H19"/>
      <c r="I19" s="32"/>
    </row>
    <row r="20" spans="1:19">
      <c r="A20" s="10">
        <v>2019</v>
      </c>
      <c r="B20" s="35">
        <f t="shared" si="12"/>
        <v>1.810708250020119E-2</v>
      </c>
      <c r="C20" s="35">
        <f t="shared" si="12"/>
        <v>2.7179195116968657E-2</v>
      </c>
      <c r="D20" s="37">
        <f t="shared" si="12"/>
        <v>4.5286277617169843E-2</v>
      </c>
      <c r="E20" s="48">
        <f>(D48+E48)/C48</f>
        <v>0.9308436187810154</v>
      </c>
      <c r="F20" s="48">
        <f t="shared" si="8"/>
        <v>0.18456588619337264</v>
      </c>
      <c r="G20" s="48">
        <f t="shared" si="9"/>
        <v>0.11287774330690567</v>
      </c>
      <c r="H20"/>
      <c r="I20" s="32"/>
    </row>
    <row r="21" spans="1:19">
      <c r="A21" s="10">
        <v>2020</v>
      </c>
      <c r="B21" s="35">
        <f t="shared" ref="B21:D23" si="13">I49</f>
        <v>1.5175436027550072E-2</v>
      </c>
      <c r="C21" s="35">
        <f t="shared" si="13"/>
        <v>1.6416094481732233E-2</v>
      </c>
      <c r="D21" s="37">
        <f t="shared" si="13"/>
        <v>3.1591530509282303E-2</v>
      </c>
      <c r="E21" s="48">
        <f>(D49+E49)/C49</f>
        <v>0.84902690326273611</v>
      </c>
      <c r="F21" s="48">
        <f t="shared" si="8"/>
        <v>0.15282668124658283</v>
      </c>
      <c r="G21" s="48">
        <f t="shared" si="9"/>
        <v>0.10245357847126006</v>
      </c>
      <c r="H21"/>
      <c r="I21" s="32"/>
    </row>
    <row r="22" spans="1:19">
      <c r="A22" s="10">
        <v>2021</v>
      </c>
      <c r="B22" s="35">
        <f t="shared" si="13"/>
        <v>1.2725075427281386E-2</v>
      </c>
      <c r="C22" s="35">
        <f t="shared" si="13"/>
        <v>2.1948394731210318E-2</v>
      </c>
      <c r="D22" s="37">
        <f t="shared" si="13"/>
        <v>3.4673470158491704E-2</v>
      </c>
      <c r="E22" s="48">
        <f>(D50+E50)/C50</f>
        <v>0.80477233990747499</v>
      </c>
      <c r="F22" s="48">
        <f t="shared" ref="F22" si="14">C50/M50</f>
        <v>0.22139684319475592</v>
      </c>
      <c r="G22" s="48">
        <f t="shared" ref="G22" si="15">C50/O50</f>
        <v>0.13589438157633513</v>
      </c>
      <c r="H22"/>
      <c r="I22" s="32"/>
    </row>
    <row r="23" spans="1:19" ht="15" thickBot="1">
      <c r="A23" s="10">
        <v>2022</v>
      </c>
      <c r="B23" s="35">
        <f t="shared" si="13"/>
        <v>1.744497981508009E-2</v>
      </c>
      <c r="C23" s="35">
        <f t="shared" si="13"/>
        <v>2.8511524938142987E-2</v>
      </c>
      <c r="D23" s="37">
        <f t="shared" si="13"/>
        <v>4.5956504753223076E-2</v>
      </c>
      <c r="E23" s="48">
        <f>(D51+E51)/C51</f>
        <v>0.88735227558461149</v>
      </c>
      <c r="F23" s="48">
        <f t="shared" ref="F23" si="16">C51/M51</f>
        <v>0.19726791135096525</v>
      </c>
      <c r="G23" s="48">
        <f t="shared" ref="G23" si="17">C51/O51</f>
        <v>0.11597254218111194</v>
      </c>
      <c r="H23"/>
      <c r="I23" s="32"/>
    </row>
    <row r="24" spans="1:19" ht="15" thickBot="1">
      <c r="A24" s="13" t="s">
        <v>27</v>
      </c>
      <c r="B24" s="12"/>
      <c r="C24" s="12"/>
      <c r="D24" s="46">
        <f>AVERAGE(D14:D23)</f>
        <v>4.5707435163505325E-2</v>
      </c>
      <c r="E24" s="46">
        <f>AVERAGE(E14:E23)</f>
        <v>0.91515568046887164</v>
      </c>
      <c r="F24" s="46">
        <f>AVERAGE(F14:F23)</f>
        <v>0.17041554132171266</v>
      </c>
      <c r="G24" s="46">
        <f>AVERAGE(G14:G23)</f>
        <v>0.10588155692984405</v>
      </c>
      <c r="H24" t="s">
        <v>291</v>
      </c>
    </row>
    <row r="25" spans="1:19" ht="15" thickBot="1">
      <c r="A25" s="15" t="s">
        <v>29</v>
      </c>
      <c r="B25" s="12"/>
      <c r="C25" s="12"/>
      <c r="D25" s="47">
        <f>AVERAGE(D19:D23)</f>
        <v>4.3508657152141431E-2</v>
      </c>
      <c r="E25" s="47">
        <f>AVERAGE(E19:E23)</f>
        <v>0.89141434364802374</v>
      </c>
      <c r="F25" s="47">
        <f>AVERAGE(F19:F23)</f>
        <v>0.18818092672109604</v>
      </c>
      <c r="G25" s="47">
        <f>AVERAGE(G19:G23)</f>
        <v>0.11648530146139027</v>
      </c>
      <c r="H25" t="s">
        <v>291</v>
      </c>
    </row>
    <row r="26" spans="1:19" ht="15" thickBot="1"/>
    <row r="27" spans="1:19" ht="15" thickBot="1">
      <c r="A27" s="32" t="s">
        <v>37</v>
      </c>
      <c r="D27" s="84">
        <v>4450.3900000000003</v>
      </c>
      <c r="E27" s="32" t="s">
        <v>194</v>
      </c>
      <c r="J27" s="40" t="s">
        <v>43</v>
      </c>
      <c r="M27" s="10" t="s">
        <v>44</v>
      </c>
      <c r="N27" s="41">
        <v>43646</v>
      </c>
    </row>
    <row r="29" spans="1:19" s="101" customFormat="1" ht="45">
      <c r="A29" s="100" t="s">
        <v>8</v>
      </c>
      <c r="B29" s="100" t="s">
        <v>14</v>
      </c>
      <c r="C29" s="100" t="s">
        <v>45</v>
      </c>
      <c r="D29" s="100" t="s">
        <v>11</v>
      </c>
      <c r="E29" s="100" t="s">
        <v>12</v>
      </c>
      <c r="F29" s="100" t="s">
        <v>129</v>
      </c>
      <c r="G29" s="100" t="s">
        <v>13</v>
      </c>
      <c r="H29" s="100" t="s">
        <v>157</v>
      </c>
      <c r="I29" s="100" t="s">
        <v>9</v>
      </c>
      <c r="J29" s="100" t="s">
        <v>10</v>
      </c>
      <c r="K29" s="100" t="s">
        <v>130</v>
      </c>
      <c r="L29" s="100" t="s">
        <v>131</v>
      </c>
      <c r="M29" s="100" t="s">
        <v>47</v>
      </c>
      <c r="N29" s="100" t="s">
        <v>49</v>
      </c>
      <c r="O29" s="100" t="s">
        <v>48</v>
      </c>
      <c r="P29" s="101" t="s">
        <v>95</v>
      </c>
      <c r="Q29" s="101" t="s">
        <v>96</v>
      </c>
    </row>
    <row r="30" spans="1:19" ht="16">
      <c r="A30" s="14">
        <v>2001</v>
      </c>
      <c r="B30" s="16">
        <v>1148.0899999999999</v>
      </c>
      <c r="C30" s="42">
        <v>38.85</v>
      </c>
      <c r="D30" s="17">
        <f t="shared" ref="D30:D36" si="18">I30*B30</f>
        <v>15.74</v>
      </c>
      <c r="E30" s="17">
        <f t="shared" ref="E30:E36" si="19">J30*B30</f>
        <v>14.339957999999999</v>
      </c>
      <c r="F30" s="17"/>
      <c r="G30" s="17">
        <f t="shared" ref="G30:G41" si="20">D30+E30</f>
        <v>30.079957999999998</v>
      </c>
      <c r="H30" s="17"/>
      <c r="I30" s="11">
        <v>1.3709726589378883E-2</v>
      </c>
      <c r="J30" s="11">
        <v>1.2490273410621118E-2</v>
      </c>
      <c r="K30" s="11">
        <v>2.6200000000000001E-2</v>
      </c>
      <c r="L30" s="11"/>
      <c r="M30" s="14">
        <v>325.8</v>
      </c>
      <c r="N30" s="48">
        <f>C30/M30</f>
        <v>0.11924493554327809</v>
      </c>
      <c r="O30" s="14">
        <v>736.88</v>
      </c>
      <c r="P30" s="152">
        <v>1.6E-2</v>
      </c>
      <c r="Q30" s="64">
        <f>C30*(1+P31)*(1+P32)*(1+P33)*(1+P34)*(1+P35)*(1+P36)*(1+P37)*(1+P38)*(1+P39)*(1+P40)*(1+P41)*(1+P42)*(1+P43)*(1+P44)*(1+P45)*(1+P46)*(1+P47)*(1+P48)*(1+P49)*(1+P50)*(1+P51)</f>
        <v>65.753535755025396</v>
      </c>
      <c r="S30"/>
    </row>
    <row r="31" spans="1:19" ht="16">
      <c r="A31" s="14">
        <v>2002</v>
      </c>
      <c r="B31" s="16">
        <v>879.82</v>
      </c>
      <c r="C31" s="43">
        <v>46.04</v>
      </c>
      <c r="D31" s="17">
        <f t="shared" si="18"/>
        <v>15.96</v>
      </c>
      <c r="E31" s="17">
        <f t="shared" si="19"/>
        <v>13.865898</v>
      </c>
      <c r="F31" s="17"/>
      <c r="G31" s="17">
        <f t="shared" si="20"/>
        <v>29.825898000000002</v>
      </c>
      <c r="H31" s="17"/>
      <c r="I31" s="11">
        <v>1.8140074106067151E-2</v>
      </c>
      <c r="J31" s="11">
        <v>1.5759925893932849E-2</v>
      </c>
      <c r="K31" s="11">
        <v>3.39E-2</v>
      </c>
      <c r="L31" s="11"/>
      <c r="M31" s="14">
        <v>338.37</v>
      </c>
      <c r="N31" s="48">
        <f t="shared" ref="N31:N52" si="21">C31/M31</f>
        <v>0.13606407187398409</v>
      </c>
      <c r="O31" s="14">
        <v>674.59</v>
      </c>
      <c r="P31" s="152">
        <v>2.4799999999999999E-2</v>
      </c>
      <c r="Q31" s="64">
        <f>C31*(1+P32)*(1+P33)*(1+P34)*(1+P35)*(1+P36)*(1+P37)*(1+P38)*(1+P39)*(1+P40)*(1+P41)*(1+P42)*(1+P43)*(1+P44)*(1+P45)*(1+P46)*(1+P47)*(1+P48)*(1+P49)*(1+P50)*(1+P51)</f>
        <v>76.036879623719656</v>
      </c>
      <c r="S31"/>
    </row>
    <row r="32" spans="1:19" ht="16">
      <c r="A32" s="14">
        <v>2003</v>
      </c>
      <c r="B32" s="16">
        <v>1111.9100000000001</v>
      </c>
      <c r="C32" s="43">
        <v>54.69</v>
      </c>
      <c r="D32" s="17">
        <f t="shared" si="18"/>
        <v>17.88</v>
      </c>
      <c r="E32" s="17">
        <f t="shared" si="19"/>
        <v>13.698244000000004</v>
      </c>
      <c r="F32" s="17"/>
      <c r="G32" s="17">
        <f t="shared" si="20"/>
        <v>31.578244000000005</v>
      </c>
      <c r="H32" s="17"/>
      <c r="I32" s="11">
        <v>1.6080438164959392E-2</v>
      </c>
      <c r="J32" s="11">
        <v>1.2319561835040609E-2</v>
      </c>
      <c r="K32" s="11">
        <v>2.8400000000000002E-2</v>
      </c>
      <c r="L32" s="11"/>
      <c r="M32" s="14">
        <v>325.72000000000003</v>
      </c>
      <c r="N32" s="48">
        <f t="shared" si="21"/>
        <v>0.1679049490359818</v>
      </c>
      <c r="O32" s="14">
        <v>710.81</v>
      </c>
      <c r="P32" s="152">
        <v>2.0400000000000001E-2</v>
      </c>
      <c r="Q32" s="64">
        <f>C32*(1+P33)*(1+P34)*(1+P35)*(1+P36)*(1+P37)*(1+P38)*(1+P39)*(1+P40)*(1+P41)*(1+P42)*(1+P43)*(1+P44)*(1+P45)*(1+P46)*(1+P47)*(1+P48)*(1+P49)*(1+P50)*(1+P51)</f>
        <v>88.516950700523111</v>
      </c>
      <c r="S32"/>
    </row>
    <row r="33" spans="1:21" ht="16">
      <c r="A33" s="14">
        <v>2004</v>
      </c>
      <c r="B33" s="16">
        <v>1211.92</v>
      </c>
      <c r="C33" s="43">
        <v>67.680000000000007</v>
      </c>
      <c r="D33" s="17">
        <f t="shared" si="18"/>
        <v>19.010000000000002</v>
      </c>
      <c r="E33" s="17">
        <f t="shared" si="19"/>
        <v>21.589320000000001</v>
      </c>
      <c r="F33" s="17"/>
      <c r="G33" s="17">
        <f t="shared" si="20"/>
        <v>40.599320000000006</v>
      </c>
      <c r="H33" s="17"/>
      <c r="I33" s="11">
        <v>1.568585385173939E-2</v>
      </c>
      <c r="J33" s="11">
        <v>1.7814146148260612E-2</v>
      </c>
      <c r="K33" s="11">
        <v>3.3500000000000002E-2</v>
      </c>
      <c r="L33" s="11"/>
      <c r="M33" s="14">
        <v>367.17</v>
      </c>
      <c r="N33" s="48">
        <f t="shared" si="21"/>
        <v>0.18432878503145683</v>
      </c>
      <c r="O33" s="14">
        <v>788.17</v>
      </c>
      <c r="P33" s="152">
        <v>3.3399999999999999E-2</v>
      </c>
      <c r="Q33" s="64">
        <f>C33*(1+P34)*(1+P35)*(1+P36)*(1+P37)*(1+P38)*(1+P39)*(1+P40)*(1+P41)*(1+P42)*(1+P43)*(1+P44)*(1+P45)*(1+P46)*(1+P47)*(1+P48)*(1+P49)*(1+P50)*(1+P51)</f>
        <v>106.00111024655293</v>
      </c>
      <c r="S33"/>
    </row>
    <row r="34" spans="1:21" ht="16">
      <c r="A34" s="14">
        <v>2005</v>
      </c>
      <c r="B34" s="16">
        <v>1248.29</v>
      </c>
      <c r="C34" s="43">
        <v>76.45</v>
      </c>
      <c r="D34" s="17">
        <f t="shared" si="18"/>
        <v>22.344390999999998</v>
      </c>
      <c r="E34" s="17">
        <f t="shared" si="19"/>
        <v>38.821818999999998</v>
      </c>
      <c r="F34" s="17"/>
      <c r="G34" s="17">
        <f t="shared" si="20"/>
        <v>61.166209999999992</v>
      </c>
      <c r="H34" s="17"/>
      <c r="I34" s="11">
        <v>1.7899999999999999E-2</v>
      </c>
      <c r="J34" s="11">
        <v>3.1099999999999999E-2</v>
      </c>
      <c r="K34" s="11">
        <v>4.9000000000000002E-2</v>
      </c>
      <c r="L34" s="11"/>
      <c r="M34" s="14">
        <v>414.75</v>
      </c>
      <c r="N34" s="48">
        <f t="shared" si="21"/>
        <v>0.18432790837854129</v>
      </c>
      <c r="O34" s="14">
        <v>874.32</v>
      </c>
      <c r="P34" s="152">
        <v>3.3399999999999999E-2</v>
      </c>
      <c r="Q34" s="64">
        <f>C34*(1+P35)*(1+P36)*(1+P37)*(1+P38)*(1+P39)*(1+P40)*(1+P41)*(1+P42)*(1+P43)*(1+P44)*(1+P45)*(1+P46)*(1+P47)*(1+P48)*(1+P49)*(1+P50)*(1+P51)</f>
        <v>115.86682234109141</v>
      </c>
      <c r="S34"/>
    </row>
    <row r="35" spans="1:21" ht="16">
      <c r="A35" s="14">
        <v>2006</v>
      </c>
      <c r="B35" s="16">
        <v>1418.3</v>
      </c>
      <c r="C35" s="43">
        <v>87.72</v>
      </c>
      <c r="D35" s="17">
        <f t="shared" si="18"/>
        <v>25.042259800455653</v>
      </c>
      <c r="E35" s="17">
        <f t="shared" si="19"/>
        <v>48.115679864875482</v>
      </c>
      <c r="F35" s="17"/>
      <c r="G35" s="17">
        <f t="shared" si="20"/>
        <v>73.157939665331128</v>
      </c>
      <c r="H35" s="17"/>
      <c r="I35" s="11">
        <v>1.765653232775552E-2</v>
      </c>
      <c r="J35" s="11">
        <v>3.3924895906984054E-2</v>
      </c>
      <c r="K35" s="11">
        <v>5.16E-2</v>
      </c>
      <c r="L35" s="11"/>
      <c r="M35" s="14">
        <v>453.06</v>
      </c>
      <c r="N35" s="48">
        <f t="shared" si="21"/>
        <v>0.19361673950470137</v>
      </c>
      <c r="O35" s="14">
        <v>952.51</v>
      </c>
      <c r="P35" s="152">
        <v>2.52E-2</v>
      </c>
      <c r="Q35" s="64">
        <f>C35*(1+P36)*(1+P37)*(1+P38)*(1+P39)*(1+P40)*(1+P41)*(1+P42)*(1+P43)*(1+P44)*(1+P45)*(1+P46)*(1+P46)*(1+P47)*(1+P48)*(1+P49)*(1+P50)*(1+P51)</f>
        <v>132.41583042957856</v>
      </c>
      <c r="S35"/>
    </row>
    <row r="36" spans="1:21" ht="16">
      <c r="A36" s="14">
        <v>2007</v>
      </c>
      <c r="B36" s="20">
        <v>1468.36</v>
      </c>
      <c r="C36" s="43">
        <v>82.54</v>
      </c>
      <c r="D36" s="17">
        <f t="shared" si="18"/>
        <v>28.138241560460056</v>
      </c>
      <c r="E36" s="17">
        <f t="shared" si="19"/>
        <v>67.224140752253646</v>
      </c>
      <c r="F36" s="17"/>
      <c r="G36" s="17">
        <f t="shared" si="20"/>
        <v>95.362382312713706</v>
      </c>
      <c r="H36" s="17"/>
      <c r="I36" s="11">
        <v>1.9163040099471559E-2</v>
      </c>
      <c r="J36" s="11">
        <v>4.5781784271059993E-2</v>
      </c>
      <c r="K36" s="11">
        <f>G36/B36</f>
        <v>6.4944824370531548E-2</v>
      </c>
      <c r="L36" s="11"/>
      <c r="M36" s="14">
        <v>504.39</v>
      </c>
      <c r="N36" s="48">
        <f t="shared" si="21"/>
        <v>0.1636432125934297</v>
      </c>
      <c r="O36" s="14">
        <v>1025.08</v>
      </c>
      <c r="P36" s="152">
        <v>4.1099999999999998E-2</v>
      </c>
      <c r="Q36" s="64">
        <f>C36*(1+P37)*(1+P38)*(1+P39)*(1+P40)*(1+P41)*(1+P42)*(1+P43)*(1+P44)*(1+P45)*(1+P46)*(1+P47)*(1+P48)*(1+P49)*(1+P50)*(1+P51)</f>
        <v>117.20469994169764</v>
      </c>
      <c r="S36"/>
    </row>
    <row r="37" spans="1:21" ht="16">
      <c r="A37" s="14">
        <v>2008</v>
      </c>
      <c r="B37" s="16">
        <v>903.25</v>
      </c>
      <c r="C37" s="42">
        <v>49.51</v>
      </c>
      <c r="D37" s="17">
        <f>F69*E69</f>
        <v>28.446853349465105</v>
      </c>
      <c r="E37" s="17">
        <f>G69*E69</f>
        <v>39.070278909831892</v>
      </c>
      <c r="F37" s="17"/>
      <c r="G37" s="17">
        <f t="shared" si="20"/>
        <v>67.517132259297</v>
      </c>
      <c r="H37" s="17"/>
      <c r="I37" s="11">
        <f t="shared" ref="I37:I42" si="22">D37/B37</f>
        <v>3.1493886907794193E-2</v>
      </c>
      <c r="J37" s="11">
        <f t="shared" ref="J37:J42" si="23">E37/B37</f>
        <v>4.3255221599592462E-2</v>
      </c>
      <c r="K37" s="11">
        <f t="shared" ref="K37:K42" si="24">I37+J37</f>
        <v>7.4749108507386655E-2</v>
      </c>
      <c r="L37" s="11"/>
      <c r="M37" s="14">
        <v>529.59</v>
      </c>
      <c r="N37" s="48">
        <f t="shared" si="21"/>
        <v>9.3487414792575385E-2</v>
      </c>
      <c r="O37" s="14">
        <v>1042.46</v>
      </c>
      <c r="P37" s="152">
        <v>-2.0000000000000001E-4</v>
      </c>
      <c r="Q37" s="64">
        <f>C37*(1+P38)*(1+P39)*(1+P40)*(1+P41)*(1+P42)*(1+P43)*(1+P44)*(1+P45)*(1+P46)*(1+P47)*(1+P48)*(1+P49)*(1+P50)*(1+P51)</f>
        <v>70.317003721963786</v>
      </c>
      <c r="S37"/>
    </row>
    <row r="38" spans="1:21" ht="16">
      <c r="A38" s="14">
        <v>2009</v>
      </c>
      <c r="B38" s="16">
        <v>1115</v>
      </c>
      <c r="C38" s="43">
        <v>56.86</v>
      </c>
      <c r="D38" s="17">
        <f>F68*E68</f>
        <v>21.968689564867041</v>
      </c>
      <c r="E38" s="17">
        <f>G68*E68</f>
        <v>15.459281829170026</v>
      </c>
      <c r="F38" s="17"/>
      <c r="G38" s="17">
        <f t="shared" si="20"/>
        <v>37.427971394037066</v>
      </c>
      <c r="H38" s="17"/>
      <c r="I38" s="11">
        <f t="shared" si="22"/>
        <v>1.9702860596293312E-2</v>
      </c>
      <c r="J38" s="11">
        <f t="shared" si="23"/>
        <v>1.3864826752618856E-2</v>
      </c>
      <c r="K38" s="11">
        <f t="shared" si="24"/>
        <v>3.3567687348912169E-2</v>
      </c>
      <c r="L38" s="11"/>
      <c r="M38" s="14">
        <v>451.37</v>
      </c>
      <c r="N38" s="48">
        <f t="shared" si="21"/>
        <v>0.12597204067616369</v>
      </c>
      <c r="O38" s="14">
        <v>908.4</v>
      </c>
      <c r="P38" s="152">
        <v>2.81E-2</v>
      </c>
      <c r="Q38" s="64">
        <f>C38*(1+P39)*(1+P40)*(1+P41)*(1+P42)*(1+P43)*(1+P44)*(1+P45)*(1+P46)*(1+P47)*(1+P48)*(1+P49)*(1+P50)*(1+P51)</f>
        <v>78.54868640860299</v>
      </c>
      <c r="S38"/>
    </row>
    <row r="39" spans="1:21" ht="16">
      <c r="A39" s="14">
        <v>2010</v>
      </c>
      <c r="B39" s="18">
        <v>1257.6400000000001</v>
      </c>
      <c r="C39" s="43">
        <v>83.77</v>
      </c>
      <c r="D39" s="18">
        <f>F67*E67</f>
        <v>22.647422677165356</v>
      </c>
      <c r="E39" s="18">
        <f>G67*E67</f>
        <v>32.879088783902013</v>
      </c>
      <c r="F39" s="18"/>
      <c r="G39" s="17">
        <f t="shared" si="20"/>
        <v>55.526511461067372</v>
      </c>
      <c r="H39" s="17"/>
      <c r="I39" s="11">
        <f t="shared" si="22"/>
        <v>1.8007874015748031E-2</v>
      </c>
      <c r="J39" s="11">
        <f t="shared" si="23"/>
        <v>2.6143482064741905E-2</v>
      </c>
      <c r="K39" s="11">
        <f t="shared" si="24"/>
        <v>4.4151356080489937E-2</v>
      </c>
      <c r="L39" s="11"/>
      <c r="M39" s="14">
        <v>513.58000000000004</v>
      </c>
      <c r="N39" s="48">
        <f t="shared" si="21"/>
        <v>0.16310993418746833</v>
      </c>
      <c r="O39" s="14">
        <v>962.71</v>
      </c>
      <c r="P39" s="152">
        <v>1.44E-2</v>
      </c>
      <c r="Q39" s="64">
        <f>C39*(1+P40)*(1+P41)*(1+P42)*(1+P43)*(1+P44)*(1+P45)*(1+P46)*(1+P47)*(1+P48)*(1+P49)*(1+P50)*(1+P51)</f>
        <v>114.08048166287054</v>
      </c>
      <c r="S39"/>
    </row>
    <row r="40" spans="1:21" ht="16">
      <c r="A40" s="14">
        <v>2011</v>
      </c>
      <c r="B40" s="18">
        <v>1257.5999999999999</v>
      </c>
      <c r="C40" s="42">
        <v>96.44</v>
      </c>
      <c r="D40" s="18">
        <f>F66*E66</f>
        <v>26.532764163372857</v>
      </c>
      <c r="E40" s="18">
        <f>G66*E66</f>
        <v>44.74559578392622</v>
      </c>
      <c r="F40" s="18"/>
      <c r="G40" s="18">
        <f t="shared" si="20"/>
        <v>71.27835994729908</v>
      </c>
      <c r="H40" s="18"/>
      <c r="I40" s="11">
        <f t="shared" si="22"/>
        <v>2.1097935880544576E-2</v>
      </c>
      <c r="J40" s="11">
        <f t="shared" si="23"/>
        <v>3.5580149319279761E-2</v>
      </c>
      <c r="K40" s="11">
        <f t="shared" si="24"/>
        <v>5.6678085199824341E-2</v>
      </c>
      <c r="L40" s="11"/>
      <c r="M40" s="14">
        <v>579.14</v>
      </c>
      <c r="N40" s="48">
        <f t="shared" si="21"/>
        <v>0.1665227751493594</v>
      </c>
      <c r="O40" s="14">
        <v>1052.83</v>
      </c>
      <c r="P40" s="152">
        <v>3.0599999999999999E-2</v>
      </c>
      <c r="Q40" s="64">
        <f>C40*(1+P41)*(1+P42)*(1+P43)*(1+P44)*(1+P45)*(1+P46)*(1+P47)*(1+P48)*(1+P49)*(1+P50)*(1+P51)</f>
        <v>127.43534361105084</v>
      </c>
      <c r="S40"/>
    </row>
    <row r="41" spans="1:21" ht="16">
      <c r="A41" s="14">
        <v>2012</v>
      </c>
      <c r="B41" s="20">
        <v>1426.19</v>
      </c>
      <c r="C41" s="43">
        <v>96.82</v>
      </c>
      <c r="D41" s="17">
        <v>31.25</v>
      </c>
      <c r="E41" s="17">
        <f>G65*E65</f>
        <v>44.649305674148479</v>
      </c>
      <c r="F41" s="17"/>
      <c r="G41" s="17">
        <f t="shared" si="20"/>
        <v>75.899305674148479</v>
      </c>
      <c r="H41" s="17"/>
      <c r="I41" s="38">
        <f t="shared" si="22"/>
        <v>2.1911526514700005E-2</v>
      </c>
      <c r="J41" s="38">
        <f t="shared" si="23"/>
        <v>3.1306702244545591E-2</v>
      </c>
      <c r="K41" s="38">
        <f t="shared" si="24"/>
        <v>5.3218228759245596E-2</v>
      </c>
      <c r="L41" s="38"/>
      <c r="M41" s="14">
        <v>613.14</v>
      </c>
      <c r="N41" s="48">
        <f t="shared" si="21"/>
        <v>0.1579084711485142</v>
      </c>
      <c r="O41" s="14">
        <v>1092.3699999999999</v>
      </c>
      <c r="P41" s="152">
        <v>1.7600000000000001E-2</v>
      </c>
      <c r="Q41" s="64">
        <f>C41*(1+P42)*(1+P43)*(1+P44)*(1+P45)*(1+P46)*(1+P47)*(1+P48)*(1+P49)*(1+P50)*(1+P51)</f>
        <v>125.72471870057885</v>
      </c>
      <c r="S41"/>
    </row>
    <row r="42" spans="1:21" ht="16">
      <c r="A42" s="14">
        <v>2013</v>
      </c>
      <c r="B42" s="20">
        <v>1848.36</v>
      </c>
      <c r="C42" s="43">
        <v>104.92</v>
      </c>
      <c r="D42" s="17">
        <v>34.9</v>
      </c>
      <c r="E42" s="17">
        <v>53.23</v>
      </c>
      <c r="F42" s="17"/>
      <c r="G42" s="17">
        <v>88.13</v>
      </c>
      <c r="H42" s="17"/>
      <c r="I42" s="38">
        <f t="shared" si="22"/>
        <v>1.888160315090134E-2</v>
      </c>
      <c r="J42" s="38">
        <f t="shared" si="23"/>
        <v>2.8798502456231469E-2</v>
      </c>
      <c r="K42" s="38">
        <f t="shared" si="24"/>
        <v>4.768010560713281E-2</v>
      </c>
      <c r="L42" s="38"/>
      <c r="M42" s="14">
        <v>666.97</v>
      </c>
      <c r="N42" s="48">
        <f t="shared" si="21"/>
        <v>0.15730842466677661</v>
      </c>
      <c r="O42" s="14">
        <v>1116.81</v>
      </c>
      <c r="P42" s="152">
        <v>1.5100000000000001E-2</v>
      </c>
      <c r="Q42" s="64">
        <f>C42*(1+P43)*(1+P44)*(1+P45)*(1+P46)*(1+P47)*(1+P48)*(1+P49)*(1+P50)*(1+P51)</f>
        <v>134.21623391828561</v>
      </c>
      <c r="S42"/>
    </row>
    <row r="43" spans="1:21" ht="16">
      <c r="A43" s="14">
        <v>2014</v>
      </c>
      <c r="B43" s="20">
        <v>2058.9</v>
      </c>
      <c r="C43" s="42">
        <v>116.16</v>
      </c>
      <c r="D43" s="17">
        <f>F63*E63</f>
        <v>39.545098766785422</v>
      </c>
      <c r="E43" s="17">
        <f>G63*E63</f>
        <v>62.435056344203893</v>
      </c>
      <c r="F43" s="17">
        <v>9.58</v>
      </c>
      <c r="G43" s="17">
        <v>101.98</v>
      </c>
      <c r="H43" s="18">
        <f>G43-F43</f>
        <v>92.4</v>
      </c>
      <c r="I43" s="38">
        <f t="shared" ref="I43:I52" si="25">D43/B43</f>
        <v>1.9206906001644285E-2</v>
      </c>
      <c r="J43" s="38">
        <f t="shared" ref="J43:J52" si="26">E43/B43</f>
        <v>3.0324472458207727E-2</v>
      </c>
      <c r="K43" s="38">
        <f t="shared" ref="K43:K52" si="27">I43+J43</f>
        <v>4.9531378459852012E-2</v>
      </c>
      <c r="L43" s="38">
        <f t="shared" ref="L43:L52" si="28">H43/B43</f>
        <v>4.4878333090485209E-2</v>
      </c>
      <c r="M43" s="14">
        <v>715.84</v>
      </c>
      <c r="N43" s="130">
        <f t="shared" si="21"/>
        <v>0.16227089852481</v>
      </c>
      <c r="O43" s="14">
        <v>1163.32</v>
      </c>
      <c r="P43" s="152">
        <v>6.6E-3</v>
      </c>
      <c r="Q43" s="64">
        <f>C43*(1+P44)*(1+P45)*(1+P46)*(1+P47)*(1+P48)*(1+P49)*(1+P50)*(1+P51)</f>
        <v>147.62042244355439</v>
      </c>
      <c r="R43" s="131"/>
      <c r="S43" s="64"/>
      <c r="U43"/>
    </row>
    <row r="44" spans="1:21">
      <c r="A44" s="14">
        <v>2015</v>
      </c>
      <c r="B44" s="17">
        <v>2043.94</v>
      </c>
      <c r="C44" s="17">
        <v>100.48</v>
      </c>
      <c r="D44" s="17">
        <v>43.41</v>
      </c>
      <c r="E44" s="17">
        <v>64.94</v>
      </c>
      <c r="F44" s="17">
        <v>9.43</v>
      </c>
      <c r="G44" s="17">
        <f t="shared" ref="G44:G53" si="29">D44+E44</f>
        <v>108.35</v>
      </c>
      <c r="H44" s="17">
        <f>G44-F44</f>
        <v>98.919999999999987</v>
      </c>
      <c r="I44" s="38">
        <f t="shared" si="25"/>
        <v>2.1238392516414375E-2</v>
      </c>
      <c r="J44" s="38">
        <f t="shared" si="26"/>
        <v>3.1771969822988931E-2</v>
      </c>
      <c r="K44" s="38">
        <f t="shared" si="27"/>
        <v>5.3010362339403302E-2</v>
      </c>
      <c r="L44" s="38">
        <f t="shared" si="28"/>
        <v>4.8396723974284954E-2</v>
      </c>
      <c r="M44" s="14">
        <v>726.96</v>
      </c>
      <c r="N44" s="130">
        <f t="shared" si="21"/>
        <v>0.13821943435677342</v>
      </c>
      <c r="O44" s="14">
        <v>1127.1300000000001</v>
      </c>
      <c r="P44" s="152">
        <v>6.6E-3</v>
      </c>
      <c r="Q44" s="64">
        <f>C44*(1+P45)*(1+P46)*(1+P47)*(1+P48)*(1+P49)*(1+P50)*(1+P51)</f>
        <v>126.85644620785477</v>
      </c>
      <c r="R44" s="131"/>
      <c r="S44" s="64"/>
      <c r="U44"/>
    </row>
    <row r="45" spans="1:21">
      <c r="A45" s="14">
        <v>2016</v>
      </c>
      <c r="B45" s="17">
        <v>2238.8200000000002</v>
      </c>
      <c r="C45" s="18">
        <v>106.26</v>
      </c>
      <c r="D45" s="18">
        <v>45.7</v>
      </c>
      <c r="E45" s="18">
        <v>62.32</v>
      </c>
      <c r="F45" s="18">
        <f>F52</f>
        <v>8.2140042038620358</v>
      </c>
      <c r="G45" s="18">
        <f t="shared" si="29"/>
        <v>108.02000000000001</v>
      </c>
      <c r="H45" s="18">
        <v>98.66</v>
      </c>
      <c r="I45" s="153">
        <f t="shared" si="25"/>
        <v>2.0412538748090511E-2</v>
      </c>
      <c r="J45" s="153">
        <f t="shared" si="26"/>
        <v>2.7836092227155374E-2</v>
      </c>
      <c r="K45" s="153">
        <f t="shared" si="27"/>
        <v>4.8248630975245885E-2</v>
      </c>
      <c r="L45" s="38">
        <f t="shared" si="28"/>
        <v>4.40678571747617E-2</v>
      </c>
      <c r="M45" s="154">
        <v>740.29</v>
      </c>
      <c r="N45" s="130">
        <f t="shared" ref="N45:N51" si="30">C45/M45</f>
        <v>0.14353834308176527</v>
      </c>
      <c r="O45" s="154">
        <v>1150.68</v>
      </c>
      <c r="P45" s="152">
        <v>2.0799999999999999E-2</v>
      </c>
      <c r="Q45" s="64">
        <f>C45*(1+P46)*(1+P47)*(1+P48)*(1+P49)*(1+P50)*(1+P51)</f>
        <v>131.42018208803321</v>
      </c>
      <c r="R45" s="131"/>
      <c r="S45" s="64"/>
      <c r="U45"/>
    </row>
    <row r="46" spans="1:21">
      <c r="A46" s="14">
        <v>2017</v>
      </c>
      <c r="B46" s="17">
        <v>2673.61</v>
      </c>
      <c r="C46" s="18">
        <v>124.51</v>
      </c>
      <c r="D46" s="18">
        <v>48.93</v>
      </c>
      <c r="E46" s="18">
        <v>60.85</v>
      </c>
      <c r="F46" s="18">
        <v>9.41</v>
      </c>
      <c r="G46" s="18">
        <f t="shared" si="29"/>
        <v>109.78</v>
      </c>
      <c r="H46" s="18">
        <v>100.62</v>
      </c>
      <c r="I46" s="153">
        <f t="shared" si="25"/>
        <v>1.830109851474224E-2</v>
      </c>
      <c r="J46" s="153">
        <f t="shared" si="26"/>
        <v>2.2759489977969862E-2</v>
      </c>
      <c r="K46" s="153">
        <f t="shared" si="27"/>
        <v>4.1060588492712102E-2</v>
      </c>
      <c r="L46" s="38">
        <f t="shared" si="28"/>
        <v>3.7634509146808999E-2</v>
      </c>
      <c r="M46" s="154">
        <v>768.99</v>
      </c>
      <c r="N46" s="130">
        <f t="shared" si="30"/>
        <v>0.16191367898152123</v>
      </c>
      <c r="O46" s="154">
        <v>1231.57</v>
      </c>
      <c r="P46" s="152">
        <v>2.1100000000000001E-2</v>
      </c>
      <c r="Q46" s="64">
        <f>C46*(1+P47)*(1+P48)*(1+P49)*(1+P50)*(1+P51)</f>
        <v>150.80932980201888</v>
      </c>
      <c r="R46" s="131"/>
      <c r="S46" s="64"/>
      <c r="U46"/>
    </row>
    <row r="47" spans="1:21">
      <c r="A47" s="14">
        <v>2018</v>
      </c>
      <c r="B47" s="17">
        <v>2506.85</v>
      </c>
      <c r="C47" s="18">
        <v>152.78</v>
      </c>
      <c r="D47" s="18">
        <v>54.39</v>
      </c>
      <c r="E47" s="18">
        <v>96.11</v>
      </c>
      <c r="F47" s="18">
        <v>8.81</v>
      </c>
      <c r="G47" s="18">
        <f t="shared" si="29"/>
        <v>150.5</v>
      </c>
      <c r="H47" s="18">
        <f t="shared" ref="H47:H53" si="31">G47-F47</f>
        <v>141.69</v>
      </c>
      <c r="I47" s="153">
        <f t="shared" si="25"/>
        <v>2.1696551449029659E-2</v>
      </c>
      <c r="J47" s="153">
        <f t="shared" si="26"/>
        <v>3.8338951273510585E-2</v>
      </c>
      <c r="K47" s="153">
        <f t="shared" si="27"/>
        <v>6.003550272254024E-2</v>
      </c>
      <c r="L47" s="38">
        <f t="shared" si="28"/>
        <v>5.652113209805134E-2</v>
      </c>
      <c r="M47" s="154">
        <v>826.52</v>
      </c>
      <c r="N47" s="130">
        <f t="shared" si="30"/>
        <v>0.18484731161980353</v>
      </c>
      <c r="O47" s="154">
        <v>1325.89</v>
      </c>
      <c r="P47" s="152">
        <v>2.5399999999999999E-2</v>
      </c>
      <c r="Q47" s="64">
        <f>C47*(1+P48)*(1+P49)*(1+P50)*(1+P51)</f>
        <v>180.46673842799797</v>
      </c>
      <c r="R47" s="131"/>
      <c r="S47" s="64"/>
      <c r="U47"/>
    </row>
    <row r="48" spans="1:21">
      <c r="A48" s="14">
        <v>2019</v>
      </c>
      <c r="B48" s="17">
        <v>3230.78</v>
      </c>
      <c r="C48" s="18">
        <v>157.18</v>
      </c>
      <c r="D48" s="18">
        <v>58.5</v>
      </c>
      <c r="E48" s="18">
        <v>87.81</v>
      </c>
      <c r="F48" s="18">
        <v>8.81</v>
      </c>
      <c r="G48" s="18">
        <f t="shared" si="29"/>
        <v>146.31</v>
      </c>
      <c r="H48" s="18">
        <f t="shared" si="31"/>
        <v>137.5</v>
      </c>
      <c r="I48" s="153">
        <f t="shared" ref="I48:I51" si="32">D48/B48</f>
        <v>1.810708250020119E-2</v>
      </c>
      <c r="J48" s="153">
        <f t="shared" ref="J48:J51" si="33">E48/B48</f>
        <v>2.7179195116968657E-2</v>
      </c>
      <c r="K48" s="153">
        <f t="shared" ref="K48:K51" si="34">I48+J48</f>
        <v>4.5286277617169843E-2</v>
      </c>
      <c r="L48" s="38">
        <f t="shared" ref="L48:L51" si="35">H48/B48</f>
        <v>4.2559381944917325E-2</v>
      </c>
      <c r="M48" s="154">
        <v>851.62</v>
      </c>
      <c r="N48" s="130">
        <f t="shared" si="30"/>
        <v>0.18456588619337264</v>
      </c>
      <c r="O48" s="154">
        <v>1392.48</v>
      </c>
      <c r="P48" s="152">
        <v>2.2599999999999999E-2</v>
      </c>
      <c r="Q48" s="64">
        <f>C48*(1+P49)*(1+P50)*(1+P51)</f>
        <v>181.56083013560198</v>
      </c>
      <c r="R48" s="131"/>
      <c r="S48" s="64"/>
      <c r="U48"/>
    </row>
    <row r="49" spans="1:22">
      <c r="A49" s="14">
        <v>2020</v>
      </c>
      <c r="B49" s="17">
        <v>3756.07</v>
      </c>
      <c r="C49" s="18">
        <v>139.76</v>
      </c>
      <c r="D49" s="18">
        <v>57</v>
      </c>
      <c r="E49" s="18">
        <v>61.66</v>
      </c>
      <c r="F49" s="18">
        <v>12.44</v>
      </c>
      <c r="G49" s="18">
        <f t="shared" si="29"/>
        <v>118.66</v>
      </c>
      <c r="H49" s="18">
        <f t="shared" si="31"/>
        <v>106.22</v>
      </c>
      <c r="I49" s="153">
        <f t="shared" si="32"/>
        <v>1.5175436027550072E-2</v>
      </c>
      <c r="J49" s="153">
        <f t="shared" si="33"/>
        <v>1.6416094481732233E-2</v>
      </c>
      <c r="K49" s="153">
        <f t="shared" si="34"/>
        <v>3.1591530509282303E-2</v>
      </c>
      <c r="L49" s="38">
        <f t="shared" si="35"/>
        <v>2.827955815519945E-2</v>
      </c>
      <c r="M49" s="154">
        <v>914.5</v>
      </c>
      <c r="N49" s="130">
        <f t="shared" si="30"/>
        <v>0.15282668124658283</v>
      </c>
      <c r="O49" s="154">
        <v>1364.13</v>
      </c>
      <c r="P49" s="152">
        <v>1.2999999999999999E-2</v>
      </c>
      <c r="Q49" s="64">
        <f>C49*(1+P50)*(1+P51)</f>
        <v>159.36697232799997</v>
      </c>
      <c r="R49" s="131"/>
      <c r="S49" s="64"/>
      <c r="U49"/>
    </row>
    <row r="50" spans="1:22">
      <c r="A50" s="14">
        <v>2021</v>
      </c>
      <c r="B50" s="17">
        <v>4766.18</v>
      </c>
      <c r="C50" s="18">
        <v>205.35</v>
      </c>
      <c r="D50" s="18">
        <v>60.65</v>
      </c>
      <c r="E50" s="18">
        <v>104.61</v>
      </c>
      <c r="F50" s="18">
        <v>8.68</v>
      </c>
      <c r="G50" s="18">
        <f t="shared" si="29"/>
        <v>165.26</v>
      </c>
      <c r="H50" s="18">
        <f t="shared" si="31"/>
        <v>156.57999999999998</v>
      </c>
      <c r="I50" s="153">
        <f t="shared" si="32"/>
        <v>1.2725075427281386E-2</v>
      </c>
      <c r="J50" s="153">
        <f t="shared" si="33"/>
        <v>2.1948394731210318E-2</v>
      </c>
      <c r="K50" s="153">
        <f t="shared" si="34"/>
        <v>3.4673470158491704E-2</v>
      </c>
      <c r="L50" s="38">
        <f t="shared" si="35"/>
        <v>3.2852305200391084E-2</v>
      </c>
      <c r="M50" s="154">
        <v>927.52</v>
      </c>
      <c r="N50" s="130">
        <f t="shared" si="30"/>
        <v>0.22139684319475592</v>
      </c>
      <c r="O50" s="154">
        <v>1511.1</v>
      </c>
      <c r="P50" s="152">
        <v>7.1499999999999994E-2</v>
      </c>
      <c r="Q50" s="64">
        <f>C50*(1+P51)</f>
        <v>218.53346999999999</v>
      </c>
      <c r="R50" s="131"/>
      <c r="S50" s="64"/>
      <c r="U50"/>
    </row>
    <row r="51" spans="1:22">
      <c r="A51" s="14">
        <v>2022</v>
      </c>
      <c r="B51" s="17">
        <v>3839.5</v>
      </c>
      <c r="C51" s="18">
        <v>198.85</v>
      </c>
      <c r="D51" s="18">
        <v>66.98</v>
      </c>
      <c r="E51" s="18">
        <v>109.47</v>
      </c>
      <c r="F51" s="18">
        <v>7.73</v>
      </c>
      <c r="G51" s="18">
        <f t="shared" si="29"/>
        <v>176.45</v>
      </c>
      <c r="H51" s="18">
        <f t="shared" si="31"/>
        <v>168.72</v>
      </c>
      <c r="I51" s="153">
        <f t="shared" si="32"/>
        <v>1.744497981508009E-2</v>
      </c>
      <c r="J51" s="153">
        <f t="shared" si="33"/>
        <v>2.8511524938142987E-2</v>
      </c>
      <c r="K51" s="153">
        <f t="shared" si="34"/>
        <v>4.5956504753223076E-2</v>
      </c>
      <c r="L51" s="38">
        <f t="shared" si="35"/>
        <v>4.3943221773668446E-2</v>
      </c>
      <c r="M51" s="154">
        <v>1008.02</v>
      </c>
      <c r="N51" s="130">
        <f t="shared" si="30"/>
        <v>0.19726791135096525</v>
      </c>
      <c r="O51" s="154">
        <v>1714.63</v>
      </c>
      <c r="P51" s="152">
        <v>6.4199999999999993E-2</v>
      </c>
      <c r="Q51" s="64">
        <f>C51</f>
        <v>198.85</v>
      </c>
      <c r="R51" s="131"/>
      <c r="S51" s="64"/>
      <c r="U51"/>
    </row>
    <row r="52" spans="1:22" s="115" customFormat="1">
      <c r="A52" s="155" t="s">
        <v>135</v>
      </c>
      <c r="B52" s="156">
        <f>D27</f>
        <v>4450.3900000000003</v>
      </c>
      <c r="C52" s="156">
        <f>B81*B73</f>
        <v>201.60611515488571</v>
      </c>
      <c r="D52" s="156">
        <f>C81*E55</f>
        <v>68.910286280133988</v>
      </c>
      <c r="E52" s="156">
        <f>D81*E55</f>
        <v>102.95812104528056</v>
      </c>
      <c r="F52" s="156">
        <f>F53</f>
        <v>8.2140042038620358</v>
      </c>
      <c r="G52" s="156">
        <f t="shared" si="29"/>
        <v>171.86840732541455</v>
      </c>
      <c r="H52" s="156">
        <f t="shared" si="31"/>
        <v>163.65440312155252</v>
      </c>
      <c r="I52" s="157">
        <f t="shared" si="25"/>
        <v>1.5484100557509338E-2</v>
      </c>
      <c r="J52" s="157">
        <f t="shared" si="26"/>
        <v>2.3134628885396687E-2</v>
      </c>
      <c r="K52" s="157">
        <f t="shared" si="27"/>
        <v>3.8618729442906022E-2</v>
      </c>
      <c r="L52" s="158">
        <f t="shared" si="28"/>
        <v>3.6773047557978625E-2</v>
      </c>
      <c r="M52" s="159">
        <f>M49</f>
        <v>914.5</v>
      </c>
      <c r="N52" s="160">
        <f t="shared" si="21"/>
        <v>0.22045501930550651</v>
      </c>
      <c r="O52" s="159">
        <f>O49</f>
        <v>1364.13</v>
      </c>
      <c r="P52" s="161">
        <v>7.1099999999999997E-2</v>
      </c>
      <c r="Q52" s="162">
        <f>C52</f>
        <v>201.60611515488571</v>
      </c>
      <c r="R52" s="114" t="s">
        <v>43</v>
      </c>
      <c r="U52" s="116"/>
      <c r="V52" s="117"/>
    </row>
    <row r="53" spans="1:22" s="82" customFormat="1">
      <c r="A53" s="124" t="s">
        <v>150</v>
      </c>
      <c r="B53" s="125"/>
      <c r="C53" s="126">
        <f>B85*F85</f>
        <v>185.65657505456014</v>
      </c>
      <c r="D53" s="126">
        <f>C85*F85</f>
        <v>61.671887985501783</v>
      </c>
      <c r="E53" s="126">
        <f>D85*F85</f>
        <v>91.249621762282359</v>
      </c>
      <c r="F53" s="126">
        <f>E85*F85</f>
        <v>8.2140042038620358</v>
      </c>
      <c r="G53" s="127">
        <f t="shared" si="29"/>
        <v>152.92150974778414</v>
      </c>
      <c r="H53" s="127">
        <f t="shared" si="31"/>
        <v>144.70750554392211</v>
      </c>
      <c r="Q53" s="128" t="s">
        <v>136</v>
      </c>
      <c r="U53" s="129"/>
    </row>
    <row r="54" spans="1:22">
      <c r="B54" s="14" t="s">
        <v>229</v>
      </c>
      <c r="C54" s="14" t="s">
        <v>35</v>
      </c>
      <c r="D54" s="14" t="s">
        <v>33</v>
      </c>
      <c r="E54" s="14" t="s">
        <v>34</v>
      </c>
      <c r="F54" s="14" t="s">
        <v>16</v>
      </c>
      <c r="G54" s="14" t="s">
        <v>12</v>
      </c>
      <c r="M54" s="64"/>
    </row>
    <row r="55" spans="1:22">
      <c r="B55" s="14">
        <v>2023</v>
      </c>
      <c r="C55" s="14">
        <v>32133</v>
      </c>
      <c r="D55" s="14">
        <v>3859.5</v>
      </c>
      <c r="E55" s="14">
        <f t="shared" ref="E55:E62" si="36">D55/C55</f>
        <v>0.12011016711791617</v>
      </c>
      <c r="F55" s="14">
        <v>564.57000000000005</v>
      </c>
      <c r="G55" s="14">
        <v>922.68</v>
      </c>
      <c r="M55" s="64"/>
    </row>
    <row r="56" spans="1:22">
      <c r="B56" s="14">
        <v>2022</v>
      </c>
      <c r="C56" s="14">
        <v>40356</v>
      </c>
      <c r="D56" s="14">
        <v>4766.18</v>
      </c>
      <c r="E56" s="14">
        <f t="shared" si="36"/>
        <v>0.11810337991872337</v>
      </c>
      <c r="F56" s="14">
        <v>511.23</v>
      </c>
      <c r="G56" s="14">
        <v>881.71</v>
      </c>
      <c r="M56" s="64"/>
    </row>
    <row r="57" spans="1:22">
      <c r="B57" s="14">
        <v>2021</v>
      </c>
      <c r="C57" s="14">
        <v>31659</v>
      </c>
      <c r="D57" s="14">
        <v>3756.07</v>
      </c>
      <c r="E57" s="14">
        <f t="shared" si="36"/>
        <v>0.11864146056413659</v>
      </c>
      <c r="F57" s="17">
        <v>480.4</v>
      </c>
      <c r="G57" s="14">
        <v>519.69000000000005</v>
      </c>
      <c r="M57" s="64"/>
    </row>
    <row r="58" spans="1:22">
      <c r="B58" s="132">
        <v>2019</v>
      </c>
      <c r="C58" s="14">
        <v>26760</v>
      </c>
      <c r="D58" s="14">
        <v>3230</v>
      </c>
      <c r="E58" s="14">
        <f t="shared" si="36"/>
        <v>0.12070254110612855</v>
      </c>
      <c r="F58" s="149">
        <v>485.48</v>
      </c>
      <c r="G58" s="149">
        <v>728.74</v>
      </c>
      <c r="H58" s="80"/>
      <c r="M58" s="64"/>
    </row>
    <row r="59" spans="1:22">
      <c r="B59" s="132">
        <v>2018</v>
      </c>
      <c r="C59" s="14">
        <v>21033</v>
      </c>
      <c r="D59" s="14">
        <v>2506.85</v>
      </c>
      <c r="E59" s="14">
        <f t="shared" si="36"/>
        <v>0.11918651642656777</v>
      </c>
      <c r="F59" s="14">
        <v>456.31</v>
      </c>
      <c r="G59" s="14">
        <v>806.41</v>
      </c>
      <c r="M59" s="64"/>
    </row>
    <row r="60" spans="1:22">
      <c r="B60" s="132">
        <v>2017</v>
      </c>
      <c r="C60" s="14">
        <v>22821</v>
      </c>
      <c r="D60" s="14">
        <v>2673.61</v>
      </c>
      <c r="E60" s="14">
        <f t="shared" si="36"/>
        <v>0.11715568993470926</v>
      </c>
      <c r="F60" s="14">
        <v>419.77</v>
      </c>
      <c r="G60" s="14">
        <v>519.4</v>
      </c>
      <c r="H60" s="32"/>
      <c r="M60" s="64"/>
    </row>
    <row r="61" spans="1:22">
      <c r="B61" s="132">
        <v>2016</v>
      </c>
      <c r="C61" s="14">
        <v>19268</v>
      </c>
      <c r="D61" s="14">
        <v>2238.8200000000002</v>
      </c>
      <c r="E61" s="14">
        <f t="shared" si="36"/>
        <v>0.11619368901806104</v>
      </c>
      <c r="F61" s="17">
        <v>397.21</v>
      </c>
      <c r="G61" s="17">
        <v>536.38</v>
      </c>
      <c r="H61" s="32"/>
      <c r="M61" s="64"/>
    </row>
    <row r="62" spans="1:22">
      <c r="B62" s="132">
        <v>2015</v>
      </c>
      <c r="C62" s="14">
        <v>17956</v>
      </c>
      <c r="D62" s="14">
        <v>2043.94</v>
      </c>
      <c r="E62" s="14">
        <f t="shared" si="36"/>
        <v>0.11383047449320562</v>
      </c>
      <c r="F62" s="17">
        <v>382.46</v>
      </c>
      <c r="G62" s="17">
        <v>572.16</v>
      </c>
      <c r="M62" s="64"/>
    </row>
    <row r="63" spans="1:22">
      <c r="B63" s="132">
        <v>2014</v>
      </c>
      <c r="C63" s="14">
        <v>18245</v>
      </c>
      <c r="D63" s="14">
        <v>2058.9</v>
      </c>
      <c r="E63" s="14">
        <f t="shared" ref="E63:E71" si="37">D63/C63</f>
        <v>0.11284735543984654</v>
      </c>
      <c r="F63" s="17">
        <f>81.96+86.65+89.02+92.8</f>
        <v>350.43</v>
      </c>
      <c r="G63" s="17">
        <f>159.28+116.17+145.19+132.63</f>
        <v>553.27</v>
      </c>
    </row>
    <row r="64" spans="1:22">
      <c r="B64" s="14">
        <v>2013</v>
      </c>
      <c r="C64" s="14">
        <v>16495</v>
      </c>
      <c r="D64" s="14">
        <v>1848.36</v>
      </c>
      <c r="E64" s="14">
        <f t="shared" si="37"/>
        <v>0.11205577447711428</v>
      </c>
      <c r="F64" s="17">
        <f>70.86+76.67+79.26+84.98</f>
        <v>311.77000000000004</v>
      </c>
      <c r="G64" s="17">
        <f>99.97+118.05+128.16+129.41</f>
        <v>475.58999999999992</v>
      </c>
    </row>
    <row r="65" spans="1:12">
      <c r="B65" s="14">
        <v>2012</v>
      </c>
      <c r="C65" s="14">
        <v>12742</v>
      </c>
      <c r="D65" s="14">
        <v>1426.19</v>
      </c>
      <c r="E65" s="14">
        <f t="shared" si="37"/>
        <v>0.11192826871762675</v>
      </c>
      <c r="F65" s="17">
        <f>64.07+67.31+69.48+79.83</f>
        <v>280.69</v>
      </c>
      <c r="G65" s="17">
        <f>84.29+111.75+103.72+99.15</f>
        <v>398.90999999999997</v>
      </c>
    </row>
    <row r="66" spans="1:12">
      <c r="B66" s="14">
        <v>2011</v>
      </c>
      <c r="C66" s="14">
        <v>11385</v>
      </c>
      <c r="D66" s="14">
        <v>1257.5999999999999</v>
      </c>
      <c r="E66" s="14">
        <f t="shared" si="37"/>
        <v>0.11046113306982872</v>
      </c>
      <c r="F66" s="17">
        <f>56.08+59.03+59.2+65.89</f>
        <v>240.2</v>
      </c>
      <c r="G66" s="17">
        <f>89.84+109.24+118.41+87.59</f>
        <v>405.08000000000004</v>
      </c>
    </row>
    <row r="67" spans="1:12">
      <c r="B67" s="14">
        <v>2010</v>
      </c>
      <c r="C67" s="14">
        <v>11430</v>
      </c>
      <c r="D67" s="17">
        <f>B39</f>
        <v>1257.6400000000001</v>
      </c>
      <c r="E67" s="14">
        <f t="shared" si="37"/>
        <v>0.11002974628171479</v>
      </c>
      <c r="F67" s="17">
        <v>205.83</v>
      </c>
      <c r="G67" s="17">
        <v>298.82</v>
      </c>
    </row>
    <row r="68" spans="1:12">
      <c r="B68" s="14">
        <v>2009</v>
      </c>
      <c r="C68" s="14">
        <v>9928</v>
      </c>
      <c r="D68" s="17">
        <f>B38</f>
        <v>1115</v>
      </c>
      <c r="E68" s="14">
        <f t="shared" si="37"/>
        <v>0.11230862207896858</v>
      </c>
      <c r="F68" s="14">
        <f>51.73+47.63+47.21+49.04</f>
        <v>195.60999999999999</v>
      </c>
      <c r="G68" s="14">
        <f>30.78+24.2+34.85+47.82</f>
        <v>137.65</v>
      </c>
      <c r="K68"/>
    </row>
    <row r="69" spans="1:12">
      <c r="B69" s="14">
        <v>2008</v>
      </c>
      <c r="C69" s="14">
        <v>7852</v>
      </c>
      <c r="D69" s="17">
        <f>B37</f>
        <v>903.25</v>
      </c>
      <c r="E69" s="14">
        <f t="shared" si="37"/>
        <v>0.11503438614365767</v>
      </c>
      <c r="F69" s="14">
        <f>62.19+61.44+61.94+61.72</f>
        <v>247.29</v>
      </c>
      <c r="G69" s="14">
        <f>48.12+89.71+87.91+113.9</f>
        <v>339.64</v>
      </c>
      <c r="K69"/>
    </row>
    <row r="70" spans="1:12">
      <c r="B70" s="14">
        <v>2007</v>
      </c>
      <c r="C70" s="14">
        <v>12868</v>
      </c>
      <c r="D70" s="17">
        <f>B36</f>
        <v>1468.36</v>
      </c>
      <c r="E70" s="14">
        <f t="shared" si="37"/>
        <v>0.11410941871308672</v>
      </c>
      <c r="F70" s="14">
        <f>58.53+59.76+61.21+67.09</f>
        <v>246.59</v>
      </c>
      <c r="G70" s="14">
        <f>117.7+157.76+171.95+141.71</f>
        <v>589.12</v>
      </c>
      <c r="K70"/>
    </row>
    <row r="71" spans="1:12">
      <c r="B71" s="29">
        <v>2006</v>
      </c>
      <c r="C71" s="29">
        <v>12729</v>
      </c>
      <c r="D71" s="31">
        <f>B35</f>
        <v>1418.3</v>
      </c>
      <c r="E71" s="14">
        <f t="shared" si="37"/>
        <v>0.11142273548589834</v>
      </c>
      <c r="F71" s="29"/>
      <c r="G71" s="29"/>
      <c r="K71"/>
    </row>
    <row r="72" spans="1:12" ht="15" thickBot="1">
      <c r="B72" s="29" t="s">
        <v>15</v>
      </c>
      <c r="C72" s="29"/>
      <c r="D72" s="29"/>
      <c r="E72" s="66"/>
      <c r="F72" s="37"/>
      <c r="G72" s="37"/>
      <c r="K72"/>
    </row>
    <row r="73" spans="1:12" ht="15" thickBot="1">
      <c r="A73" s="10" t="s">
        <v>32</v>
      </c>
      <c r="B73" s="30">
        <f>E55</f>
        <v>0.12011016711791617</v>
      </c>
      <c r="K73"/>
    </row>
    <row r="74" spans="1:12">
      <c r="K74"/>
    </row>
    <row r="75" spans="1:12">
      <c r="A75" s="80" t="s">
        <v>133</v>
      </c>
      <c r="K75"/>
    </row>
    <row r="76" spans="1:12">
      <c r="A76" s="21" t="s">
        <v>20</v>
      </c>
      <c r="B76" s="19" t="s">
        <v>45</v>
      </c>
      <c r="C76" s="19" t="s">
        <v>18</v>
      </c>
      <c r="D76" s="19" t="s">
        <v>19</v>
      </c>
      <c r="E76" s="14" t="s">
        <v>128</v>
      </c>
      <c r="K76"/>
    </row>
    <row r="77" spans="1:12">
      <c r="A77" s="21" t="s">
        <v>24</v>
      </c>
      <c r="B77" s="191">
        <v>439</v>
      </c>
      <c r="C77" s="192">
        <v>146.76</v>
      </c>
      <c r="D77" s="191">
        <v>215.53</v>
      </c>
      <c r="E77" s="77"/>
      <c r="F77" s="32" t="s">
        <v>293</v>
      </c>
      <c r="L77"/>
    </row>
    <row r="78" spans="1:12">
      <c r="A78" s="21" t="s">
        <v>23</v>
      </c>
      <c r="B78" s="191">
        <v>421.55</v>
      </c>
      <c r="C78" s="192">
        <v>146.07</v>
      </c>
      <c r="D78" s="191">
        <v>211.19</v>
      </c>
      <c r="K78"/>
    </row>
    <row r="79" spans="1:12">
      <c r="A79" s="21" t="s">
        <v>22</v>
      </c>
      <c r="B79" s="191">
        <v>422.94</v>
      </c>
      <c r="C79" s="192">
        <v>140.34</v>
      </c>
      <c r="D79" s="191">
        <v>210.84</v>
      </c>
      <c r="K79"/>
    </row>
    <row r="80" spans="1:12">
      <c r="A80" s="21" t="s">
        <v>21</v>
      </c>
      <c r="B80" s="191">
        <v>395.01998789271727</v>
      </c>
      <c r="C80" s="192">
        <v>140.55567147028</v>
      </c>
      <c r="D80" s="191">
        <v>219.637384</v>
      </c>
      <c r="K80"/>
    </row>
    <row r="81" spans="1:8">
      <c r="A81" s="21" t="s">
        <v>25</v>
      </c>
      <c r="B81" s="20">
        <f>SUM(B77:B80)</f>
        <v>1678.5099878927172</v>
      </c>
      <c r="C81" s="20">
        <f>SUM(C77:C80)</f>
        <v>573.72567147027996</v>
      </c>
      <c r="D81" s="20">
        <f>SUM(D77:D80)</f>
        <v>857.19738400000006</v>
      </c>
      <c r="E81" s="14">
        <f>E85</f>
        <v>72.862300000000005</v>
      </c>
    </row>
    <row r="83" spans="1:8" customFormat="1">
      <c r="A83" s="79" t="s">
        <v>155</v>
      </c>
    </row>
    <row r="84" spans="1:8" customFormat="1">
      <c r="A84" s="78" t="s">
        <v>134</v>
      </c>
      <c r="B84" t="s">
        <v>45</v>
      </c>
      <c r="C84" t="s">
        <v>18</v>
      </c>
      <c r="D84" t="s">
        <v>19</v>
      </c>
      <c r="E84" t="s">
        <v>128</v>
      </c>
      <c r="F84" t="s">
        <v>156</v>
      </c>
    </row>
    <row r="85" spans="1:8">
      <c r="A85" s="102">
        <v>43708</v>
      </c>
      <c r="B85" s="82">
        <f>'S&amp;P 500 Monthly Data (Cap IQ)'!G99/1000</f>
        <v>1646.8661000000002</v>
      </c>
      <c r="C85" s="82">
        <f>'S&amp;P 500 Monthly Data (Cap IQ)'!D99/1000</f>
        <v>547.06029999999998</v>
      </c>
      <c r="D85" s="81">
        <f>'S&amp;P 500 Monthly Data (Cap IQ)'!E99/1000</f>
        <v>809.42949999999996</v>
      </c>
      <c r="E85" s="82">
        <f>'S&amp;P 500 Monthly Data (Cap IQ)'!F99/1000</f>
        <v>72.862300000000005</v>
      </c>
      <c r="F85" s="83">
        <f>'S&amp;P 500 Monthly Data (Cap IQ)'!J99*1000</f>
        <v>0.11273325442460691</v>
      </c>
      <c r="H85" s="10" t="s">
        <v>297</v>
      </c>
    </row>
  </sheetData>
  <mergeCells count="1">
    <mergeCell ref="J10:L12"/>
  </mergeCells>
  <phoneticPr fontId="12" type="noConversion"/>
  <dataValidations count="1">
    <dataValidation allowBlank="1" showInputMessage="1" showErrorMessage="1" sqref="C2:C15 C24:C28" xr:uid="{00000000-0002-0000-0100-000000000000}"/>
  </dataValidations>
  <printOptions gridLines="1" gridLinesSet="0"/>
  <pageMargins left="0.75" right="0.75" top="1" bottom="1" header="0.5" footer="0.5"/>
  <pageSetup orientation="portrait" horizontalDpi="4294967292" verticalDpi="4294967292"/>
  <headerFooter alignWithMargins="0">
    <oddHeader>&amp;A</oddHeader>
    <oddFooter>Page &amp;P</oddFooter>
  </headerFooter>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50"/>
  <sheetViews>
    <sheetView workbookViewId="0">
      <selection activeCell="H8" sqref="H8"/>
    </sheetView>
  </sheetViews>
  <sheetFormatPr baseColWidth="10" defaultRowHeight="14"/>
  <cols>
    <col min="1" max="1" width="18.42578125" bestFit="1" customWidth="1"/>
    <col min="2" max="2" width="19.140625" bestFit="1" customWidth="1"/>
    <col min="4" max="4" width="19.85546875" bestFit="1" customWidth="1"/>
    <col min="6" max="6" width="16.140625" bestFit="1" customWidth="1"/>
    <col min="7" max="7" width="19.140625" bestFit="1" customWidth="1"/>
    <col min="8" max="8" width="12.7109375" customWidth="1"/>
    <col min="9" max="10" width="21.28515625" customWidth="1"/>
    <col min="11" max="11" width="13.42578125" customWidth="1"/>
    <col min="12" max="12" width="19.85546875" bestFit="1" customWidth="1"/>
  </cols>
  <sheetData>
    <row r="1" spans="1:14" ht="16">
      <c r="A1" s="216" t="s">
        <v>295</v>
      </c>
      <c r="B1" s="216"/>
      <c r="C1" s="216"/>
      <c r="D1" s="216"/>
      <c r="E1" s="170"/>
      <c r="F1" s="217" t="s">
        <v>296</v>
      </c>
      <c r="G1" s="217"/>
      <c r="H1" s="217"/>
      <c r="I1" s="217"/>
      <c r="K1" s="217" t="s">
        <v>283</v>
      </c>
      <c r="L1" s="217"/>
      <c r="M1" s="217"/>
      <c r="N1" s="217"/>
    </row>
    <row r="2" spans="1:14">
      <c r="A2" t="s">
        <v>7</v>
      </c>
      <c r="B2" t="s">
        <v>42</v>
      </c>
      <c r="D2" t="s">
        <v>41</v>
      </c>
      <c r="F2" t="s">
        <v>7</v>
      </c>
      <c r="G2" t="s">
        <v>42</v>
      </c>
      <c r="I2" t="s">
        <v>41</v>
      </c>
      <c r="K2" t="s">
        <v>7</v>
      </c>
      <c r="L2" t="s">
        <v>42</v>
      </c>
      <c r="N2" t="s">
        <v>41</v>
      </c>
    </row>
    <row r="3" spans="1:14">
      <c r="A3">
        <v>2021</v>
      </c>
      <c r="C3" s="178">
        <v>208.53</v>
      </c>
      <c r="F3">
        <v>2021</v>
      </c>
      <c r="H3" s="123">
        <f>C3</f>
        <v>208.53</v>
      </c>
      <c r="K3">
        <v>2021</v>
      </c>
      <c r="M3" s="123">
        <v>208.49</v>
      </c>
    </row>
    <row r="4" spans="1:14">
      <c r="A4">
        <v>2022</v>
      </c>
      <c r="C4" s="134">
        <f>H4</f>
        <v>218.09</v>
      </c>
      <c r="D4" t="s">
        <v>182</v>
      </c>
      <c r="F4">
        <v>2022</v>
      </c>
      <c r="H4" s="134">
        <v>218.09</v>
      </c>
      <c r="I4" t="s">
        <v>197</v>
      </c>
      <c r="K4" t="s">
        <v>282</v>
      </c>
      <c r="M4" s="134">
        <v>220.87</v>
      </c>
      <c r="N4" t="s">
        <v>197</v>
      </c>
    </row>
    <row r="5" spans="1:14">
      <c r="A5">
        <v>2023</v>
      </c>
      <c r="B5" s="27">
        <f>C5/C4-1</f>
        <v>3.1684167086982518E-2</v>
      </c>
      <c r="C5" s="134">
        <v>225</v>
      </c>
      <c r="D5" t="s">
        <v>182</v>
      </c>
      <c r="F5">
        <v>2023</v>
      </c>
      <c r="G5" s="27">
        <f>H5/H4-1</f>
        <v>-1.192168370856006E-3</v>
      </c>
      <c r="H5" s="134">
        <v>217.83</v>
      </c>
      <c r="I5" t="s">
        <v>197</v>
      </c>
      <c r="K5">
        <v>2023</v>
      </c>
      <c r="L5" s="27">
        <f>M5/M4-1</f>
        <v>4.8535337528863076E-2</v>
      </c>
      <c r="M5" s="134">
        <v>231.59</v>
      </c>
      <c r="N5" t="s">
        <v>197</v>
      </c>
    </row>
    <row r="6" spans="1:14">
      <c r="A6">
        <v>2024</v>
      </c>
      <c r="B6" s="27">
        <f>C6/C5-1</f>
        <v>0.11111111111111116</v>
      </c>
      <c r="C6" s="176">
        <v>250</v>
      </c>
      <c r="D6" t="s">
        <v>182</v>
      </c>
      <c r="F6">
        <v>2024</v>
      </c>
      <c r="G6" s="27">
        <f>H6/H5-1</f>
        <v>0.1254189046504155</v>
      </c>
      <c r="H6" s="134">
        <v>245.15</v>
      </c>
      <c r="I6" t="s">
        <v>197</v>
      </c>
      <c r="K6">
        <v>2024</v>
      </c>
      <c r="L6" s="27">
        <f>L5-1*(L5-$L$10)/5</f>
        <v>4.7048270023090463E-2</v>
      </c>
      <c r="M6" s="134"/>
      <c r="N6" t="s">
        <v>197</v>
      </c>
    </row>
    <row r="7" spans="1:14">
      <c r="A7">
        <v>2025</v>
      </c>
      <c r="B7" s="27">
        <f>C7/C6-1</f>
        <v>8.0000000000000071E-2</v>
      </c>
      <c r="C7" s="134">
        <v>270</v>
      </c>
      <c r="D7" s="175"/>
      <c r="F7">
        <v>2025</v>
      </c>
      <c r="G7" s="27">
        <f>H7/H6-1</f>
        <v>0.11650010197838045</v>
      </c>
      <c r="H7" s="134">
        <v>273.70999999999998</v>
      </c>
      <c r="I7" t="s">
        <v>197</v>
      </c>
      <c r="K7">
        <v>2025</v>
      </c>
      <c r="L7" s="27">
        <f>L5-2*(L5-$L$10)/5</f>
        <v>4.5561202517317843E-2</v>
      </c>
      <c r="M7" s="148"/>
      <c r="N7" t="s">
        <v>197</v>
      </c>
    </row>
    <row r="8" spans="1:14">
      <c r="A8">
        <v>2026</v>
      </c>
      <c r="B8" s="39">
        <f>(B5+B6+B7)/3-1*((B5+B6+B7)/3-$B10)/3</f>
        <v>6.3210061821798613E-2</v>
      </c>
      <c r="F8">
        <v>2026</v>
      </c>
      <c r="G8" s="39">
        <f>(G5+G6+G7)/3-1*((G5+G6+G7)/3-$G10)/3</f>
        <v>6.7194852946208875E-2</v>
      </c>
      <c r="K8">
        <v>2026</v>
      </c>
      <c r="L8" s="39">
        <f>L5-3*(L5-$L$10)/5</f>
        <v>4.407413501154523E-2</v>
      </c>
    </row>
    <row r="9" spans="1:14">
      <c r="A9">
        <v>2027</v>
      </c>
      <c r="B9" s="27">
        <f>(B5+B6+B7)/3-2*((B5+B6+B7)/3-$B10)/3</f>
        <v>5.2155030910899305E-2</v>
      </c>
      <c r="F9">
        <v>2027</v>
      </c>
      <c r="G9" s="27">
        <f>(G5+G6+G7)/3-2*((G5+G6+G7)/3-$G10)/3</f>
        <v>5.4147426473104443E-2</v>
      </c>
      <c r="K9">
        <v>2027</v>
      </c>
      <c r="L9" s="27">
        <f>L5-4*(L5-$L$10)/5</f>
        <v>4.2587067505772611E-2</v>
      </c>
    </row>
    <row r="10" spans="1:14" ht="15" thickBot="1">
      <c r="A10">
        <v>2028</v>
      </c>
      <c r="B10" s="27">
        <f>'Impl premium calculator'!B9</f>
        <v>4.1099999999999998E-2</v>
      </c>
      <c r="F10">
        <v>2028</v>
      </c>
      <c r="G10" s="27">
        <f>'Impl premium calculator'!B9</f>
        <v>4.1099999999999998E-2</v>
      </c>
      <c r="K10">
        <v>2028</v>
      </c>
      <c r="L10" s="27">
        <f>G10</f>
        <v>4.1099999999999998E-2</v>
      </c>
    </row>
    <row r="11" spans="1:14" ht="15" thickBot="1">
      <c r="A11" t="s">
        <v>31</v>
      </c>
      <c r="B11" s="163">
        <f>((1+B5)*(1+B6)*(1+B7)*(1+B8)*(1+B9))^(1/5)-1</f>
        <v>6.7297187884105769E-2</v>
      </c>
      <c r="F11" t="s">
        <v>294</v>
      </c>
      <c r="G11" s="163">
        <f>((1+G5)*(1+G6)*(1+G7)*(1+G8)*(1+G9))^(1/5)-1</f>
        <v>7.1420612787501669E-2</v>
      </c>
      <c r="K11" t="s">
        <v>232</v>
      </c>
      <c r="L11" s="163">
        <f>((1+L5)*(1+L6)*(1+L7)*(1+L8)*(1+L9))^(1/5)-1</f>
        <v>4.555908750470139E-2</v>
      </c>
    </row>
    <row r="13" spans="1:14">
      <c r="A13" t="s">
        <v>103</v>
      </c>
    </row>
    <row r="14" spans="1:14">
      <c r="A14" s="67" t="s">
        <v>100</v>
      </c>
    </row>
    <row r="15" spans="1:14">
      <c r="A15" s="67" t="s">
        <v>99</v>
      </c>
    </row>
    <row r="16" spans="1:14">
      <c r="A16" s="67" t="s">
        <v>182</v>
      </c>
    </row>
    <row r="17" spans="1:11">
      <c r="A17" s="67" t="s">
        <v>184</v>
      </c>
      <c r="B17" t="s">
        <v>196</v>
      </c>
    </row>
    <row r="18" spans="1:11">
      <c r="A18" s="67"/>
      <c r="B18" t="s">
        <v>195</v>
      </c>
    </row>
    <row r="19" spans="1:11">
      <c r="A19" s="67"/>
    </row>
    <row r="20" spans="1:11">
      <c r="A20" s="67"/>
    </row>
    <row r="25" spans="1:11" ht="19">
      <c r="G25" s="215" t="s">
        <v>250</v>
      </c>
      <c r="H25" s="215"/>
      <c r="J25" s="172"/>
    </row>
    <row r="26" spans="1:11">
      <c r="G26" s="215" t="s">
        <v>203</v>
      </c>
      <c r="H26" s="215"/>
    </row>
    <row r="27" spans="1:11" ht="16">
      <c r="G27" s="179" t="s">
        <v>233</v>
      </c>
      <c r="H27" s="179" t="s">
        <v>234</v>
      </c>
      <c r="I27" s="179" t="s">
        <v>235</v>
      </c>
      <c r="J27" s="179" t="s">
        <v>253</v>
      </c>
      <c r="K27" s="179" t="s">
        <v>236</v>
      </c>
    </row>
    <row r="28" spans="1:11" ht="16">
      <c r="G28" s="180" t="s">
        <v>251</v>
      </c>
      <c r="H28" s="179" t="s">
        <v>252</v>
      </c>
      <c r="I28" s="195">
        <v>4500</v>
      </c>
      <c r="J28" s="181">
        <v>195</v>
      </c>
      <c r="K28" s="193">
        <f>I28/J28</f>
        <v>23.076923076923077</v>
      </c>
    </row>
    <row r="29" spans="1:11" ht="16">
      <c r="G29" s="180" t="s">
        <v>204</v>
      </c>
      <c r="H29" s="179" t="s">
        <v>205</v>
      </c>
      <c r="I29" s="195">
        <v>4300</v>
      </c>
      <c r="J29" s="181">
        <v>220</v>
      </c>
      <c r="K29" s="193">
        <f t="shared" ref="K29:K44" si="0">I29/J29</f>
        <v>19.545454545454547</v>
      </c>
    </row>
    <row r="30" spans="1:11" ht="16">
      <c r="G30" s="180" t="s">
        <v>254</v>
      </c>
      <c r="H30" s="179" t="s">
        <v>255</v>
      </c>
      <c r="I30" s="195">
        <v>4225</v>
      </c>
      <c r="J30" s="181">
        <v>225</v>
      </c>
      <c r="K30" s="193">
        <f t="shared" si="0"/>
        <v>18.777777777777779</v>
      </c>
    </row>
    <row r="31" spans="1:11" ht="16">
      <c r="G31" s="180" t="s">
        <v>256</v>
      </c>
      <c r="H31" s="179" t="s">
        <v>257</v>
      </c>
      <c r="I31" s="195">
        <v>4200</v>
      </c>
      <c r="J31" s="181">
        <v>232</v>
      </c>
      <c r="K31" s="193">
        <f t="shared" si="0"/>
        <v>18.103448275862068</v>
      </c>
    </row>
    <row r="32" spans="1:11" ht="16">
      <c r="G32" s="180" t="s">
        <v>258</v>
      </c>
      <c r="H32" s="179" t="s">
        <v>207</v>
      </c>
      <c r="I32" s="195">
        <v>4200</v>
      </c>
      <c r="J32" s="181">
        <v>205</v>
      </c>
      <c r="K32" s="193">
        <f t="shared" si="0"/>
        <v>20.487804878048781</v>
      </c>
    </row>
    <row r="33" spans="7:11" ht="16">
      <c r="G33" s="180" t="s">
        <v>259</v>
      </c>
      <c r="H33" s="179" t="s">
        <v>260</v>
      </c>
      <c r="I33" s="195">
        <v>4100</v>
      </c>
      <c r="J33" s="181">
        <v>212</v>
      </c>
      <c r="K33" s="193">
        <f t="shared" si="0"/>
        <v>19.339622641509433</v>
      </c>
    </row>
    <row r="34" spans="7:11" ht="16">
      <c r="G34" s="180" t="s">
        <v>261</v>
      </c>
      <c r="H34" s="179" t="s">
        <v>209</v>
      </c>
      <c r="I34" s="195">
        <v>4100</v>
      </c>
      <c r="J34" s="181">
        <v>199</v>
      </c>
      <c r="K34" s="193">
        <f t="shared" si="0"/>
        <v>20.603015075376884</v>
      </c>
    </row>
    <row r="35" spans="7:11" ht="16">
      <c r="G35" s="180" t="s">
        <v>262</v>
      </c>
      <c r="H35" s="179" t="s">
        <v>206</v>
      </c>
      <c r="I35" s="195">
        <v>4050</v>
      </c>
      <c r="J35" s="181">
        <v>230</v>
      </c>
      <c r="K35" s="193">
        <f t="shared" si="0"/>
        <v>17.608695652173914</v>
      </c>
    </row>
    <row r="36" spans="7:11" ht="16">
      <c r="G36" s="180" t="s">
        <v>263</v>
      </c>
      <c r="H36" s="179" t="s">
        <v>264</v>
      </c>
      <c r="I36" s="195">
        <v>4000</v>
      </c>
      <c r="J36" s="181">
        <v>200</v>
      </c>
      <c r="K36" s="193">
        <f t="shared" si="0"/>
        <v>20</v>
      </c>
    </row>
    <row r="37" spans="7:11" ht="16">
      <c r="G37" s="180" t="s">
        <v>265</v>
      </c>
      <c r="H37" s="179" t="s">
        <v>266</v>
      </c>
      <c r="I37" s="195">
        <v>4000</v>
      </c>
      <c r="J37" s="181">
        <v>224</v>
      </c>
      <c r="K37" s="193">
        <f t="shared" si="0"/>
        <v>17.857142857142858</v>
      </c>
    </row>
    <row r="38" spans="7:11" ht="16">
      <c r="G38" s="180" t="s">
        <v>267</v>
      </c>
      <c r="H38" s="179" t="s">
        <v>268</v>
      </c>
      <c r="I38" s="195">
        <v>4000</v>
      </c>
      <c r="J38" s="181">
        <v>225</v>
      </c>
      <c r="K38" s="193">
        <f t="shared" si="0"/>
        <v>17.777777777777779</v>
      </c>
    </row>
    <row r="39" spans="7:11" ht="16">
      <c r="G39" s="180" t="s">
        <v>269</v>
      </c>
      <c r="H39" s="179" t="s">
        <v>237</v>
      </c>
      <c r="I39" s="195">
        <v>3900</v>
      </c>
      <c r="J39" s="181">
        <v>215</v>
      </c>
      <c r="K39" s="193">
        <f t="shared" si="0"/>
        <v>18.13953488372093</v>
      </c>
    </row>
    <row r="40" spans="7:11" ht="16">
      <c r="G40" s="180" t="s">
        <v>270</v>
      </c>
      <c r="H40" s="179" t="s">
        <v>208</v>
      </c>
      <c r="I40" s="195">
        <v>3900</v>
      </c>
      <c r="J40" s="181">
        <v>314</v>
      </c>
      <c r="K40" s="193">
        <f t="shared" si="0"/>
        <v>12.420382165605096</v>
      </c>
    </row>
    <row r="41" spans="7:11" ht="16">
      <c r="G41" s="180" t="s">
        <v>210</v>
      </c>
      <c r="H41" s="179" t="s">
        <v>238</v>
      </c>
      <c r="I41" s="195">
        <v>3900</v>
      </c>
      <c r="J41" s="181">
        <v>198</v>
      </c>
      <c r="K41" s="193">
        <f t="shared" si="0"/>
        <v>19.696969696969695</v>
      </c>
    </row>
    <row r="42" spans="7:11" ht="16">
      <c r="G42" s="180" t="s">
        <v>271</v>
      </c>
      <c r="H42" s="179" t="s">
        <v>272</v>
      </c>
      <c r="I42" s="195">
        <v>3725</v>
      </c>
      <c r="J42" s="181">
        <v>207</v>
      </c>
      <c r="K42" s="193">
        <f t="shared" si="0"/>
        <v>17.995169082125603</v>
      </c>
    </row>
    <row r="43" spans="7:11" ht="16">
      <c r="G43" s="180" t="s">
        <v>273</v>
      </c>
      <c r="H43" s="179" t="s">
        <v>274</v>
      </c>
      <c r="I43" s="195">
        <v>3650</v>
      </c>
      <c r="J43" s="181">
        <v>220</v>
      </c>
      <c r="K43" s="193">
        <f t="shared" si="0"/>
        <v>16.59090909090909</v>
      </c>
    </row>
    <row r="44" spans="7:11" ht="16">
      <c r="G44" s="180" t="s">
        <v>275</v>
      </c>
      <c r="H44" s="179" t="s">
        <v>276</v>
      </c>
      <c r="I44" s="195">
        <v>3400</v>
      </c>
      <c r="J44" s="181">
        <v>219</v>
      </c>
      <c r="K44" s="193">
        <f t="shared" si="0"/>
        <v>15.525114155251142</v>
      </c>
    </row>
    <row r="45" spans="7:11" ht="16">
      <c r="G45" s="180" t="s">
        <v>277</v>
      </c>
      <c r="H45" s="179" t="s">
        <v>278</v>
      </c>
      <c r="I45" s="195" t="s">
        <v>281</v>
      </c>
      <c r="J45" s="181">
        <v>222</v>
      </c>
      <c r="K45" s="193"/>
    </row>
    <row r="46" spans="7:11" ht="16">
      <c r="G46" s="180" t="s">
        <v>279</v>
      </c>
      <c r="H46" s="179" t="s">
        <v>280</v>
      </c>
      <c r="I46" s="195" t="s">
        <v>281</v>
      </c>
      <c r="J46" s="181">
        <v>220</v>
      </c>
      <c r="K46" s="193"/>
    </row>
    <row r="47" spans="7:11">
      <c r="G47" s="148" t="s">
        <v>170</v>
      </c>
      <c r="H47" s="148"/>
      <c r="I47" s="14"/>
      <c r="J47" s="194">
        <f>AVERAGE(J28:J46)</f>
        <v>220.10526315789474</v>
      </c>
    </row>
    <row r="48" spans="7:11">
      <c r="G48" s="148" t="s">
        <v>211</v>
      </c>
      <c r="H48" s="148"/>
      <c r="I48" s="14"/>
      <c r="J48" s="194">
        <f>MEDIAN(J28:J40)</f>
        <v>220</v>
      </c>
    </row>
    <row r="49" spans="7:10">
      <c r="G49" s="148" t="s">
        <v>212</v>
      </c>
      <c r="H49" s="148"/>
      <c r="I49" s="148"/>
      <c r="J49" s="173">
        <f>MAX(J28:J40)</f>
        <v>314</v>
      </c>
    </row>
    <row r="50" spans="7:10">
      <c r="G50" s="148" t="s">
        <v>213</v>
      </c>
      <c r="H50" s="148"/>
      <c r="I50" s="148"/>
      <c r="J50" s="173">
        <f>MIN(J28:J40)</f>
        <v>195</v>
      </c>
    </row>
  </sheetData>
  <mergeCells count="5">
    <mergeCell ref="G25:H25"/>
    <mergeCell ref="G26:H26"/>
    <mergeCell ref="A1:D1"/>
    <mergeCell ref="K1:N1"/>
    <mergeCell ref="F1:I1"/>
  </mergeCells>
  <hyperlinks>
    <hyperlink ref="A15" r:id="rId1" xr:uid="{7C4D3DD7-6796-1543-8707-5B56AB0206C3}"/>
    <hyperlink ref="A14" r:id="rId2" xr:uid="{1DBF2F1B-4E80-384F-8FE6-35A9F9EEE8C3}"/>
    <hyperlink ref="A17" r:id="rId3" display="S&amp;P" xr:uid="{0D174584-BB80-204F-A8F1-B0ED4A5499B6}"/>
    <hyperlink ref="A16" r:id="rId4" xr:uid="{F14F9FA3-F643-BD46-A66D-B79AC9277DB5}"/>
  </hyperlinks>
  <printOptions gridLines="1" gridLinesSet="0"/>
  <pageMargins left="0.75" right="0.75" top="1" bottom="1" header="0.5" footer="0.5"/>
  <pageSetup orientation="portrait" horizontalDpi="4294967292" verticalDpi="4294967292"/>
  <headerFooter alignWithMargins="0">
    <oddHeader>&amp;A</oddHeader>
    <oddFooter>Page &amp;P</oddFooter>
  </headerFooter>
  <drawing r:id="rId5"/>
  <legacyDrawing r:id="rId6"/>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3"/>
  <sheetViews>
    <sheetView topLeftCell="A28" workbookViewId="0">
      <selection activeCell="B64" sqref="B64"/>
    </sheetView>
  </sheetViews>
  <sheetFormatPr baseColWidth="10" defaultRowHeight="14"/>
  <cols>
    <col min="2" max="3" width="11.5703125" customWidth="1"/>
  </cols>
  <sheetData>
    <row r="1" spans="1:5" s="57" customFormat="1">
      <c r="A1" s="141" t="s">
        <v>7</v>
      </c>
      <c r="B1" s="142" t="s">
        <v>75</v>
      </c>
      <c r="C1" s="142" t="s">
        <v>5</v>
      </c>
      <c r="D1" s="142" t="s">
        <v>76</v>
      </c>
      <c r="E1" s="143" t="s">
        <v>77</v>
      </c>
    </row>
    <row r="2" spans="1:5" s="58" customFormat="1">
      <c r="A2" s="135">
        <v>1960</v>
      </c>
      <c r="B2" s="85">
        <v>5.3400000000000003E-2</v>
      </c>
      <c r="C2" s="85">
        <v>3.4099999999999998E-2</v>
      </c>
      <c r="D2" s="86">
        <v>2.76E-2</v>
      </c>
      <c r="E2" s="139"/>
    </row>
    <row r="3" spans="1:5" s="58" customFormat="1">
      <c r="A3" s="135">
        <v>1961</v>
      </c>
      <c r="B3" s="85">
        <v>4.7100000000000003E-2</v>
      </c>
      <c r="C3" s="85">
        <v>2.8500000000000001E-2</v>
      </c>
      <c r="D3" s="86">
        <v>2.35E-2</v>
      </c>
      <c r="E3" s="139">
        <v>2.92E-2</v>
      </c>
    </row>
    <row r="4" spans="1:5" s="58" customFormat="1">
      <c r="A4" s="135">
        <v>1962</v>
      </c>
      <c r="B4" s="85">
        <v>5.8099999999999999E-2</v>
      </c>
      <c r="C4" s="85">
        <v>3.4000000000000002E-2</v>
      </c>
      <c r="D4" s="85">
        <v>3.85E-2</v>
      </c>
      <c r="E4" s="139">
        <v>3.56E-2</v>
      </c>
    </row>
    <row r="5" spans="1:5" s="58" customFormat="1">
      <c r="A5" s="135">
        <v>1963</v>
      </c>
      <c r="B5" s="85">
        <v>5.5100000000000003E-2</v>
      </c>
      <c r="C5" s="85">
        <v>3.1300000000000001E-2</v>
      </c>
      <c r="D5" s="85">
        <v>4.1399999999999999E-2</v>
      </c>
      <c r="E5" s="139">
        <v>3.3799999999999997E-2</v>
      </c>
    </row>
    <row r="6" spans="1:5" s="58" customFormat="1">
      <c r="A6" s="135">
        <v>1964</v>
      </c>
      <c r="B6" s="85">
        <v>5.62E-2</v>
      </c>
      <c r="C6" s="85">
        <v>3.0499999999999999E-2</v>
      </c>
      <c r="D6" s="85">
        <v>4.2099999999999999E-2</v>
      </c>
      <c r="E6" s="139">
        <v>3.3099999999999997E-2</v>
      </c>
    </row>
    <row r="7" spans="1:5" s="58" customFormat="1">
      <c r="A7" s="135">
        <v>1965</v>
      </c>
      <c r="B7" s="85">
        <v>5.7299999999999997E-2</v>
      </c>
      <c r="C7" s="85">
        <v>3.0599999999999999E-2</v>
      </c>
      <c r="D7" s="85">
        <v>4.65E-2</v>
      </c>
      <c r="E7" s="139">
        <v>3.32E-2</v>
      </c>
    </row>
    <row r="8" spans="1:5" s="58" customFormat="1">
      <c r="A8" s="135">
        <v>1966</v>
      </c>
      <c r="B8" s="85">
        <v>6.7400000000000002E-2</v>
      </c>
      <c r="C8" s="85">
        <v>3.5900000000000001E-2</v>
      </c>
      <c r="D8" s="85">
        <v>4.6399999999999997E-2</v>
      </c>
      <c r="E8" s="139">
        <v>3.6799999999999999E-2</v>
      </c>
    </row>
    <row r="9" spans="1:5" s="58" customFormat="1">
      <c r="A9" s="135">
        <v>1967</v>
      </c>
      <c r="B9" s="85">
        <v>5.6599999999999998E-2</v>
      </c>
      <c r="C9" s="85">
        <v>3.09E-2</v>
      </c>
      <c r="D9" s="85">
        <v>5.7000000000000002E-2</v>
      </c>
      <c r="E9" s="139">
        <v>3.2000000000000001E-2</v>
      </c>
    </row>
    <row r="10" spans="1:5" s="58" customFormat="1">
      <c r="A10" s="135">
        <v>1968</v>
      </c>
      <c r="B10" s="85">
        <v>5.5100000000000003E-2</v>
      </c>
      <c r="C10" s="85">
        <v>2.93E-2</v>
      </c>
      <c r="D10" s="85">
        <v>6.1600000000000002E-2</v>
      </c>
      <c r="E10" s="139">
        <v>0.03</v>
      </c>
    </row>
    <row r="11" spans="1:5" s="58" customFormat="1">
      <c r="A11" s="135">
        <v>1969</v>
      </c>
      <c r="B11" s="85">
        <v>6.6299999999999998E-2</v>
      </c>
      <c r="C11" s="85">
        <v>3.5200000000000002E-2</v>
      </c>
      <c r="D11" s="85">
        <v>7.8799999999999995E-2</v>
      </c>
      <c r="E11" s="139">
        <v>3.7400000000000003E-2</v>
      </c>
    </row>
    <row r="12" spans="1:5" s="58" customFormat="1">
      <c r="A12" s="135">
        <v>1970</v>
      </c>
      <c r="B12" s="85">
        <v>5.9799999999999999E-2</v>
      </c>
      <c r="C12" s="85">
        <v>3.4599999999999999E-2</v>
      </c>
      <c r="D12" s="85">
        <v>6.5000000000000002E-2</v>
      </c>
      <c r="E12" s="139">
        <v>3.4099999999999998E-2</v>
      </c>
    </row>
    <row r="13" spans="1:5" s="58" customFormat="1">
      <c r="A13" s="135">
        <v>1971</v>
      </c>
      <c r="B13" s="85">
        <v>5.4600000000000003E-2</v>
      </c>
      <c r="C13" s="85">
        <v>3.1E-2</v>
      </c>
      <c r="D13" s="85">
        <v>5.8900000000000001E-2</v>
      </c>
      <c r="E13" s="139">
        <v>3.09E-2</v>
      </c>
    </row>
    <row r="14" spans="1:5" s="58" customFormat="1">
      <c r="A14" s="135">
        <v>1972</v>
      </c>
      <c r="B14" s="85">
        <v>5.2299999999999999E-2</v>
      </c>
      <c r="C14" s="85">
        <v>2.7E-2</v>
      </c>
      <c r="D14" s="85">
        <v>6.4100000000000004E-2</v>
      </c>
      <c r="E14" s="139">
        <v>2.7199999999999998E-2</v>
      </c>
    </row>
    <row r="15" spans="1:5" s="58" customFormat="1">
      <c r="A15" s="135">
        <v>1973</v>
      </c>
      <c r="B15" s="85">
        <v>8.1600000000000006E-2</v>
      </c>
      <c r="C15" s="85">
        <v>3.6999999999999998E-2</v>
      </c>
      <c r="D15" s="85">
        <v>6.9000000000000006E-2</v>
      </c>
      <c r="E15" s="139">
        <v>4.2999999999999997E-2</v>
      </c>
    </row>
    <row r="16" spans="1:5" s="58" customFormat="1">
      <c r="A16" s="135">
        <v>1974</v>
      </c>
      <c r="B16" s="85">
        <v>0.13639999999999999</v>
      </c>
      <c r="C16" s="85">
        <v>5.4300000000000001E-2</v>
      </c>
      <c r="D16" s="85">
        <v>7.3999999999999996E-2</v>
      </c>
      <c r="E16" s="139">
        <v>5.5899999999999998E-2</v>
      </c>
    </row>
    <row r="17" spans="1:5" s="58" customFormat="1">
      <c r="A17" s="135">
        <v>1975</v>
      </c>
      <c r="B17" s="85">
        <v>8.5500000000000007E-2</v>
      </c>
      <c r="C17" s="85">
        <v>4.1399999999999999E-2</v>
      </c>
      <c r="D17" s="85">
        <v>7.7600000000000002E-2</v>
      </c>
      <c r="E17" s="139">
        <v>4.1300000000000003E-2</v>
      </c>
    </row>
    <row r="18" spans="1:5" s="58" customFormat="1">
      <c r="A18" s="135">
        <v>1976</v>
      </c>
      <c r="B18" s="85">
        <v>9.0700000000000003E-2</v>
      </c>
      <c r="C18" s="85">
        <v>3.9300000000000002E-2</v>
      </c>
      <c r="D18" s="85">
        <v>6.8099999999999994E-2</v>
      </c>
      <c r="E18" s="139">
        <v>4.5499999999999999E-2</v>
      </c>
    </row>
    <row r="19" spans="1:5" s="58" customFormat="1">
      <c r="A19" s="135">
        <v>1977</v>
      </c>
      <c r="B19" s="85">
        <v>0.1143</v>
      </c>
      <c r="C19" s="85">
        <v>5.11E-2</v>
      </c>
      <c r="D19" s="85">
        <v>7.7799999999999994E-2</v>
      </c>
      <c r="E19" s="139">
        <v>5.9200000000000003E-2</v>
      </c>
    </row>
    <row r="20" spans="1:5" s="58" customFormat="1">
      <c r="A20" s="135">
        <v>1978</v>
      </c>
      <c r="B20" s="85">
        <v>0.1211</v>
      </c>
      <c r="C20" s="85">
        <v>5.3900000000000003E-2</v>
      </c>
      <c r="D20" s="85">
        <v>9.1499999999999998E-2</v>
      </c>
      <c r="E20" s="139">
        <v>5.7200000000000001E-2</v>
      </c>
    </row>
    <row r="21" spans="1:5" s="58" customFormat="1">
      <c r="A21" s="135">
        <v>1979</v>
      </c>
      <c r="B21" s="85">
        <v>0.1348</v>
      </c>
      <c r="C21" s="85">
        <v>5.5300000000000002E-2</v>
      </c>
      <c r="D21" s="85">
        <v>0.1033</v>
      </c>
      <c r="E21" s="139">
        <v>6.4500000000000002E-2</v>
      </c>
    </row>
    <row r="22" spans="1:5" s="58" customFormat="1">
      <c r="A22" s="135">
        <v>1980</v>
      </c>
      <c r="B22" s="85">
        <v>0.1104</v>
      </c>
      <c r="C22" s="85">
        <v>4.7399999999999998E-2</v>
      </c>
      <c r="D22" s="85">
        <v>0.12429999999999999</v>
      </c>
      <c r="E22" s="139">
        <v>5.0299999999999997E-2</v>
      </c>
    </row>
    <row r="23" spans="1:5" s="58" customFormat="1">
      <c r="A23" s="135">
        <v>1981</v>
      </c>
      <c r="B23" s="85">
        <v>0.1239</v>
      </c>
      <c r="C23" s="85">
        <v>5.57E-2</v>
      </c>
      <c r="D23" s="85">
        <v>0.13980000000000001</v>
      </c>
      <c r="E23" s="139">
        <v>5.7299999999999997E-2</v>
      </c>
    </row>
    <row r="24" spans="1:5" s="58" customFormat="1">
      <c r="A24" s="135">
        <v>1982</v>
      </c>
      <c r="B24" s="85">
        <v>9.8299999999999998E-2</v>
      </c>
      <c r="C24" s="85">
        <v>4.9299999999999997E-2</v>
      </c>
      <c r="D24" s="85">
        <v>0.1047</v>
      </c>
      <c r="E24" s="139">
        <v>4.9000000000000002E-2</v>
      </c>
    </row>
    <row r="25" spans="1:5" s="58" customFormat="1">
      <c r="A25" s="135">
        <v>1983</v>
      </c>
      <c r="B25" s="85">
        <v>8.0600000000000005E-2</v>
      </c>
      <c r="C25" s="85">
        <v>4.3200000000000002E-2</v>
      </c>
      <c r="D25" s="85">
        <v>0.11799999999999999</v>
      </c>
      <c r="E25" s="139">
        <v>4.3099999999999999E-2</v>
      </c>
    </row>
    <row r="26" spans="1:5" s="58" customFormat="1">
      <c r="A26" s="135">
        <v>1984</v>
      </c>
      <c r="B26" s="85">
        <v>0.1007</v>
      </c>
      <c r="C26" s="85">
        <v>4.6800000000000001E-2</v>
      </c>
      <c r="D26" s="85">
        <v>0.11509999999999999</v>
      </c>
      <c r="E26" s="139">
        <v>5.11E-2</v>
      </c>
    </row>
    <row r="27" spans="1:5" s="58" customFormat="1">
      <c r="A27" s="135">
        <v>1985</v>
      </c>
      <c r="B27" s="85">
        <v>7.4200000000000002E-2</v>
      </c>
      <c r="C27" s="85">
        <v>3.8800000000000001E-2</v>
      </c>
      <c r="D27" s="85">
        <v>8.9899999999999994E-2</v>
      </c>
      <c r="E27" s="139">
        <v>3.8399999999999997E-2</v>
      </c>
    </row>
    <row r="28" spans="1:5" s="58" customFormat="1">
      <c r="A28" s="135">
        <v>1986</v>
      </c>
      <c r="B28" s="85">
        <v>5.96E-2</v>
      </c>
      <c r="C28" s="85">
        <v>3.3799999999999997E-2</v>
      </c>
      <c r="D28" s="85">
        <v>7.22E-2</v>
      </c>
      <c r="E28" s="139">
        <v>3.5799999999999998E-2</v>
      </c>
    </row>
    <row r="29" spans="1:5" s="58" customFormat="1">
      <c r="A29" s="135">
        <v>1987</v>
      </c>
      <c r="B29" s="85">
        <v>6.4899999999999999E-2</v>
      </c>
      <c r="C29" s="85">
        <v>3.7100000000000001E-2</v>
      </c>
      <c r="D29" s="85">
        <v>8.8599999999999998E-2</v>
      </c>
      <c r="E29" s="139">
        <v>3.9899999999999998E-2</v>
      </c>
    </row>
    <row r="30" spans="1:5" s="58" customFormat="1">
      <c r="A30" s="135">
        <v>1988</v>
      </c>
      <c r="B30" s="85">
        <v>8.2000000000000003E-2</v>
      </c>
      <c r="C30" s="85">
        <v>3.6799999999999999E-2</v>
      </c>
      <c r="D30" s="85">
        <v>9.1399999999999995E-2</v>
      </c>
      <c r="E30" s="139">
        <v>3.7699999999999997E-2</v>
      </c>
    </row>
    <row r="31" spans="1:5" s="58" customFormat="1">
      <c r="A31" s="135">
        <v>1989</v>
      </c>
      <c r="B31" s="85">
        <v>6.8000000000000005E-2</v>
      </c>
      <c r="C31" s="85">
        <v>3.32E-2</v>
      </c>
      <c r="D31" s="85">
        <v>7.9299999999999995E-2</v>
      </c>
      <c r="E31" s="139">
        <v>3.5099999999999999E-2</v>
      </c>
    </row>
    <row r="32" spans="1:5" s="58" customFormat="1">
      <c r="A32" s="135">
        <v>1990</v>
      </c>
      <c r="B32" s="85">
        <v>6.5799999999999997E-2</v>
      </c>
      <c r="C32" s="85">
        <v>3.7400000000000003E-2</v>
      </c>
      <c r="D32" s="85">
        <v>8.0699999999999994E-2</v>
      </c>
      <c r="E32" s="139">
        <v>3.8899999999999997E-2</v>
      </c>
    </row>
    <row r="33" spans="1:5" s="58" customFormat="1">
      <c r="A33" s="135">
        <v>1991</v>
      </c>
      <c r="B33" s="85">
        <v>4.58E-2</v>
      </c>
      <c r="C33" s="85">
        <v>3.1099999999999999E-2</v>
      </c>
      <c r="D33" s="85">
        <v>6.7000000000000004E-2</v>
      </c>
      <c r="E33" s="139">
        <v>3.4799999999999998E-2</v>
      </c>
    </row>
    <row r="34" spans="1:5" s="58" customFormat="1">
      <c r="A34" s="135">
        <v>1992</v>
      </c>
      <c r="B34" s="85">
        <v>4.1599999999999998E-2</v>
      </c>
      <c r="C34" s="85">
        <v>2.9000000000000001E-2</v>
      </c>
      <c r="D34" s="85">
        <v>6.6799999999999998E-2</v>
      </c>
      <c r="E34" s="139">
        <v>3.5499999999999997E-2</v>
      </c>
    </row>
    <row r="35" spans="1:5" s="58" customFormat="1">
      <c r="A35" s="135">
        <v>1993</v>
      </c>
      <c r="B35" s="85">
        <v>4.2500000000000003E-2</v>
      </c>
      <c r="C35" s="85">
        <v>2.7199999999999998E-2</v>
      </c>
      <c r="D35" s="85">
        <v>5.79E-2</v>
      </c>
      <c r="E35" s="139">
        <v>3.1699999999999999E-2</v>
      </c>
    </row>
    <row r="36" spans="1:5" s="58" customFormat="1">
      <c r="A36" s="135">
        <v>1994</v>
      </c>
      <c r="B36" s="85">
        <v>5.8900000000000001E-2</v>
      </c>
      <c r="C36" s="85">
        <v>2.9100000000000001E-2</v>
      </c>
      <c r="D36" s="85">
        <v>7.8200000000000006E-2</v>
      </c>
      <c r="E36" s="139">
        <v>3.5499999999999997E-2</v>
      </c>
    </row>
    <row r="37" spans="1:5" s="58" customFormat="1">
      <c r="A37" s="135">
        <v>1995</v>
      </c>
      <c r="B37" s="85">
        <v>5.74E-2</v>
      </c>
      <c r="C37" s="85">
        <v>2.3E-2</v>
      </c>
      <c r="D37" s="85">
        <v>5.57E-2</v>
      </c>
      <c r="E37" s="139">
        <v>3.2899999999999999E-2</v>
      </c>
    </row>
    <row r="38" spans="1:5" s="58" customFormat="1">
      <c r="A38" s="135">
        <v>1996</v>
      </c>
      <c r="B38" s="85">
        <v>4.8300000000000003E-2</v>
      </c>
      <c r="C38" s="85">
        <v>2.01E-2</v>
      </c>
      <c r="D38" s="85">
        <v>6.4100000000000004E-2</v>
      </c>
      <c r="E38" s="139">
        <v>3.2000000000000001E-2</v>
      </c>
    </row>
    <row r="39" spans="1:5" s="49" customFormat="1">
      <c r="A39" s="135">
        <v>1997</v>
      </c>
      <c r="B39" s="86">
        <v>4.0766408479412965E-2</v>
      </c>
      <c r="C39" s="85">
        <v>1.5994971301381864E-2</v>
      </c>
      <c r="D39" s="85">
        <v>5.74E-2</v>
      </c>
      <c r="E39" s="139">
        <v>2.7300000000000001E-2</v>
      </c>
    </row>
    <row r="40" spans="1:5" s="49" customFormat="1">
      <c r="A40" s="135">
        <v>1998</v>
      </c>
      <c r="B40" s="86">
        <v>3.110419906687403E-2</v>
      </c>
      <c r="C40" s="86">
        <v>1.3178981964319126E-2</v>
      </c>
      <c r="D40" s="85">
        <v>4.65E-2</v>
      </c>
      <c r="E40" s="139">
        <v>2.2599999999999999E-2</v>
      </c>
    </row>
    <row r="41" spans="1:5" s="49" customFormat="1">
      <c r="A41" s="135">
        <v>1999</v>
      </c>
      <c r="B41" s="85">
        <v>3.0740854595757761E-2</v>
      </c>
      <c r="C41" s="85">
        <v>1.1374404356705241E-2</v>
      </c>
      <c r="D41" s="85">
        <v>6.4399999999999999E-2</v>
      </c>
      <c r="E41" s="139">
        <v>2.0500000000000001E-2</v>
      </c>
    </row>
    <row r="42" spans="1:5" s="49" customFormat="1">
      <c r="A42" s="135">
        <v>2000</v>
      </c>
      <c r="B42" s="85">
        <v>3.9385584875935409E-2</v>
      </c>
      <c r="C42" s="85">
        <v>1.2321969696969698E-2</v>
      </c>
      <c r="D42" s="85">
        <v>5.11E-2</v>
      </c>
      <c r="E42" s="139">
        <v>2.87E-2</v>
      </c>
    </row>
    <row r="43" spans="1:5" s="49" customFormat="1">
      <c r="A43" s="135">
        <v>2001</v>
      </c>
      <c r="B43" s="85">
        <v>3.8524854323267341E-2</v>
      </c>
      <c r="C43" s="85">
        <v>1.3710597601233353E-2</v>
      </c>
      <c r="D43" s="85">
        <v>5.0500000000000003E-2</v>
      </c>
      <c r="E43" s="139">
        <v>3.6200000000000003E-2</v>
      </c>
    </row>
    <row r="44" spans="1:5" s="49" customFormat="1">
      <c r="A44" s="135">
        <v>2002</v>
      </c>
      <c r="B44" s="85">
        <v>5.232888545384283E-2</v>
      </c>
      <c r="C44" s="85">
        <v>1.8276465640699232E-2</v>
      </c>
      <c r="D44" s="85">
        <v>3.8100000000000002E-2</v>
      </c>
      <c r="E44" s="139">
        <v>4.1000000000000002E-2</v>
      </c>
    </row>
    <row r="45" spans="1:5" s="49" customFormat="1">
      <c r="A45" s="135">
        <v>2003</v>
      </c>
      <c r="B45" s="85">
        <v>4.87E-2</v>
      </c>
      <c r="C45" s="85">
        <v>1.61E-2</v>
      </c>
      <c r="D45" s="85">
        <v>4.2500000000000003E-2</v>
      </c>
      <c r="E45" s="139">
        <v>3.6900000000000002E-2</v>
      </c>
    </row>
    <row r="46" spans="1:5" s="2" customFormat="1">
      <c r="A46" s="135">
        <v>2004</v>
      </c>
      <c r="B46" s="85">
        <v>5.584527031487227E-2</v>
      </c>
      <c r="C46" s="85">
        <v>1.6013433229916166E-2</v>
      </c>
      <c r="D46" s="85">
        <v>4.2200000000000001E-2</v>
      </c>
      <c r="E46" s="139">
        <v>3.6499999999999998E-2</v>
      </c>
    </row>
    <row r="47" spans="1:5" s="58" customFormat="1">
      <c r="A47" s="135">
        <v>2005</v>
      </c>
      <c r="B47" s="85">
        <v>5.4699999999999999E-2</v>
      </c>
      <c r="C47" s="85">
        <v>1.792852622387426E-2</v>
      </c>
      <c r="D47" s="85">
        <v>4.3900000000000002E-2</v>
      </c>
      <c r="E47" s="139">
        <v>4.0800000000000003E-2</v>
      </c>
    </row>
    <row r="48" spans="1:5" s="58" customFormat="1">
      <c r="A48" s="135">
        <v>2006</v>
      </c>
      <c r="B48" s="85">
        <v>6.1848692096171477E-2</v>
      </c>
      <c r="C48" s="85">
        <v>1.766198970598604E-2</v>
      </c>
      <c r="D48" s="85">
        <v>4.7E-2</v>
      </c>
      <c r="E48" s="139">
        <v>4.1599999999999998E-2</v>
      </c>
    </row>
    <row r="49" spans="1:5" s="58" customFormat="1">
      <c r="A49" s="135">
        <v>2007</v>
      </c>
      <c r="B49" s="85">
        <v>5.6212372987550746E-2</v>
      </c>
      <c r="C49" s="85">
        <v>1.8885014574082652E-2</v>
      </c>
      <c r="D49" s="85">
        <v>4.02E-2</v>
      </c>
      <c r="E49" s="139">
        <v>4.3700000000000003E-2</v>
      </c>
    </row>
    <row r="50" spans="1:5" s="58" customFormat="1">
      <c r="A50" s="135">
        <v>2008</v>
      </c>
      <c r="B50" s="85">
        <v>7.2394132300027683E-2</v>
      </c>
      <c r="C50" s="85">
        <v>3.1054525325214504E-2</v>
      </c>
      <c r="D50" s="85">
        <v>2.2100000000000002E-2</v>
      </c>
      <c r="E50" s="139">
        <v>6.4299999999999996E-2</v>
      </c>
    </row>
    <row r="51" spans="1:5" s="58" customFormat="1">
      <c r="A51" s="136">
        <v>2009</v>
      </c>
      <c r="B51" s="85">
        <v>5.3492960272621293E-2</v>
      </c>
      <c r="C51" s="85">
        <v>2.000717424446238E-2</v>
      </c>
      <c r="D51" s="85">
        <v>3.8399999999999997E-2</v>
      </c>
      <c r="E51" s="139">
        <v>4.36E-2</v>
      </c>
    </row>
    <row r="52" spans="1:5" s="58" customFormat="1">
      <c r="A52" s="136">
        <v>2010</v>
      </c>
      <c r="B52" s="85">
        <v>6.6521421074393294E-2</v>
      </c>
      <c r="C52" s="85">
        <v>1.8383639197226551E-2</v>
      </c>
      <c r="D52" s="85">
        <v>3.2899999999999999E-2</v>
      </c>
      <c r="E52" s="139">
        <v>5.1999999999999998E-2</v>
      </c>
    </row>
    <row r="53" spans="1:5" s="58" customFormat="1">
      <c r="A53" s="137">
        <v>2011</v>
      </c>
      <c r="B53" s="85">
        <v>7.7170801526717556E-2</v>
      </c>
      <c r="C53" s="85">
        <v>2.069020356234097E-2</v>
      </c>
      <c r="D53" s="87">
        <v>1.8800000000000001E-2</v>
      </c>
      <c r="E53" s="140">
        <v>6.0100000000000001E-2</v>
      </c>
    </row>
    <row r="54" spans="1:5" s="58" customFormat="1">
      <c r="A54" s="137">
        <v>2012</v>
      </c>
      <c r="B54" s="87">
        <v>7.1848771902761899E-2</v>
      </c>
      <c r="C54" s="87">
        <v>2.134357974743898E-2</v>
      </c>
      <c r="D54" s="87">
        <v>1.7600000000000001E-2</v>
      </c>
      <c r="E54" s="140">
        <v>5.7799999999999997E-2</v>
      </c>
    </row>
    <row r="55" spans="1:5" s="2" customFormat="1">
      <c r="A55" s="138">
        <v>2013</v>
      </c>
      <c r="B55" s="88">
        <v>5.813261485857734E-2</v>
      </c>
      <c r="C55" s="88">
        <v>1.9599999999999999E-2</v>
      </c>
      <c r="D55" s="85">
        <v>3.04E-2</v>
      </c>
      <c r="E55" s="139">
        <v>4.9599999999999998E-2</v>
      </c>
    </row>
    <row r="56" spans="1:5">
      <c r="A56" s="138">
        <v>2014</v>
      </c>
      <c r="B56" s="87">
        <v>5.4888532711642138E-2</v>
      </c>
      <c r="C56" s="85">
        <v>1.9155859925202776E-2</v>
      </c>
      <c r="D56" s="85">
        <v>2.1700000000000001E-2</v>
      </c>
      <c r="E56" s="139">
        <v>5.7799999999999997E-2</v>
      </c>
    </row>
    <row r="57" spans="1:5" s="121" customFormat="1">
      <c r="A57" s="144">
        <v>2015</v>
      </c>
      <c r="B57" s="145">
        <v>5.2017182500464783E-2</v>
      </c>
      <c r="C57" s="145">
        <v>2.1116079728367758E-2</v>
      </c>
      <c r="D57" s="145">
        <v>2.2700000000000001E-2</v>
      </c>
      <c r="E57" s="146">
        <v>6.1199999999999997E-2</v>
      </c>
    </row>
    <row r="58" spans="1:5">
      <c r="A58" s="144">
        <v>2016</v>
      </c>
      <c r="B58" s="145">
        <v>4.8599999999999997E-2</v>
      </c>
      <c r="C58" s="147">
        <v>2.01E-2</v>
      </c>
      <c r="D58" s="145">
        <v>2.4500000000000001E-2</v>
      </c>
      <c r="E58" s="146">
        <v>5.6899999999999999E-2</v>
      </c>
    </row>
    <row r="59" spans="1:5">
      <c r="A59" s="144">
        <v>2017</v>
      </c>
      <c r="B59" s="145">
        <v>4.4200000000000003E-2</v>
      </c>
      <c r="C59" s="147">
        <v>1.7999999999999999E-2</v>
      </c>
      <c r="D59" s="145">
        <v>2.41E-2</v>
      </c>
      <c r="E59" s="146">
        <v>5.0799999999999998E-2</v>
      </c>
    </row>
    <row r="60" spans="1:5">
      <c r="A60" s="144">
        <v>2018</v>
      </c>
      <c r="B60" s="145">
        <v>5.9200000000000003E-2</v>
      </c>
      <c r="C60" s="147">
        <v>2.0799999999999999E-2</v>
      </c>
      <c r="D60" s="145">
        <v>2.6800000000000001E-2</v>
      </c>
      <c r="E60" s="146">
        <v>5.96E-2</v>
      </c>
    </row>
    <row r="61" spans="1:5">
      <c r="A61" s="144">
        <v>2019</v>
      </c>
      <c r="B61" s="145">
        <v>5.0251022972780564E-2</v>
      </c>
      <c r="C61" s="147">
        <v>1.8199939333535552E-2</v>
      </c>
      <c r="D61" s="145">
        <v>1.9199999999999998E-2</v>
      </c>
      <c r="E61" s="146">
        <v>5.1999999999999998E-2</v>
      </c>
    </row>
    <row r="62" spans="1:5">
      <c r="A62" s="144">
        <v>2020</v>
      </c>
      <c r="B62" s="145">
        <v>3.6799999999999999E-2</v>
      </c>
      <c r="C62" s="147">
        <v>1.5100000000000001E-2</v>
      </c>
      <c r="D62" s="145">
        <v>9.2999999999999992E-3</v>
      </c>
      <c r="E62" s="146">
        <v>4.7199999999999999E-2</v>
      </c>
    </row>
    <row r="63" spans="1:5">
      <c r="A63" s="144">
        <v>2021</v>
      </c>
      <c r="B63" s="145">
        <v>4.3299999999999998E-2</v>
      </c>
      <c r="C63" s="147">
        <v>1.24E-2</v>
      </c>
      <c r="D63" s="145">
        <v>1.5100000000000001E-2</v>
      </c>
      <c r="E63" s="146">
        <v>4.24E-2</v>
      </c>
    </row>
  </sheetData>
  <printOptions gridLines="1" gridLinesSet="0"/>
  <pageMargins left="0.75" right="0.75" top="1" bottom="1" header="0.5" footer="0.5"/>
  <pageSetup orientation="portrait" horizontalDpi="4294967292" verticalDpi="4294967292"/>
  <headerFooter alignWithMargins="0">
    <oddHeader>&amp;A</oddHeader>
    <oddFooter>Page &amp;P</oddFooter>
  </headerFooter>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82"/>
  <sheetViews>
    <sheetView topLeftCell="A153" workbookViewId="0">
      <selection activeCell="L183" sqref="L183"/>
    </sheetView>
  </sheetViews>
  <sheetFormatPr baseColWidth="10" defaultRowHeight="14"/>
  <cols>
    <col min="1" max="1" width="13.42578125" customWidth="1"/>
    <col min="3" max="3" width="11.5703125" style="10" customWidth="1"/>
    <col min="4" max="4" width="17.42578125" style="10" customWidth="1"/>
    <col min="5" max="5" width="18.85546875" style="123" customWidth="1"/>
    <col min="6" max="6" width="12.85546875" customWidth="1"/>
    <col min="7" max="7" width="18.140625" customWidth="1"/>
    <col min="8" max="8" width="28.7109375" style="10" customWidth="1"/>
    <col min="9" max="9" width="11.42578125" customWidth="1"/>
    <col min="10" max="10" width="14.42578125" customWidth="1"/>
    <col min="11" max="11" width="15" customWidth="1"/>
    <col min="12" max="14" width="17.28515625" customWidth="1"/>
  </cols>
  <sheetData>
    <row r="1" spans="1:15" s="76" customFormat="1" ht="15">
      <c r="A1" s="76" t="s">
        <v>78</v>
      </c>
      <c r="B1" s="76" t="s">
        <v>79</v>
      </c>
      <c r="C1" s="44" t="s">
        <v>80</v>
      </c>
      <c r="D1" s="44" t="s">
        <v>118</v>
      </c>
      <c r="E1" s="133" t="s">
        <v>81</v>
      </c>
      <c r="F1" s="44" t="s">
        <v>152</v>
      </c>
      <c r="G1" s="76" t="s">
        <v>82</v>
      </c>
      <c r="H1" s="44" t="s">
        <v>167</v>
      </c>
      <c r="I1" s="76" t="s">
        <v>83</v>
      </c>
      <c r="J1" s="76" t="s">
        <v>84</v>
      </c>
      <c r="K1" s="76" t="s">
        <v>153</v>
      </c>
      <c r="L1" s="76" t="s">
        <v>132</v>
      </c>
      <c r="M1" s="76" t="s">
        <v>201</v>
      </c>
      <c r="N1" s="76" t="s">
        <v>249</v>
      </c>
      <c r="O1" t="s">
        <v>119</v>
      </c>
    </row>
    <row r="2" spans="1:15">
      <c r="A2" s="59">
        <v>38230</v>
      </c>
      <c r="B2" s="61">
        <v>1252</v>
      </c>
      <c r="C2" s="37">
        <v>3.7199999999999997E-2</v>
      </c>
      <c r="E2" s="64"/>
      <c r="F2" s="64"/>
      <c r="I2" s="27">
        <v>4.2200000000000001E-2</v>
      </c>
      <c r="M2" s="27"/>
      <c r="N2" s="27">
        <f>Table167[[#This Row],[ERP (T12m)]]+Table167[[#This Row],[T.Bond Rate]]</f>
        <v>7.9399999999999998E-2</v>
      </c>
      <c r="O2" s="27"/>
    </row>
    <row r="3" spans="1:15">
      <c r="A3" s="59">
        <v>38260</v>
      </c>
      <c r="B3" s="61">
        <v>1166</v>
      </c>
      <c r="C3" s="37">
        <v>3.8300000000000001E-2</v>
      </c>
      <c r="E3" s="64"/>
      <c r="F3" s="64"/>
      <c r="I3" s="27">
        <v>4.5100000000000001E-2</v>
      </c>
      <c r="M3" s="27"/>
      <c r="N3" s="27">
        <f>Table167[[#This Row],[ERP (T12m)]]+Table167[[#This Row],[T.Bond Rate]]</f>
        <v>8.3400000000000002E-2</v>
      </c>
    </row>
    <row r="4" spans="1:15">
      <c r="A4" s="59">
        <v>38291</v>
      </c>
      <c r="B4" s="61">
        <v>969</v>
      </c>
      <c r="C4" s="37">
        <v>3.95E-2</v>
      </c>
      <c r="E4" s="64"/>
      <c r="F4" s="64"/>
      <c r="I4" s="27">
        <v>5.8999999999999997E-2</v>
      </c>
      <c r="M4" s="27"/>
      <c r="N4" s="27">
        <f>Table167[[#This Row],[ERP (T12m)]]+Table167[[#This Row],[T.Bond Rate]]</f>
        <v>9.8500000000000004E-2</v>
      </c>
    </row>
    <row r="5" spans="1:15">
      <c r="A5" s="59">
        <v>38321</v>
      </c>
      <c r="B5" s="61">
        <v>896</v>
      </c>
      <c r="C5" s="37">
        <v>2.92E-2</v>
      </c>
      <c r="E5" s="64"/>
      <c r="F5" s="64"/>
      <c r="I5" s="27">
        <v>6.6000000000000003E-2</v>
      </c>
      <c r="M5" s="27"/>
      <c r="N5" s="27">
        <f>Table167[[#This Row],[ERP (T12m)]]+Table167[[#This Row],[T.Bond Rate]]</f>
        <v>9.5200000000000007E-2</v>
      </c>
    </row>
    <row r="6" spans="1:15">
      <c r="A6" s="59">
        <v>38352</v>
      </c>
      <c r="B6" s="61">
        <v>903</v>
      </c>
      <c r="C6" s="37">
        <v>2.2100000000000002E-2</v>
      </c>
      <c r="E6" s="64">
        <v>52.58</v>
      </c>
      <c r="F6" s="64"/>
      <c r="G6" s="60">
        <v>0.04</v>
      </c>
      <c r="H6" s="122"/>
      <c r="I6" s="27">
        <v>6.4299999999999996E-2</v>
      </c>
      <c r="M6" s="27"/>
      <c r="N6" s="27">
        <f>Table167[[#This Row],[ERP (T12m)]]+Table167[[#This Row],[T.Bond Rate]]</f>
        <v>8.6400000000000005E-2</v>
      </c>
    </row>
    <row r="7" spans="1:15">
      <c r="A7" s="59">
        <v>38383</v>
      </c>
      <c r="B7" s="61">
        <v>826</v>
      </c>
      <c r="C7" s="37">
        <v>2.87E-2</v>
      </c>
      <c r="E7" s="64">
        <v>52.58</v>
      </c>
      <c r="F7" s="64"/>
      <c r="G7" s="60">
        <v>0.04</v>
      </c>
      <c r="H7" s="122"/>
      <c r="I7" s="27">
        <v>6.8699999999999997E-2</v>
      </c>
      <c r="M7" s="27"/>
      <c r="N7" s="27">
        <f>Table167[[#This Row],[ERP (T12m)]]+Table167[[#This Row],[T.Bond Rate]]</f>
        <v>9.74E-2</v>
      </c>
    </row>
    <row r="8" spans="1:15">
      <c r="A8" s="59">
        <v>38411</v>
      </c>
      <c r="B8" s="61">
        <v>735</v>
      </c>
      <c r="C8" s="37">
        <v>3.0200000000000001E-2</v>
      </c>
      <c r="E8" s="64">
        <v>52.58</v>
      </c>
      <c r="F8" s="64"/>
      <c r="G8" s="60">
        <v>0.04</v>
      </c>
      <c r="H8" s="122"/>
      <c r="I8" s="27">
        <v>7.6799999999999993E-2</v>
      </c>
      <c r="M8" s="27"/>
      <c r="N8" s="27">
        <f>Table167[[#This Row],[ERP (T12m)]]+Table167[[#This Row],[T.Bond Rate]]</f>
        <v>0.107</v>
      </c>
    </row>
    <row r="9" spans="1:15">
      <c r="A9" s="59">
        <v>38442</v>
      </c>
      <c r="B9" s="61">
        <v>798</v>
      </c>
      <c r="C9" s="37">
        <v>2.7099999999999999E-2</v>
      </c>
      <c r="E9" s="64">
        <v>51.55</v>
      </c>
      <c r="F9" s="64"/>
      <c r="G9" s="60">
        <v>0.04</v>
      </c>
      <c r="H9" s="122"/>
      <c r="I9" s="27">
        <v>7.0099999999999996E-2</v>
      </c>
      <c r="M9" s="27"/>
      <c r="N9" s="27">
        <f>Table167[[#This Row],[ERP (T12m)]]+Table167[[#This Row],[T.Bond Rate]]</f>
        <v>9.7199999999999995E-2</v>
      </c>
    </row>
    <row r="10" spans="1:15">
      <c r="A10" s="59">
        <v>38472</v>
      </c>
      <c r="B10" s="61">
        <v>873</v>
      </c>
      <c r="C10" s="37">
        <v>3.1600000000000003E-2</v>
      </c>
      <c r="E10" s="64">
        <v>51.55</v>
      </c>
      <c r="F10" s="64"/>
      <c r="G10" s="60">
        <v>0.04</v>
      </c>
      <c r="H10" s="122"/>
      <c r="I10" s="27">
        <v>6.3200000000000006E-2</v>
      </c>
      <c r="M10" s="27"/>
      <c r="N10" s="27">
        <f>Table167[[#This Row],[ERP (T12m)]]+Table167[[#This Row],[T.Bond Rate]]</f>
        <v>9.4800000000000009E-2</v>
      </c>
    </row>
    <row r="11" spans="1:15">
      <c r="A11" s="59">
        <v>38503</v>
      </c>
      <c r="B11" s="61">
        <v>919</v>
      </c>
      <c r="C11" s="37">
        <v>3.4700000000000002E-2</v>
      </c>
      <c r="E11" s="64">
        <v>51.55</v>
      </c>
      <c r="F11" s="64"/>
      <c r="G11" s="60">
        <v>0.04</v>
      </c>
      <c r="H11" s="122"/>
      <c r="I11" s="27">
        <v>5.9400000000000001E-2</v>
      </c>
      <c r="M11" s="27"/>
      <c r="N11" s="27">
        <f>Table167[[#This Row],[ERP (T12m)]]+Table167[[#This Row],[T.Bond Rate]]</f>
        <v>9.4100000000000003E-2</v>
      </c>
    </row>
    <row r="12" spans="1:15">
      <c r="A12" s="59">
        <v>38533</v>
      </c>
      <c r="B12" s="61">
        <v>919</v>
      </c>
      <c r="C12" s="37">
        <v>3.5299999999999998E-2</v>
      </c>
      <c r="E12" s="64">
        <v>50.95</v>
      </c>
      <c r="F12" s="64"/>
      <c r="G12" s="60">
        <v>0.04</v>
      </c>
      <c r="H12" s="122"/>
      <c r="I12" s="27">
        <v>5.8599999999999999E-2</v>
      </c>
      <c r="M12" s="27"/>
      <c r="N12" s="27">
        <f>Table167[[#This Row],[ERP (T12m)]]+Table167[[#This Row],[T.Bond Rate]]</f>
        <v>9.3899999999999997E-2</v>
      </c>
    </row>
    <row r="13" spans="1:15">
      <c r="A13" s="59">
        <v>38564</v>
      </c>
      <c r="B13" s="61">
        <v>987</v>
      </c>
      <c r="C13" s="37">
        <v>3.5200000000000002E-2</v>
      </c>
      <c r="E13" s="64">
        <v>50.95</v>
      </c>
      <c r="F13" s="64"/>
      <c r="G13" s="60">
        <v>0.04</v>
      </c>
      <c r="H13" s="122"/>
      <c r="I13" s="27">
        <v>5.4600000000000003E-2</v>
      </c>
      <c r="M13" s="27"/>
      <c r="N13" s="27">
        <f>Table167[[#This Row],[ERP (T12m)]]+Table167[[#This Row],[T.Bond Rate]]</f>
        <v>8.9800000000000005E-2</v>
      </c>
    </row>
    <row r="14" spans="1:15">
      <c r="A14" s="59">
        <v>38595</v>
      </c>
      <c r="B14" s="61">
        <v>1021</v>
      </c>
      <c r="C14" s="37">
        <v>3.4000000000000002E-2</v>
      </c>
      <c r="E14" s="64">
        <v>50.95</v>
      </c>
      <c r="F14" s="64"/>
      <c r="G14" s="60">
        <v>0.04</v>
      </c>
      <c r="H14" s="122"/>
      <c r="I14" s="27">
        <v>5.2999999999999999E-2</v>
      </c>
      <c r="M14" s="27"/>
      <c r="N14" s="27">
        <f>Table167[[#This Row],[ERP (T12m)]]+Table167[[#This Row],[T.Bond Rate]]</f>
        <v>8.6999999999999994E-2</v>
      </c>
    </row>
    <row r="15" spans="1:15">
      <c r="A15" s="59">
        <v>38625</v>
      </c>
      <c r="B15" s="61">
        <v>1057</v>
      </c>
      <c r="C15" s="37">
        <v>3.3000000000000002E-2</v>
      </c>
      <c r="E15" s="64">
        <v>48.52</v>
      </c>
      <c r="F15" s="64"/>
      <c r="G15" s="60">
        <v>0.04</v>
      </c>
      <c r="H15" s="122"/>
      <c r="I15" s="27">
        <v>4.8599999999999997E-2</v>
      </c>
      <c r="M15" s="27"/>
      <c r="N15" s="27">
        <f>Table167[[#This Row],[ERP (T12m)]]+Table167[[#This Row],[T.Bond Rate]]</f>
        <v>8.1600000000000006E-2</v>
      </c>
    </row>
    <row r="16" spans="1:15">
      <c r="A16" s="59">
        <v>38656</v>
      </c>
      <c r="B16" s="61">
        <v>1036</v>
      </c>
      <c r="C16" s="37">
        <v>3.39E-2</v>
      </c>
      <c r="E16" s="64">
        <v>48.52</v>
      </c>
      <c r="F16" s="64"/>
      <c r="G16" s="60">
        <v>0.04</v>
      </c>
      <c r="H16" s="122"/>
      <c r="I16" s="27">
        <v>4.9700000000000001E-2</v>
      </c>
      <c r="M16" s="27"/>
      <c r="N16" s="27">
        <f>Table167[[#This Row],[ERP (T12m)]]+Table167[[#This Row],[T.Bond Rate]]</f>
        <v>8.3600000000000008E-2</v>
      </c>
    </row>
    <row r="17" spans="1:14">
      <c r="A17" s="59">
        <v>38686</v>
      </c>
      <c r="B17" s="61">
        <v>1096</v>
      </c>
      <c r="C17" s="37">
        <v>3.2399999999999998E-2</v>
      </c>
      <c r="E17" s="64">
        <v>48.52</v>
      </c>
      <c r="F17" s="64"/>
      <c r="G17" s="27">
        <v>0.04</v>
      </c>
      <c r="H17" s="37"/>
      <c r="I17" s="27">
        <v>4.7300000000000002E-2</v>
      </c>
      <c r="M17" s="27"/>
      <c r="N17" s="27">
        <f>Table167[[#This Row],[ERP (T12m)]]+Table167[[#This Row],[T.Bond Rate]]</f>
        <v>7.9699999999999993E-2</v>
      </c>
    </row>
    <row r="18" spans="1:14">
      <c r="A18" s="59">
        <v>38717</v>
      </c>
      <c r="B18" s="61">
        <v>1115</v>
      </c>
      <c r="C18" s="37">
        <v>3.8399999999999997E-2</v>
      </c>
      <c r="E18" s="64">
        <v>40.380000000000003</v>
      </c>
      <c r="F18" s="64"/>
      <c r="G18" s="27">
        <v>7.2099999999999997E-2</v>
      </c>
      <c r="H18" s="37"/>
      <c r="I18" s="27">
        <v>4.36E-2</v>
      </c>
      <c r="M18" s="27"/>
      <c r="N18" s="27">
        <f>Table167[[#This Row],[ERP (T12m)]]+Table167[[#This Row],[T.Bond Rate]]</f>
        <v>8.199999999999999E-2</v>
      </c>
    </row>
    <row r="19" spans="1:14">
      <c r="A19" s="59">
        <v>38748</v>
      </c>
      <c r="B19" s="61">
        <v>1074</v>
      </c>
      <c r="C19" s="37">
        <v>3.5799999999999998E-2</v>
      </c>
      <c r="E19" s="64">
        <v>40.380000000000003</v>
      </c>
      <c r="F19" s="64"/>
      <c r="G19" s="27">
        <v>7.2099999999999997E-2</v>
      </c>
      <c r="H19" s="37"/>
      <c r="I19" s="27">
        <v>4.5600000000000002E-2</v>
      </c>
      <c r="M19" s="27"/>
      <c r="N19" s="27">
        <f>Table167[[#This Row],[ERP (T12m)]]+Table167[[#This Row],[T.Bond Rate]]</f>
        <v>8.14E-2</v>
      </c>
    </row>
    <row r="20" spans="1:14">
      <c r="A20" s="59">
        <v>38776</v>
      </c>
      <c r="B20" s="61">
        <v>1104</v>
      </c>
      <c r="C20" s="37">
        <v>3.61E-2</v>
      </c>
      <c r="E20" s="64">
        <v>40.380000000000003</v>
      </c>
      <c r="F20" s="64"/>
      <c r="G20" s="27">
        <v>7.2099999999999997E-2</v>
      </c>
      <c r="H20" s="37"/>
      <c r="I20" s="27">
        <v>4.4400000000000002E-2</v>
      </c>
      <c r="M20" s="27"/>
      <c r="N20" s="27">
        <f>Table167[[#This Row],[ERP (T12m)]]+Table167[[#This Row],[T.Bond Rate]]</f>
        <v>8.0500000000000002E-2</v>
      </c>
    </row>
    <row r="21" spans="1:14">
      <c r="A21" s="59">
        <v>38807</v>
      </c>
      <c r="B21" s="61">
        <v>1169</v>
      </c>
      <c r="C21" s="37">
        <v>3.8300000000000001E-2</v>
      </c>
      <c r="E21" s="64">
        <v>40.340000000000003</v>
      </c>
      <c r="F21" s="64"/>
      <c r="G21" s="27">
        <v>7.2099999999999997E-2</v>
      </c>
      <c r="H21" s="37"/>
      <c r="I21" s="27">
        <v>4.1599999999999998E-2</v>
      </c>
      <c r="M21" s="27"/>
      <c r="N21" s="27">
        <f>Table167[[#This Row],[ERP (T12m)]]+Table167[[#This Row],[T.Bond Rate]]</f>
        <v>7.9899999999999999E-2</v>
      </c>
    </row>
    <row r="22" spans="1:14">
      <c r="A22" s="59">
        <v>38837</v>
      </c>
      <c r="B22" s="61">
        <v>1187</v>
      </c>
      <c r="C22" s="37">
        <v>3.6499999999999998E-2</v>
      </c>
      <c r="E22" s="64">
        <v>40.340000000000003</v>
      </c>
      <c r="F22" s="64"/>
      <c r="G22" s="27">
        <v>7.2099999999999997E-2</v>
      </c>
      <c r="H22" s="37"/>
      <c r="I22" s="27">
        <v>4.5400000000000003E-2</v>
      </c>
      <c r="M22" s="27"/>
      <c r="N22" s="27">
        <f>Table167[[#This Row],[ERP (T12m)]]+Table167[[#This Row],[T.Bond Rate]]</f>
        <v>8.1900000000000001E-2</v>
      </c>
    </row>
    <row r="23" spans="1:14">
      <c r="A23" s="59">
        <v>38868</v>
      </c>
      <c r="B23" s="61">
        <v>1089</v>
      </c>
      <c r="C23" s="37">
        <v>3.3000000000000002E-2</v>
      </c>
      <c r="E23" s="64">
        <v>40.340000000000003</v>
      </c>
      <c r="F23" s="64"/>
      <c r="G23" s="27">
        <v>7.2099999999999997E-2</v>
      </c>
      <c r="H23" s="37"/>
      <c r="I23" s="27">
        <v>4.7899999999999998E-2</v>
      </c>
      <c r="M23" s="27"/>
      <c r="N23" s="27">
        <f>Table167[[#This Row],[ERP (T12m)]]+Table167[[#This Row],[T.Bond Rate]]</f>
        <v>8.09E-2</v>
      </c>
    </row>
    <row r="24" spans="1:14">
      <c r="A24" s="59">
        <v>38898</v>
      </c>
      <c r="B24" s="61">
        <v>1031</v>
      </c>
      <c r="C24" s="37">
        <v>2.9600000000000001E-2</v>
      </c>
      <c r="E24" s="64">
        <v>42.44</v>
      </c>
      <c r="F24" s="64"/>
      <c r="G24" s="27">
        <v>7.2099999999999997E-2</v>
      </c>
      <c r="H24" s="37"/>
      <c r="I24" s="27">
        <v>5.0999999999999997E-2</v>
      </c>
      <c r="M24" s="27"/>
      <c r="N24" s="27">
        <f>Table167[[#This Row],[ERP (T12m)]]+Table167[[#This Row],[T.Bond Rate]]</f>
        <v>8.0600000000000005E-2</v>
      </c>
    </row>
    <row r="25" spans="1:14">
      <c r="A25" s="59">
        <v>38929</v>
      </c>
      <c r="B25" s="61">
        <v>1106</v>
      </c>
      <c r="C25" s="37">
        <v>2.9100000000000001E-2</v>
      </c>
      <c r="E25" s="64">
        <v>42.44</v>
      </c>
      <c r="F25" s="64"/>
      <c r="G25" s="27">
        <v>7.2099999999999997E-2</v>
      </c>
      <c r="H25" s="37"/>
      <c r="I25" s="27">
        <v>4.7800000000000002E-2</v>
      </c>
      <c r="M25" s="27"/>
      <c r="N25" s="27">
        <f>Table167[[#This Row],[ERP (T12m)]]+Table167[[#This Row],[T.Bond Rate]]</f>
        <v>7.6899999999999996E-2</v>
      </c>
    </row>
    <row r="26" spans="1:14">
      <c r="A26" s="59">
        <v>38960</v>
      </c>
      <c r="B26" s="61">
        <v>1049</v>
      </c>
      <c r="C26" s="37">
        <v>2.47E-2</v>
      </c>
      <c r="E26" s="64">
        <v>42.44</v>
      </c>
      <c r="F26" s="64"/>
      <c r="G26" s="27">
        <v>7.2099999999999997E-2</v>
      </c>
      <c r="H26" s="37"/>
      <c r="I26" s="27">
        <v>5.0999999999999997E-2</v>
      </c>
      <c r="M26" s="27"/>
      <c r="N26" s="27">
        <f>Table167[[#This Row],[ERP (T12m)]]+Table167[[#This Row],[T.Bond Rate]]</f>
        <v>7.569999999999999E-2</v>
      </c>
    </row>
    <row r="27" spans="1:14">
      <c r="A27" s="59">
        <v>38990</v>
      </c>
      <c r="B27" s="61">
        <v>1141</v>
      </c>
      <c r="C27" s="37">
        <v>2.5099999999999997E-2</v>
      </c>
      <c r="E27" s="64">
        <v>48.2</v>
      </c>
      <c r="F27" s="64"/>
      <c r="G27" s="27">
        <v>7.2099999999999997E-2</v>
      </c>
      <c r="H27" s="37"/>
      <c r="I27" s="27">
        <v>5.3100000000000001E-2</v>
      </c>
      <c r="M27" s="27"/>
      <c r="N27" s="27">
        <f>Table167[[#This Row],[ERP (T12m)]]+Table167[[#This Row],[T.Bond Rate]]</f>
        <v>7.8199999999999992E-2</v>
      </c>
    </row>
    <row r="28" spans="1:14">
      <c r="A28" s="59">
        <v>39021</v>
      </c>
      <c r="B28" s="61">
        <v>1183</v>
      </c>
      <c r="C28" s="37">
        <v>2.6000000000000002E-2</v>
      </c>
      <c r="E28" s="64">
        <v>48.2</v>
      </c>
      <c r="F28" s="64"/>
      <c r="G28" s="27">
        <v>7.2099999999999997E-2</v>
      </c>
      <c r="H28" s="37"/>
      <c r="I28" s="27">
        <v>5.11E-2</v>
      </c>
      <c r="M28" s="27"/>
      <c r="N28" s="27">
        <f>Table167[[#This Row],[ERP (T12m)]]+Table167[[#This Row],[T.Bond Rate]]</f>
        <v>7.7100000000000002E-2</v>
      </c>
    </row>
    <row r="29" spans="1:14">
      <c r="A29" s="59">
        <v>39051</v>
      </c>
      <c r="B29" s="61">
        <v>1181</v>
      </c>
      <c r="C29" s="37">
        <v>2.8000000000000001E-2</v>
      </c>
      <c r="E29" s="64">
        <f>E28</f>
        <v>48.2</v>
      </c>
      <c r="F29" s="64"/>
      <c r="G29" s="27">
        <v>7.2099999999999997E-2</v>
      </c>
      <c r="H29" s="37"/>
      <c r="I29" s="27">
        <v>5.0799999999999998E-2</v>
      </c>
      <c r="M29" s="27"/>
      <c r="N29" s="27">
        <f>Table167[[#This Row],[ERP (T12m)]]+Table167[[#This Row],[T.Bond Rate]]</f>
        <v>7.8799999999999995E-2</v>
      </c>
    </row>
    <row r="30" spans="1:14">
      <c r="A30" s="59">
        <v>39082</v>
      </c>
      <c r="B30" s="61">
        <v>1258</v>
      </c>
      <c r="C30" s="37">
        <v>3.2899999999999999E-2</v>
      </c>
      <c r="E30" s="64">
        <v>53.964500000000001</v>
      </c>
      <c r="F30" s="64"/>
      <c r="G30" s="27">
        <v>6.9500000000000006E-2</v>
      </c>
      <c r="H30" s="37"/>
      <c r="I30" s="27">
        <v>5.1999999999999998E-2</v>
      </c>
      <c r="M30" s="27"/>
      <c r="N30" s="27">
        <f>Table167[[#This Row],[ERP (T12m)]]+Table167[[#This Row],[T.Bond Rate]]</f>
        <v>8.4900000000000003E-2</v>
      </c>
    </row>
    <row r="31" spans="1:14">
      <c r="A31" s="59">
        <v>39113</v>
      </c>
      <c r="B31" s="61">
        <v>1286</v>
      </c>
      <c r="C31" s="37">
        <v>3.3799999999999997E-2</v>
      </c>
      <c r="E31" s="64">
        <f>E30</f>
        <v>53.964500000000001</v>
      </c>
      <c r="F31" s="64"/>
      <c r="G31" s="27">
        <v>6.9500000000000006E-2</v>
      </c>
      <c r="H31" s="37"/>
      <c r="I31" s="27">
        <v>5.0700000000000002E-2</v>
      </c>
      <c r="M31" s="27"/>
      <c r="N31" s="27">
        <f>Table167[[#This Row],[ERP (T12m)]]+Table167[[#This Row],[T.Bond Rate]]</f>
        <v>8.4499999999999992E-2</v>
      </c>
    </row>
    <row r="32" spans="1:14">
      <c r="A32" s="59">
        <v>39141</v>
      </c>
      <c r="B32" s="61">
        <v>1327</v>
      </c>
      <c r="C32" s="37">
        <v>3.4200000000000001E-2</v>
      </c>
      <c r="E32" s="64">
        <f>E31</f>
        <v>53.964500000000001</v>
      </c>
      <c r="F32" s="64"/>
      <c r="G32" s="27">
        <f>G31</f>
        <v>6.9500000000000006E-2</v>
      </c>
      <c r="H32" s="37"/>
      <c r="I32" s="27">
        <v>4.9000000000000002E-2</v>
      </c>
      <c r="M32" s="27"/>
      <c r="N32" s="27">
        <f>Table167[[#This Row],[ERP (T12m)]]+Table167[[#This Row],[T.Bond Rate]]</f>
        <v>8.3199999999999996E-2</v>
      </c>
    </row>
    <row r="33" spans="1:15">
      <c r="A33" s="59">
        <v>39172</v>
      </c>
      <c r="B33" s="61">
        <v>1326</v>
      </c>
      <c r="C33" s="37">
        <v>3.4700000000000002E-2</v>
      </c>
      <c r="E33" s="64">
        <v>58.54</v>
      </c>
      <c r="F33" s="64"/>
      <c r="G33" s="27">
        <v>6.9500000000000006E-2</v>
      </c>
      <c r="H33" s="37"/>
      <c r="I33" s="27">
        <v>5.3099999999999994E-2</v>
      </c>
      <c r="M33" s="27"/>
      <c r="N33" s="27">
        <f>Table167[[#This Row],[ERP (T12m)]]+Table167[[#This Row],[T.Bond Rate]]</f>
        <v>8.7799999999999989E-2</v>
      </c>
    </row>
    <row r="34" spans="1:15">
      <c r="A34" s="59">
        <v>39202</v>
      </c>
      <c r="B34" s="61">
        <v>1364</v>
      </c>
      <c r="C34" s="37">
        <v>3.2899999999999999E-2</v>
      </c>
      <c r="E34" s="64">
        <v>58.15</v>
      </c>
      <c r="F34" s="64"/>
      <c r="G34" s="27">
        <v>6.9500000000000006E-2</v>
      </c>
      <c r="H34" s="37"/>
      <c r="I34" s="27">
        <v>5.16E-2</v>
      </c>
      <c r="M34" s="27"/>
      <c r="N34" s="27">
        <f>Table167[[#This Row],[ERP (T12m)]]+Table167[[#This Row],[T.Bond Rate]]</f>
        <v>8.4499999999999992E-2</v>
      </c>
    </row>
    <row r="35" spans="1:15">
      <c r="A35" s="59">
        <v>39233</v>
      </c>
      <c r="B35" s="61">
        <v>1345</v>
      </c>
      <c r="C35" s="37">
        <v>3.0600000000000002E-2</v>
      </c>
      <c r="E35" s="64">
        <v>58.15</v>
      </c>
      <c r="F35" s="64"/>
      <c r="G35" s="27">
        <v>6.9500000000000006E-2</v>
      </c>
      <c r="H35" s="37"/>
      <c r="I35" s="27">
        <v>5.2699999999999997E-2</v>
      </c>
      <c r="M35" s="27"/>
      <c r="N35" s="27">
        <f>Table167[[#This Row],[ERP (T12m)]]+Table167[[#This Row],[T.Bond Rate]]</f>
        <v>8.3299999999999999E-2</v>
      </c>
    </row>
    <row r="36" spans="1:15">
      <c r="A36" s="59">
        <v>39263</v>
      </c>
      <c r="B36" s="61">
        <v>1321</v>
      </c>
      <c r="C36" s="37">
        <v>3.1699999999999999E-2</v>
      </c>
      <c r="E36" s="64">
        <v>62.24</v>
      </c>
      <c r="F36" s="64"/>
      <c r="G36" s="27">
        <v>6.9500000000000006E-2</v>
      </c>
      <c r="H36" s="37"/>
      <c r="I36" s="27">
        <v>5.7200000000000001E-2</v>
      </c>
      <c r="M36" s="27"/>
      <c r="N36" s="27">
        <f>Table167[[#This Row],[ERP (T12m)]]+Table167[[#This Row],[T.Bond Rate]]</f>
        <v>8.8900000000000007E-2</v>
      </c>
    </row>
    <row r="37" spans="1:15">
      <c r="A37" s="59">
        <v>39294</v>
      </c>
      <c r="B37" s="61">
        <v>1292</v>
      </c>
      <c r="C37" s="37">
        <v>2.7999999999999997E-2</v>
      </c>
      <c r="E37" s="64">
        <v>62.24</v>
      </c>
      <c r="F37" s="64"/>
      <c r="G37" s="27">
        <v>6.9500000000000006E-2</v>
      </c>
      <c r="H37" s="37"/>
      <c r="I37" s="27">
        <v>5.9200000000000003E-2</v>
      </c>
      <c r="M37" s="27"/>
      <c r="N37" s="27">
        <f>Table167[[#This Row],[ERP (T12m)]]+Table167[[#This Row],[T.Bond Rate]]</f>
        <v>8.72E-2</v>
      </c>
    </row>
    <row r="38" spans="1:15">
      <c r="A38" s="59">
        <v>39325</v>
      </c>
      <c r="B38" s="61">
        <v>1219</v>
      </c>
      <c r="C38" s="37">
        <v>2.23E-2</v>
      </c>
      <c r="E38" s="64">
        <v>62.24</v>
      </c>
      <c r="F38" s="64"/>
      <c r="G38" s="27">
        <v>6.9500000000000006E-2</v>
      </c>
      <c r="H38" s="37"/>
      <c r="I38" s="27">
        <v>6.3899999999999998E-2</v>
      </c>
      <c r="M38" s="27"/>
      <c r="N38" s="27">
        <f>Table167[[#This Row],[ERP (T12m)]]+Table167[[#This Row],[T.Bond Rate]]</f>
        <v>8.6199999999999999E-2</v>
      </c>
    </row>
    <row r="39" spans="1:15">
      <c r="A39" s="59">
        <v>39355</v>
      </c>
      <c r="B39" s="61">
        <v>1131</v>
      </c>
      <c r="C39" s="37">
        <v>1.9199999999999998E-2</v>
      </c>
      <c r="E39" s="64">
        <v>68.650000000000006</v>
      </c>
      <c r="F39" s="64"/>
      <c r="G39" s="27">
        <v>6.9500000000000006E-2</v>
      </c>
      <c r="H39" s="37"/>
      <c r="I39" s="27">
        <v>7.6399999999999996E-2</v>
      </c>
      <c r="M39" s="27"/>
      <c r="N39" s="27">
        <f>Table167[[#This Row],[ERP (T12m)]]+Table167[[#This Row],[T.Bond Rate]]</f>
        <v>9.5599999999999991E-2</v>
      </c>
    </row>
    <row r="40" spans="1:15">
      <c r="A40" s="59">
        <v>39386</v>
      </c>
      <c r="B40" s="61">
        <v>1253</v>
      </c>
      <c r="C40" s="37">
        <v>2.0500000000000001E-2</v>
      </c>
      <c r="E40" s="64">
        <v>68.650000000000006</v>
      </c>
      <c r="F40" s="64"/>
      <c r="G40" s="27">
        <v>5.5E-2</v>
      </c>
      <c r="H40" s="37"/>
      <c r="I40" s="27">
        <v>6.4899999999999999E-2</v>
      </c>
      <c r="M40" s="27"/>
      <c r="N40" s="27">
        <f>Table167[[#This Row],[ERP (T12m)]]+Table167[[#This Row],[T.Bond Rate]]</f>
        <v>8.5400000000000004E-2</v>
      </c>
    </row>
    <row r="41" spans="1:15">
      <c r="A41" s="59">
        <v>39416</v>
      </c>
      <c r="B41" s="61">
        <v>1247</v>
      </c>
      <c r="C41" s="37">
        <v>2.07E-2</v>
      </c>
      <c r="E41" s="64">
        <v>68.650000000000006</v>
      </c>
      <c r="F41" s="64"/>
      <c r="G41" s="27">
        <v>5.5E-2</v>
      </c>
      <c r="H41" s="37"/>
      <c r="I41" s="27">
        <v>6.5100000000000005E-2</v>
      </c>
      <c r="M41" s="27"/>
      <c r="N41" s="27">
        <f>Table167[[#This Row],[ERP (T12m)]]+Table167[[#This Row],[T.Bond Rate]]</f>
        <v>8.5800000000000001E-2</v>
      </c>
    </row>
    <row r="42" spans="1:15">
      <c r="A42" s="59">
        <v>39447</v>
      </c>
      <c r="B42" s="61">
        <v>1258</v>
      </c>
      <c r="C42" s="37">
        <v>1.8700000000000001E-2</v>
      </c>
      <c r="D42" s="10">
        <v>59.01</v>
      </c>
      <c r="E42" s="64">
        <v>72.23</v>
      </c>
      <c r="F42" s="64"/>
      <c r="G42" s="27">
        <v>7.1800000000000003E-2</v>
      </c>
      <c r="H42" s="37"/>
      <c r="I42" s="27">
        <v>7.3200000000000001E-2</v>
      </c>
      <c r="J42" s="27">
        <v>6.0100000000000001E-2</v>
      </c>
      <c r="K42" s="27"/>
      <c r="M42" s="27"/>
      <c r="N42" s="27">
        <f>Table167[[#This Row],[ERP (T12m)]]+Table167[[#This Row],[T.Bond Rate]]</f>
        <v>9.1900000000000009E-2</v>
      </c>
      <c r="O42" t="s">
        <v>120</v>
      </c>
    </row>
    <row r="43" spans="1:15">
      <c r="A43" s="59">
        <v>39478</v>
      </c>
      <c r="B43" s="61">
        <v>1312</v>
      </c>
      <c r="C43" s="37">
        <v>1.8100000000000002E-2</v>
      </c>
      <c r="D43" s="10">
        <v>59.01</v>
      </c>
      <c r="E43" s="64">
        <v>72.23</v>
      </c>
      <c r="F43" s="64"/>
      <c r="G43" s="27">
        <v>7.1800000000000003E-2</v>
      </c>
      <c r="H43" s="37"/>
      <c r="I43" s="27">
        <v>7.0400000000000004E-2</v>
      </c>
      <c r="J43" s="27">
        <v>5.7799999999999997E-2</v>
      </c>
      <c r="K43" s="27"/>
      <c r="M43" s="27"/>
      <c r="N43" s="27">
        <f>Table167[[#This Row],[ERP (T12m)]]+Table167[[#This Row],[T.Bond Rate]]</f>
        <v>8.8500000000000009E-2</v>
      </c>
    </row>
    <row r="44" spans="1:15">
      <c r="A44" s="59">
        <v>39507</v>
      </c>
      <c r="B44" s="61">
        <v>1366</v>
      </c>
      <c r="C44" s="37">
        <v>1.9799999999999998E-2</v>
      </c>
      <c r="D44" s="10">
        <v>59.01</v>
      </c>
      <c r="E44" s="64">
        <v>72.23</v>
      </c>
      <c r="F44" s="64"/>
      <c r="G44" s="27">
        <v>7.1800000000000003E-2</v>
      </c>
      <c r="H44" s="37"/>
      <c r="I44" s="27">
        <v>6.7299999999999999E-2</v>
      </c>
      <c r="J44" s="27">
        <v>5.5199999999999999E-2</v>
      </c>
      <c r="K44" s="27"/>
      <c r="M44" s="27"/>
      <c r="N44" s="27">
        <f>Table167[[#This Row],[ERP (T12m)]]+Table167[[#This Row],[T.Bond Rate]]</f>
        <v>8.7099999999999997E-2</v>
      </c>
    </row>
    <row r="45" spans="1:15">
      <c r="A45" s="59">
        <v>39538</v>
      </c>
      <c r="B45" s="61">
        <v>1408</v>
      </c>
      <c r="C45" s="37">
        <v>2.2099999999999998E-2</v>
      </c>
      <c r="D45" s="10">
        <v>66.290000000000006</v>
      </c>
      <c r="E45" s="64">
        <v>74.069999999999993</v>
      </c>
      <c r="F45" s="64"/>
      <c r="G45" s="27">
        <v>7.1800000000000003E-2</v>
      </c>
      <c r="H45" s="37"/>
      <c r="I45" s="27">
        <v>6.6400000000000001E-2</v>
      </c>
      <c r="J45" s="27">
        <v>5.96E-2</v>
      </c>
      <c r="K45" s="27"/>
      <c r="M45" s="27"/>
      <c r="N45" s="27">
        <f>Table167[[#This Row],[ERP (T12m)]]+Table167[[#This Row],[T.Bond Rate]]</f>
        <v>8.8499999999999995E-2</v>
      </c>
    </row>
    <row r="46" spans="1:15">
      <c r="A46" s="59">
        <v>39568</v>
      </c>
      <c r="B46" s="61">
        <v>1398</v>
      </c>
      <c r="C46" s="37">
        <v>1.9199999999999998E-2</v>
      </c>
      <c r="D46" s="10">
        <v>66.290000000000006</v>
      </c>
      <c r="E46" s="64">
        <v>74.069999999999993</v>
      </c>
      <c r="F46" s="64"/>
      <c r="G46" s="27">
        <v>7.1800000000000003E-2</v>
      </c>
      <c r="H46" s="37"/>
      <c r="I46" s="27">
        <v>6.7599999999999993E-2</v>
      </c>
      <c r="J46" s="27">
        <v>6.0600000000000001E-2</v>
      </c>
      <c r="K46" s="27"/>
      <c r="M46" s="27"/>
      <c r="N46" s="27">
        <f>Table167[[#This Row],[ERP (T12m)]]+Table167[[#This Row],[T.Bond Rate]]</f>
        <v>8.6799999999999988E-2</v>
      </c>
    </row>
    <row r="47" spans="1:15">
      <c r="A47" s="59">
        <v>39599</v>
      </c>
      <c r="B47" s="61">
        <v>1310</v>
      </c>
      <c r="C47" s="37">
        <v>1.55E-2</v>
      </c>
      <c r="D47" s="10">
        <v>66.290000000000006</v>
      </c>
      <c r="E47" s="64">
        <v>74.069999999999993</v>
      </c>
      <c r="F47" s="64"/>
      <c r="G47" s="27">
        <v>7.1800000000000003E-2</v>
      </c>
      <c r="H47" s="37"/>
      <c r="I47" s="27">
        <v>7.2800000000000004E-2</v>
      </c>
      <c r="J47" s="27">
        <v>6.54E-2</v>
      </c>
      <c r="K47" s="27"/>
      <c r="M47" s="27"/>
      <c r="N47" s="27">
        <f>Table167[[#This Row],[ERP (T12m)]]+Table167[[#This Row],[T.Bond Rate]]</f>
        <v>8.8300000000000003E-2</v>
      </c>
    </row>
    <row r="48" spans="1:15">
      <c r="A48" s="59">
        <v>39629</v>
      </c>
      <c r="B48" s="61">
        <v>1362</v>
      </c>
      <c r="C48" s="37">
        <v>1.6500000000000001E-2</v>
      </c>
      <c r="D48" s="10">
        <v>64.06</v>
      </c>
      <c r="E48" s="64">
        <v>71.55</v>
      </c>
      <c r="F48" s="64"/>
      <c r="G48" s="27">
        <v>6.5600000000000006E-2</v>
      </c>
      <c r="H48" s="37"/>
      <c r="I48" s="27">
        <v>6.59E-2</v>
      </c>
      <c r="J48" s="27">
        <v>5.91E-2</v>
      </c>
      <c r="K48" s="27"/>
      <c r="M48" s="27"/>
      <c r="N48" s="27">
        <f>Table167[[#This Row],[ERP (T12m)]]+Table167[[#This Row],[T.Bond Rate]]</f>
        <v>8.2400000000000001E-2</v>
      </c>
      <c r="O48" t="s">
        <v>121</v>
      </c>
    </row>
    <row r="49" spans="1:15">
      <c r="A49" s="59">
        <v>39660</v>
      </c>
      <c r="B49" s="61">
        <v>1379</v>
      </c>
      <c r="C49" s="37">
        <v>1.47E-2</v>
      </c>
      <c r="D49" s="10">
        <v>64.06</v>
      </c>
      <c r="E49" s="64">
        <v>71.55</v>
      </c>
      <c r="F49" s="64"/>
      <c r="G49" s="27">
        <v>6.5600000000000006E-2</v>
      </c>
      <c r="H49" s="37"/>
      <c r="I49" s="27">
        <v>6.5500000000000003E-2</v>
      </c>
      <c r="J49" s="27">
        <v>5.8799999999999998E-2</v>
      </c>
      <c r="K49" s="27"/>
      <c r="M49" s="27"/>
      <c r="N49" s="27">
        <f>Table167[[#This Row],[ERP (T12m)]]+Table167[[#This Row],[T.Bond Rate]]</f>
        <v>8.0200000000000007E-2</v>
      </c>
    </row>
    <row r="50" spans="1:15">
      <c r="A50" s="59">
        <v>39691</v>
      </c>
      <c r="B50" s="61">
        <v>1407</v>
      </c>
      <c r="C50" s="37">
        <v>1.55E-2</v>
      </c>
      <c r="D50" s="10">
        <v>64.06</v>
      </c>
      <c r="E50" s="64">
        <v>71.55</v>
      </c>
      <c r="F50" s="64"/>
      <c r="G50" s="27">
        <v>6.5600000000000006E-2</v>
      </c>
      <c r="H50" s="37"/>
      <c r="I50" s="27">
        <v>6.4100000000000004E-2</v>
      </c>
      <c r="J50" s="27">
        <v>5.7500000000000002E-2</v>
      </c>
      <c r="K50" s="27"/>
      <c r="M50" s="27"/>
      <c r="N50" s="27">
        <f>Table167[[#This Row],[ERP (T12m)]]+Table167[[#This Row],[T.Bond Rate]]</f>
        <v>7.9600000000000004E-2</v>
      </c>
    </row>
    <row r="51" spans="1:15">
      <c r="A51" s="59">
        <v>39721</v>
      </c>
      <c r="B51" s="61">
        <v>1441</v>
      </c>
      <c r="C51" s="37">
        <v>1.6199999999999999E-2</v>
      </c>
      <c r="D51" s="10">
        <v>67.739999999999995</v>
      </c>
      <c r="E51" s="64">
        <v>72.739999999999995</v>
      </c>
      <c r="F51" s="64"/>
      <c r="G51" s="27">
        <v>6.5600000000000006E-2</v>
      </c>
      <c r="H51" s="37"/>
      <c r="I51" s="27">
        <v>6.3500000000000001E-2</v>
      </c>
      <c r="J51" s="27">
        <v>5.9200000000000003E-2</v>
      </c>
      <c r="K51" s="27"/>
      <c r="M51" s="27"/>
      <c r="N51" s="27">
        <f>Table167[[#This Row],[ERP (T12m)]]+Table167[[#This Row],[T.Bond Rate]]</f>
        <v>7.9699999999999993E-2</v>
      </c>
      <c r="O51" t="s">
        <v>122</v>
      </c>
    </row>
    <row r="52" spans="1:15">
      <c r="A52" s="59">
        <v>39752</v>
      </c>
      <c r="B52" s="61">
        <v>1412</v>
      </c>
      <c r="C52" s="37">
        <v>1.7500000000000002E-2</v>
      </c>
      <c r="D52" s="10">
        <v>67.739999999999995</v>
      </c>
      <c r="E52" s="64">
        <v>72.739999999999995</v>
      </c>
      <c r="F52" s="64"/>
      <c r="G52" s="27">
        <v>6.5600000000000006E-2</v>
      </c>
      <c r="H52" s="37"/>
      <c r="I52" s="27">
        <v>6.4399999999999999E-2</v>
      </c>
      <c r="J52" s="27">
        <v>6.0100000000000001E-2</v>
      </c>
      <c r="K52" s="27"/>
      <c r="M52" s="27"/>
      <c r="N52" s="27">
        <f>Table167[[#This Row],[ERP (T12m)]]+Table167[[#This Row],[T.Bond Rate]]</f>
        <v>8.1900000000000001E-2</v>
      </c>
    </row>
    <row r="53" spans="1:15">
      <c r="A53" s="59">
        <v>39782</v>
      </c>
      <c r="B53" s="61">
        <v>1416</v>
      </c>
      <c r="C53" s="37">
        <v>1.6199999999999999E-2</v>
      </c>
      <c r="D53" s="10">
        <v>67.739999999999995</v>
      </c>
      <c r="E53" s="64">
        <v>72.739999999999995</v>
      </c>
      <c r="F53" s="64"/>
      <c r="G53" s="27">
        <v>6.5600000000000006E-2</v>
      </c>
      <c r="H53" s="37"/>
      <c r="I53" s="27">
        <v>6.4500000000000002E-2</v>
      </c>
      <c r="J53" s="27">
        <v>6.0199999999999997E-2</v>
      </c>
      <c r="K53" s="27"/>
      <c r="M53" s="27"/>
      <c r="N53" s="27">
        <f>Table167[[#This Row],[ERP (T12m)]]+Table167[[#This Row],[T.Bond Rate]]</f>
        <v>8.0699999999999994E-2</v>
      </c>
    </row>
    <row r="54" spans="1:15">
      <c r="A54" s="59">
        <v>39813</v>
      </c>
      <c r="B54" s="61">
        <v>1426</v>
      </c>
      <c r="C54" s="37">
        <v>1.7600000000000001E-2</v>
      </c>
      <c r="D54" s="10">
        <v>69.459999999999994</v>
      </c>
      <c r="E54" s="64">
        <v>72.25</v>
      </c>
      <c r="F54" s="64"/>
      <c r="G54" s="27">
        <v>5.2699999999999997E-2</v>
      </c>
      <c r="H54" s="37"/>
      <c r="I54" s="27">
        <v>0.06</v>
      </c>
      <c r="J54" s="27">
        <v>5.7799999999999997E-2</v>
      </c>
      <c r="K54" s="27"/>
      <c r="M54" s="27"/>
      <c r="N54" s="27">
        <f>Table167[[#This Row],[ERP (T12m)]]+Table167[[#This Row],[T.Bond Rate]]</f>
        <v>7.7600000000000002E-2</v>
      </c>
      <c r="O54" t="s">
        <v>123</v>
      </c>
    </row>
    <row r="55" spans="1:15">
      <c r="A55" s="59">
        <v>39844</v>
      </c>
      <c r="B55" s="61">
        <v>1498</v>
      </c>
      <c r="C55" s="37">
        <v>0.02</v>
      </c>
      <c r="D55" s="10">
        <v>69.459999999999994</v>
      </c>
      <c r="E55" s="64">
        <v>72.25</v>
      </c>
      <c r="F55" s="64"/>
      <c r="G55" s="27">
        <v>5.2699999999999997E-2</v>
      </c>
      <c r="H55" s="37"/>
      <c r="I55" s="27">
        <v>5.67E-2</v>
      </c>
      <c r="J55" s="27">
        <v>5.4600000000000003E-2</v>
      </c>
      <c r="K55" s="27"/>
      <c r="M55" s="27"/>
      <c r="N55" s="27">
        <f>Table167[[#This Row],[ERP (T12m)]]+Table167[[#This Row],[T.Bond Rate]]</f>
        <v>7.6700000000000004E-2</v>
      </c>
    </row>
    <row r="56" spans="1:15">
      <c r="A56" s="59">
        <v>39872</v>
      </c>
      <c r="B56" s="61">
        <v>1514.68</v>
      </c>
      <c r="C56" s="37">
        <v>1.8800000000000001E-2</v>
      </c>
      <c r="D56" s="10">
        <v>69.459999999999994</v>
      </c>
      <c r="E56" s="64">
        <v>72.25</v>
      </c>
      <c r="F56" s="64"/>
      <c r="G56" s="27">
        <v>5.3199999999999997E-2</v>
      </c>
      <c r="H56" s="37"/>
      <c r="I56" s="27">
        <v>5.6500000000000002E-2</v>
      </c>
      <c r="J56" s="27">
        <v>5.4300000000000001E-2</v>
      </c>
      <c r="K56" s="27"/>
      <c r="M56" s="27"/>
      <c r="N56" s="27">
        <f>Table167[[#This Row],[ERP (T12m)]]+Table167[[#This Row],[T.Bond Rate]]</f>
        <v>7.5300000000000006E-2</v>
      </c>
    </row>
    <row r="57" spans="1:15">
      <c r="A57" s="59">
        <v>39903</v>
      </c>
      <c r="B57" s="61">
        <v>1569</v>
      </c>
      <c r="C57" s="37">
        <v>1.8499999999999999E-2</v>
      </c>
      <c r="D57" s="10">
        <v>76.760000000000005</v>
      </c>
      <c r="E57" s="64">
        <v>75.31</v>
      </c>
      <c r="F57" s="64"/>
      <c r="G57" s="27">
        <v>5.3100000000000001E-2</v>
      </c>
      <c r="H57" s="37"/>
      <c r="I57" s="27">
        <v>5.6800000000000003E-2</v>
      </c>
      <c r="J57" s="27">
        <v>5.79E-2</v>
      </c>
      <c r="K57" s="27"/>
      <c r="M57" s="27"/>
      <c r="N57" s="27">
        <f>Table167[[#This Row],[ERP (T12m)]]+Table167[[#This Row],[T.Bond Rate]]</f>
        <v>7.5300000000000006E-2</v>
      </c>
      <c r="O57" t="s">
        <v>122</v>
      </c>
    </row>
    <row r="58" spans="1:15">
      <c r="A58" s="59">
        <v>39933</v>
      </c>
      <c r="B58" s="61">
        <v>1598</v>
      </c>
      <c r="C58" s="37">
        <v>1.6500000000000001E-2</v>
      </c>
      <c r="D58" s="10">
        <v>76.760000000000005</v>
      </c>
      <c r="E58" s="64">
        <v>75.31</v>
      </c>
      <c r="F58" s="64"/>
      <c r="G58" s="27">
        <v>5.2299999999999999E-2</v>
      </c>
      <c r="H58" s="37"/>
      <c r="I58" s="27">
        <v>5.6000000000000001E-2</v>
      </c>
      <c r="J58" s="27">
        <v>5.7099999999999998E-2</v>
      </c>
      <c r="K58" s="27"/>
      <c r="M58" s="27"/>
      <c r="N58" s="27">
        <f>Table167[[#This Row],[ERP (T12m)]]+Table167[[#This Row],[T.Bond Rate]]</f>
        <v>7.2500000000000009E-2</v>
      </c>
    </row>
    <row r="59" spans="1:15">
      <c r="A59" s="59">
        <v>39964</v>
      </c>
      <c r="B59" s="61">
        <v>1631</v>
      </c>
      <c r="C59" s="37">
        <v>2.1400000000000002E-2</v>
      </c>
      <c r="D59" s="10">
        <v>76.760000000000005</v>
      </c>
      <c r="E59" s="64">
        <v>75.31</v>
      </c>
      <c r="F59" s="64"/>
      <c r="G59" s="27">
        <v>5.4300000000000001E-2</v>
      </c>
      <c r="H59" s="37"/>
      <c r="I59" s="27">
        <v>5.45E-2</v>
      </c>
      <c r="J59" s="27">
        <v>5.5500000000000001E-2</v>
      </c>
      <c r="K59" s="27"/>
      <c r="M59" s="27"/>
      <c r="N59" s="27">
        <f>Table167[[#This Row],[ERP (T12m)]]+Table167[[#This Row],[T.Bond Rate]]</f>
        <v>7.5899999999999995E-2</v>
      </c>
    </row>
    <row r="60" spans="1:15">
      <c r="A60" s="59">
        <v>39994</v>
      </c>
      <c r="B60" s="61">
        <v>1606</v>
      </c>
      <c r="C60" s="37">
        <v>2.4900000000000002E-2</v>
      </c>
      <c r="D60" s="10">
        <v>78.66</v>
      </c>
      <c r="E60" s="64">
        <v>78.58</v>
      </c>
      <c r="F60" s="64"/>
      <c r="G60" s="27">
        <v>5.57E-2</v>
      </c>
      <c r="H60" s="37"/>
      <c r="I60" s="27">
        <v>5.7300000000000004E-2</v>
      </c>
      <c r="J60" s="27">
        <v>5.74E-2</v>
      </c>
      <c r="K60" s="27"/>
      <c r="M60" s="27"/>
      <c r="N60" s="27">
        <f>Table167[[#This Row],[ERP (T12m)]]+Table167[[#This Row],[T.Bond Rate]]</f>
        <v>8.2200000000000009E-2</v>
      </c>
      <c r="O60" t="s">
        <v>122</v>
      </c>
    </row>
    <row r="61" spans="1:15">
      <c r="A61" s="59">
        <v>40025</v>
      </c>
      <c r="B61" s="61">
        <v>1686</v>
      </c>
      <c r="C61" s="37">
        <v>2.5699999999999997E-2</v>
      </c>
      <c r="D61" s="10">
        <v>78.66</v>
      </c>
      <c r="E61" s="64">
        <v>78.58</v>
      </c>
      <c r="F61" s="64"/>
      <c r="G61" s="27">
        <v>5.5999999999999994E-2</v>
      </c>
      <c r="H61" s="37"/>
      <c r="I61" s="27">
        <v>5.4600000000000003E-2</v>
      </c>
      <c r="J61" s="27">
        <v>5.4600000000000003E-2</v>
      </c>
      <c r="K61" s="27"/>
      <c r="M61" s="27"/>
      <c r="N61" s="27">
        <f>Table167[[#This Row],[ERP (T12m)]]+Table167[[#This Row],[T.Bond Rate]]</f>
        <v>8.0299999999999996E-2</v>
      </c>
    </row>
    <row r="62" spans="1:15">
      <c r="A62" s="59">
        <v>40056</v>
      </c>
      <c r="B62" s="61">
        <v>1633</v>
      </c>
      <c r="C62" s="37">
        <v>2.7900000000000001E-2</v>
      </c>
      <c r="D62" s="10">
        <v>78.66</v>
      </c>
      <c r="E62" s="64">
        <v>78.58</v>
      </c>
      <c r="F62" s="64"/>
      <c r="G62" s="27">
        <v>5.6899999999999999E-2</v>
      </c>
      <c r="H62" s="37"/>
      <c r="I62" s="27">
        <v>5.62E-2</v>
      </c>
      <c r="J62" s="27">
        <v>5.6099999999999997E-2</v>
      </c>
      <c r="K62" s="27"/>
      <c r="M62" s="27"/>
      <c r="N62" s="27">
        <f>Table167[[#This Row],[ERP (T12m)]]+Table167[[#This Row],[T.Bond Rate]]</f>
        <v>8.4100000000000008E-2</v>
      </c>
    </row>
    <row r="63" spans="1:15">
      <c r="A63" s="59">
        <v>40086</v>
      </c>
      <c r="B63" s="61">
        <v>1682</v>
      </c>
      <c r="C63" s="37">
        <v>2.6099999999999998E-2</v>
      </c>
      <c r="D63" s="10">
        <v>82.35</v>
      </c>
      <c r="E63" s="64">
        <v>80.33</v>
      </c>
      <c r="F63" s="64"/>
      <c r="G63" s="27">
        <v>5.62E-2</v>
      </c>
      <c r="H63" s="37"/>
      <c r="I63" s="27">
        <v>5.5899999999999998E-2</v>
      </c>
      <c r="J63" s="27">
        <v>5.7300000000000004E-2</v>
      </c>
      <c r="K63" s="27"/>
      <c r="M63" s="27"/>
      <c r="N63" s="27">
        <f>Table167[[#This Row],[ERP (T12m)]]+Table167[[#This Row],[T.Bond Rate]]</f>
        <v>8.199999999999999E-2</v>
      </c>
      <c r="O63" t="s">
        <v>122</v>
      </c>
    </row>
    <row r="64" spans="1:15">
      <c r="A64" s="59">
        <v>40117</v>
      </c>
      <c r="B64" s="61">
        <v>1757</v>
      </c>
      <c r="C64" s="37">
        <v>2.5499999999999998E-2</v>
      </c>
      <c r="D64" s="10">
        <v>82.35</v>
      </c>
      <c r="E64" s="64">
        <v>80.33</v>
      </c>
      <c r="F64" s="64"/>
      <c r="G64" s="27">
        <v>5.5899999999999998E-2</v>
      </c>
      <c r="H64" s="37"/>
      <c r="I64" s="27">
        <v>5.3600000000000002E-2</v>
      </c>
      <c r="J64" s="27">
        <v>5.4899999999999997E-2</v>
      </c>
      <c r="K64" s="27"/>
      <c r="M64" s="27"/>
      <c r="N64" s="27">
        <f>Table167[[#This Row],[ERP (T12m)]]+Table167[[#This Row],[T.Bond Rate]]</f>
        <v>7.9100000000000004E-2</v>
      </c>
    </row>
    <row r="65" spans="1:15">
      <c r="A65" s="59">
        <v>40147</v>
      </c>
      <c r="B65" s="61">
        <v>1806</v>
      </c>
      <c r="C65" s="37">
        <v>2.75E-2</v>
      </c>
      <c r="D65" s="10">
        <v>82.35</v>
      </c>
      <c r="E65" s="64">
        <v>80.33</v>
      </c>
      <c r="F65" s="64"/>
      <c r="G65" s="27">
        <v>5.67E-2</v>
      </c>
      <c r="H65" s="37"/>
      <c r="I65" s="27">
        <v>5.1900000000000002E-2</v>
      </c>
      <c r="J65" s="27">
        <v>5.3200000000000004E-2</v>
      </c>
      <c r="K65" s="27"/>
      <c r="M65" s="27"/>
      <c r="N65" s="27">
        <f>Table167[[#This Row],[ERP (T12m)]]+Table167[[#This Row],[T.Bond Rate]]</f>
        <v>7.9399999999999998E-2</v>
      </c>
    </row>
    <row r="66" spans="1:15">
      <c r="A66" s="59">
        <v>40178</v>
      </c>
      <c r="B66" s="61">
        <v>1848</v>
      </c>
      <c r="C66" s="37">
        <v>3.04E-2</v>
      </c>
      <c r="D66" s="10">
        <v>90.52</v>
      </c>
      <c r="E66" s="64">
        <v>84.16</v>
      </c>
      <c r="F66" s="64"/>
      <c r="G66" s="27">
        <v>4.2799999999999998E-2</v>
      </c>
      <c r="H66" s="37"/>
      <c r="I66" s="27">
        <v>4.9599999999999998E-2</v>
      </c>
      <c r="J66" s="27">
        <v>5.33E-2</v>
      </c>
      <c r="K66" s="27"/>
      <c r="M66" s="27"/>
      <c r="N66" s="27">
        <f>Table167[[#This Row],[ERP (T12m)]]+Table167[[#This Row],[T.Bond Rate]]</f>
        <v>0.08</v>
      </c>
      <c r="O66" t="s">
        <v>124</v>
      </c>
    </row>
    <row r="67" spans="1:15">
      <c r="A67" s="59">
        <v>40209</v>
      </c>
      <c r="B67" s="61">
        <v>1783</v>
      </c>
      <c r="C67" s="37">
        <v>2.6499999999999999E-2</v>
      </c>
      <c r="D67" s="10">
        <v>90.52</v>
      </c>
      <c r="E67" s="64">
        <v>84.16</v>
      </c>
      <c r="F67" s="64"/>
      <c r="G67" s="27">
        <v>4.1300000000000003E-2</v>
      </c>
      <c r="H67" s="37"/>
      <c r="I67" s="27">
        <v>5.1699999999999996E-2</v>
      </c>
      <c r="J67" s="27">
        <v>5.5599999999999997E-2</v>
      </c>
      <c r="K67" s="27"/>
      <c r="M67" s="27"/>
      <c r="N67" s="27">
        <f>Table167[[#This Row],[ERP (T12m)]]+Table167[[#This Row],[T.Bond Rate]]</f>
        <v>7.8199999999999992E-2</v>
      </c>
    </row>
    <row r="68" spans="1:15">
      <c r="A68" s="59">
        <v>40237</v>
      </c>
      <c r="B68" s="61">
        <v>1859</v>
      </c>
      <c r="C68" s="37">
        <v>2.6600000000000002E-2</v>
      </c>
      <c r="D68" s="10">
        <v>90.52</v>
      </c>
      <c r="E68" s="64">
        <v>84.16</v>
      </c>
      <c r="F68" s="64"/>
      <c r="G68" s="27">
        <v>4.1300000000000003E-2</v>
      </c>
      <c r="H68" s="37"/>
      <c r="I68" s="27">
        <v>4.9599999999999998E-2</v>
      </c>
      <c r="J68" s="27">
        <v>5.33E-2</v>
      </c>
      <c r="K68" s="27"/>
      <c r="M68" s="27"/>
      <c r="N68" s="27">
        <f>Table167[[#This Row],[ERP (T12m)]]+Table167[[#This Row],[T.Bond Rate]]</f>
        <v>7.6200000000000004E-2</v>
      </c>
    </row>
    <row r="69" spans="1:15">
      <c r="A69" s="59">
        <v>40268</v>
      </c>
      <c r="B69" s="61">
        <v>1874</v>
      </c>
      <c r="C69" s="37">
        <v>2.7200000000000002E-2</v>
      </c>
      <c r="D69" s="10">
        <v>95.39</v>
      </c>
      <c r="E69" s="64">
        <v>88.13</v>
      </c>
      <c r="F69" s="64"/>
      <c r="G69" s="27">
        <v>4.1500000000000002E-2</v>
      </c>
      <c r="H69" s="37"/>
      <c r="I69" s="27">
        <v>5.1499999999999997E-2</v>
      </c>
      <c r="J69" s="27">
        <v>5.57E-2</v>
      </c>
      <c r="K69" s="27"/>
      <c r="M69" s="27"/>
      <c r="N69" s="27">
        <f>Table167[[#This Row],[ERP (T12m)]]+Table167[[#This Row],[T.Bond Rate]]</f>
        <v>7.8699999999999992E-2</v>
      </c>
      <c r="O69" t="s">
        <v>125</v>
      </c>
    </row>
    <row r="70" spans="1:15">
      <c r="A70" s="59">
        <v>40298</v>
      </c>
      <c r="B70" s="61">
        <v>1884</v>
      </c>
      <c r="C70" s="37">
        <v>2.6499999999999999E-2</v>
      </c>
      <c r="D70" s="10">
        <v>95.39</v>
      </c>
      <c r="E70" s="64">
        <v>88.13</v>
      </c>
      <c r="F70" s="64"/>
      <c r="G70" s="27">
        <v>4.1299999999999996E-2</v>
      </c>
      <c r="H70" s="37"/>
      <c r="I70" s="27">
        <v>5.1200000000000002E-2</v>
      </c>
      <c r="J70" s="27">
        <v>5.5399999999999998E-2</v>
      </c>
      <c r="K70" s="27"/>
      <c r="M70" s="27"/>
      <c r="N70" s="27">
        <f>Table167[[#This Row],[ERP (T12m)]]+Table167[[#This Row],[T.Bond Rate]]</f>
        <v>7.7700000000000005E-2</v>
      </c>
    </row>
    <row r="71" spans="1:15">
      <c r="A71" s="59">
        <v>40329</v>
      </c>
      <c r="B71" s="61">
        <v>1924</v>
      </c>
      <c r="C71" s="37">
        <v>2.4799999999999999E-2</v>
      </c>
      <c r="D71" s="10">
        <v>95.39</v>
      </c>
      <c r="E71" s="64">
        <v>88.13</v>
      </c>
      <c r="F71" s="64"/>
      <c r="G71" s="27">
        <v>4.0599999999999997E-2</v>
      </c>
      <c r="H71" s="37"/>
      <c r="I71" s="27">
        <v>5.0299999999999997E-2</v>
      </c>
      <c r="J71" s="27">
        <v>5.45E-2</v>
      </c>
      <c r="K71" s="27"/>
      <c r="M71" s="27"/>
      <c r="N71" s="27">
        <f>Table167[[#This Row],[ERP (T12m)]]+Table167[[#This Row],[T.Bond Rate]]</f>
        <v>7.51E-2</v>
      </c>
    </row>
    <row r="72" spans="1:15">
      <c r="A72" s="59">
        <v>40359</v>
      </c>
      <c r="B72" s="61">
        <v>1960</v>
      </c>
      <c r="C72" s="37">
        <v>2.52E-2</v>
      </c>
      <c r="D72" s="10">
        <v>99.78</v>
      </c>
      <c r="E72" s="64">
        <v>96.01</v>
      </c>
      <c r="F72" s="64"/>
      <c r="G72" s="27">
        <v>4.07E-2</v>
      </c>
      <c r="H72" s="37"/>
      <c r="I72" s="27">
        <v>5.3800000000000001E-2</v>
      </c>
      <c r="J72" s="27">
        <v>5.5899999999999998E-2</v>
      </c>
      <c r="K72" s="27"/>
      <c r="M72" s="27"/>
      <c r="N72" s="27">
        <f>Table167[[#This Row],[ERP (T12m)]]+Table167[[#This Row],[T.Bond Rate]]</f>
        <v>7.9000000000000001E-2</v>
      </c>
      <c r="O72" t="s">
        <v>125</v>
      </c>
    </row>
    <row r="73" spans="1:15">
      <c r="A73" s="59">
        <v>40390</v>
      </c>
      <c r="B73" s="61">
        <v>1931</v>
      </c>
      <c r="C73" s="37">
        <v>2.5600000000000001E-2</v>
      </c>
      <c r="D73" s="10">
        <v>99.78</v>
      </c>
      <c r="E73" s="64">
        <v>96.01</v>
      </c>
      <c r="F73" s="64"/>
      <c r="G73" s="27">
        <v>4.0899999999999999E-2</v>
      </c>
      <c r="H73" s="37"/>
      <c r="I73" s="27">
        <v>5.45E-2</v>
      </c>
      <c r="J73" s="27">
        <v>5.67E-2</v>
      </c>
      <c r="K73" s="27"/>
      <c r="M73" s="27"/>
      <c r="N73" s="27">
        <f>Table167[[#This Row],[ERP (T12m)]]+Table167[[#This Row],[T.Bond Rate]]</f>
        <v>8.0100000000000005E-2</v>
      </c>
    </row>
    <row r="74" spans="1:15">
      <c r="A74" s="59">
        <v>40421</v>
      </c>
      <c r="B74" s="61">
        <v>2003</v>
      </c>
      <c r="C74" s="37">
        <v>2.35E-2</v>
      </c>
      <c r="D74" s="10">
        <v>99.78</v>
      </c>
      <c r="E74" s="64">
        <v>96.01</v>
      </c>
      <c r="F74" s="64"/>
      <c r="G74" s="27">
        <v>0.04</v>
      </c>
      <c r="H74" s="37"/>
      <c r="I74" s="27">
        <v>5.28E-2</v>
      </c>
      <c r="J74" s="27">
        <v>5.4800000000000001E-2</v>
      </c>
      <c r="K74" s="27"/>
      <c r="M74" s="27"/>
      <c r="N74" s="27">
        <f>Table167[[#This Row],[ERP (T12m)]]+Table167[[#This Row],[T.Bond Rate]]</f>
        <v>7.6300000000000007E-2</v>
      </c>
    </row>
    <row r="75" spans="1:15">
      <c r="A75" s="59">
        <v>40451</v>
      </c>
      <c r="B75" s="61">
        <v>1973</v>
      </c>
      <c r="C75" s="37">
        <v>2.4899999999999999E-2</v>
      </c>
      <c r="D75" s="10">
        <v>100.41</v>
      </c>
      <c r="E75" s="64">
        <v>97.52</v>
      </c>
      <c r="F75" s="64"/>
      <c r="G75" s="27">
        <v>4.0399999999999998E-2</v>
      </c>
      <c r="H75" s="37"/>
      <c r="I75" s="27">
        <v>5.4300000000000001E-2</v>
      </c>
      <c r="J75" s="27">
        <v>5.5899999999999998E-2</v>
      </c>
      <c r="K75" s="27"/>
      <c r="L75" s="27">
        <v>4.87E-2</v>
      </c>
      <c r="M75" s="27"/>
      <c r="N75" s="27">
        <f>Table167[[#This Row],[ERP (T12m)]]+Table167[[#This Row],[T.Bond Rate]]</f>
        <v>7.9199999999999993E-2</v>
      </c>
      <c r="O75" t="s">
        <v>125</v>
      </c>
    </row>
    <row r="76" spans="1:15">
      <c r="A76" s="59">
        <v>40482</v>
      </c>
      <c r="B76" s="61">
        <v>2018</v>
      </c>
      <c r="C76" s="37">
        <v>2.3399999999999997E-2</v>
      </c>
      <c r="D76" s="10">
        <v>100.41</v>
      </c>
      <c r="E76" s="64">
        <v>97.52</v>
      </c>
      <c r="F76" s="64"/>
      <c r="G76" s="27">
        <v>0.04</v>
      </c>
      <c r="H76" s="37"/>
      <c r="I76" s="27">
        <v>5.3199999999999997E-2</v>
      </c>
      <c r="J76" s="27">
        <v>5.4800000000000001E-2</v>
      </c>
      <c r="K76" s="27"/>
      <c r="L76" s="27">
        <v>4.7800000000000002E-2</v>
      </c>
      <c r="M76" s="27"/>
      <c r="N76" s="27">
        <f>Table167[[#This Row],[ERP (T12m)]]+Table167[[#This Row],[T.Bond Rate]]</f>
        <v>7.6600000000000001E-2</v>
      </c>
    </row>
    <row r="77" spans="1:15">
      <c r="A77" s="59">
        <v>40512</v>
      </c>
      <c r="B77" s="61">
        <v>2068</v>
      </c>
      <c r="C77" s="37">
        <v>2.1700000000000001E-2</v>
      </c>
      <c r="D77" s="10">
        <v>100.41</v>
      </c>
      <c r="E77" s="64">
        <v>97.52</v>
      </c>
      <c r="F77" s="64"/>
      <c r="G77" s="27">
        <v>3.9300000000000002E-2</v>
      </c>
      <c r="H77" s="37"/>
      <c r="I77" s="27">
        <v>5.21E-2</v>
      </c>
      <c r="J77" s="27">
        <v>5.3600000000000002E-2</v>
      </c>
      <c r="K77" s="27"/>
      <c r="L77" s="27">
        <v>4.6799999999999994E-2</v>
      </c>
      <c r="M77" s="27"/>
      <c r="N77" s="27">
        <f>Table167[[#This Row],[ERP (T12m)]]+Table167[[#This Row],[T.Bond Rate]]</f>
        <v>7.3800000000000004E-2</v>
      </c>
    </row>
    <row r="78" spans="1:15">
      <c r="A78" s="59">
        <v>40543</v>
      </c>
      <c r="B78" s="61">
        <v>2059</v>
      </c>
      <c r="C78" s="37">
        <v>2.1700000000000001E-2</v>
      </c>
      <c r="D78" s="10">
        <v>107.97</v>
      </c>
      <c r="E78" s="64">
        <v>100.5</v>
      </c>
      <c r="F78" s="64"/>
      <c r="G78" s="27">
        <v>5.5800000000000002E-2</v>
      </c>
      <c r="H78" s="37"/>
      <c r="I78" s="27">
        <v>5.7800000000000004E-2</v>
      </c>
      <c r="J78" s="27">
        <v>6.2100000000000002E-2</v>
      </c>
      <c r="K78" s="27"/>
      <c r="L78" s="27">
        <v>5.21E-2</v>
      </c>
      <c r="M78" s="27"/>
      <c r="N78" s="27">
        <f>Table167[[#This Row],[ERP (T12m)]]+Table167[[#This Row],[T.Bond Rate]]</f>
        <v>7.9500000000000001E-2</v>
      </c>
      <c r="O78" t="s">
        <v>124</v>
      </c>
    </row>
    <row r="79" spans="1:15">
      <c r="A79" s="59">
        <v>40574</v>
      </c>
      <c r="B79" s="61">
        <v>1995</v>
      </c>
      <c r="C79" s="37">
        <v>1.7000000000000001E-2</v>
      </c>
      <c r="D79" s="10">
        <v>107.97</v>
      </c>
      <c r="E79" s="64">
        <v>100.5</v>
      </c>
      <c r="F79" s="64"/>
      <c r="G79" s="27">
        <v>5.3800000000000001E-2</v>
      </c>
      <c r="H79" s="37"/>
      <c r="I79" s="27">
        <v>6.0100000000000001E-2</v>
      </c>
      <c r="J79" s="27">
        <v>6.4500000000000002E-2</v>
      </c>
      <c r="K79" s="27"/>
      <c r="L79" s="27">
        <v>5.4199999999999998E-2</v>
      </c>
      <c r="M79" s="27"/>
      <c r="N79" s="27">
        <f>Table167[[#This Row],[ERP (T12m)]]+Table167[[#This Row],[T.Bond Rate]]</f>
        <v>7.7100000000000002E-2</v>
      </c>
    </row>
    <row r="80" spans="1:15">
      <c r="A80" s="59">
        <v>40602</v>
      </c>
      <c r="B80" s="61">
        <v>2105</v>
      </c>
      <c r="C80" s="37">
        <v>0.02</v>
      </c>
      <c r="D80" s="10">
        <v>107.97</v>
      </c>
      <c r="E80" s="64">
        <v>100.5</v>
      </c>
      <c r="F80" s="64"/>
      <c r="G80" s="27">
        <v>5.5100000000000003E-2</v>
      </c>
      <c r="H80" s="37"/>
      <c r="I80" s="27">
        <v>5.67E-2</v>
      </c>
      <c r="J80" s="27">
        <v>6.0899999999999996E-2</v>
      </c>
      <c r="K80" s="27"/>
      <c r="L80" s="27">
        <v>5.11E-2</v>
      </c>
      <c r="M80" s="27"/>
      <c r="N80" s="27">
        <f>Table167[[#This Row],[ERP (T12m)]]+Table167[[#This Row],[T.Bond Rate]]</f>
        <v>7.6700000000000004E-2</v>
      </c>
    </row>
    <row r="81" spans="1:15">
      <c r="A81" s="59">
        <v>40633</v>
      </c>
      <c r="B81" s="61">
        <v>2068</v>
      </c>
      <c r="C81" s="37">
        <v>1.9300000000000001E-2</v>
      </c>
      <c r="D81" s="10">
        <v>108.59</v>
      </c>
      <c r="E81" s="64">
        <v>101.98</v>
      </c>
      <c r="F81" s="64"/>
      <c r="G81" s="27">
        <v>5.4800000000000001E-2</v>
      </c>
      <c r="H81" s="37"/>
      <c r="I81" s="27">
        <v>5.8600000000000006E-2</v>
      </c>
      <c r="J81" s="27">
        <v>6.2400000000000004E-2</v>
      </c>
      <c r="K81" s="27"/>
      <c r="L81" s="27">
        <v>5.3199999999999997E-2</v>
      </c>
      <c r="M81" s="27"/>
      <c r="N81" s="27">
        <f>Table167[[#This Row],[ERP (T12m)]]+Table167[[#This Row],[T.Bond Rate]]</f>
        <v>7.7900000000000011E-2</v>
      </c>
      <c r="O81" t="s">
        <v>125</v>
      </c>
    </row>
    <row r="82" spans="1:15">
      <c r="A82" s="59">
        <v>40663</v>
      </c>
      <c r="B82" s="61">
        <v>2086</v>
      </c>
      <c r="C82" s="37">
        <v>2.0499999999999997E-2</v>
      </c>
      <c r="D82" s="10">
        <v>108.59</v>
      </c>
      <c r="E82" s="64">
        <v>101.98</v>
      </c>
      <c r="F82" s="64"/>
      <c r="G82" s="27">
        <v>5.5300000000000002E-2</v>
      </c>
      <c r="H82" s="37"/>
      <c r="I82" s="27">
        <v>5.8000000000000003E-2</v>
      </c>
      <c r="J82" s="27">
        <v>6.1699999999999998E-2</v>
      </c>
      <c r="K82" s="27"/>
      <c r="L82" s="27">
        <v>5.2699999999999997E-2</v>
      </c>
      <c r="M82" s="27"/>
      <c r="N82" s="27">
        <f>Table167[[#This Row],[ERP (T12m)]]+Table167[[#This Row],[T.Bond Rate]]</f>
        <v>7.85E-2</v>
      </c>
    </row>
    <row r="83" spans="1:15">
      <c r="A83" s="59">
        <v>40694</v>
      </c>
      <c r="B83" s="61">
        <v>2107</v>
      </c>
      <c r="C83" s="37">
        <v>2.1299999999999999E-2</v>
      </c>
      <c r="D83" s="10">
        <v>108.59</v>
      </c>
      <c r="E83" s="64">
        <v>101.98</v>
      </c>
      <c r="F83" s="64"/>
      <c r="G83" s="27">
        <v>5.5599999999999997E-2</v>
      </c>
      <c r="H83" s="37"/>
      <c r="I83" s="27">
        <v>5.74E-2</v>
      </c>
      <c r="J83" s="27">
        <v>6.0999999999999999E-2</v>
      </c>
      <c r="K83" s="27"/>
      <c r="L83" s="27">
        <v>5.21E-2</v>
      </c>
      <c r="M83" s="27"/>
      <c r="N83" s="27">
        <f>Table167[[#This Row],[ERP (T12m)]]+Table167[[#This Row],[T.Bond Rate]]</f>
        <v>7.8699999999999992E-2</v>
      </c>
    </row>
    <row r="84" spans="1:15">
      <c r="A84" s="59">
        <v>40724</v>
      </c>
      <c r="B84" s="61">
        <v>2063</v>
      </c>
      <c r="C84" s="37">
        <v>2.3599999999999999E-2</v>
      </c>
      <c r="D84" s="10">
        <v>108.34</v>
      </c>
      <c r="E84" s="64">
        <v>101.58</v>
      </c>
      <c r="F84" s="64"/>
      <c r="G84" s="27">
        <v>5.6500000000000002E-2</v>
      </c>
      <c r="H84" s="37"/>
      <c r="I84" s="27">
        <v>5.8099999999999999E-2</v>
      </c>
      <c r="J84" s="27">
        <v>6.1900000000000004E-2</v>
      </c>
      <c r="K84" s="27"/>
      <c r="L84" s="27">
        <v>5.2299999999999999E-2</v>
      </c>
      <c r="M84" s="27"/>
      <c r="N84" s="27">
        <f>Table167[[#This Row],[ERP (T12m)]]+Table167[[#This Row],[T.Bond Rate]]</f>
        <v>8.1699999999999995E-2</v>
      </c>
      <c r="O84" t="s">
        <v>125</v>
      </c>
    </row>
    <row r="85" spans="1:15">
      <c r="A85" s="59">
        <v>40755</v>
      </c>
      <c r="B85" s="61">
        <v>2104</v>
      </c>
      <c r="C85" s="37">
        <v>2.18E-2</v>
      </c>
      <c r="D85" s="10">
        <v>108.34</v>
      </c>
      <c r="E85" s="64">
        <v>101.58</v>
      </c>
      <c r="F85" s="64"/>
      <c r="G85" s="27">
        <v>5.5800000000000002E-2</v>
      </c>
      <c r="H85" s="37"/>
      <c r="I85" s="27">
        <v>5.8999999999999997E-2</v>
      </c>
      <c r="J85" s="27">
        <v>6.2700000000000006E-2</v>
      </c>
      <c r="K85" s="27"/>
      <c r="L85" s="27">
        <v>5.1399999999999994E-2</v>
      </c>
      <c r="M85" s="27"/>
      <c r="N85" s="27">
        <f>Table167[[#This Row],[ERP (T12m)]]+Table167[[#This Row],[T.Bond Rate]]</f>
        <v>8.0799999999999997E-2</v>
      </c>
      <c r="O85" t="s">
        <v>149</v>
      </c>
    </row>
    <row r="86" spans="1:15">
      <c r="A86" s="59">
        <v>40786</v>
      </c>
      <c r="B86" s="61">
        <v>1972</v>
      </c>
      <c r="C86" s="37">
        <v>2.2200000000000001E-2</v>
      </c>
      <c r="D86" s="10">
        <v>108.34</v>
      </c>
      <c r="E86" s="64">
        <v>101.58</v>
      </c>
      <c r="F86" s="64"/>
      <c r="G86" s="27">
        <v>6.3200000000000006E-2</v>
      </c>
      <c r="H86" s="37"/>
      <c r="I86" s="27">
        <v>6.2800000000000009E-2</v>
      </c>
      <c r="J86" s="27">
        <v>6.6900000000000001E-2</v>
      </c>
      <c r="K86" s="27"/>
      <c r="L86" s="27">
        <v>5.6500000000000002E-2</v>
      </c>
      <c r="M86" s="27"/>
      <c r="N86" s="27">
        <f>Table167[[#This Row],[ERP (T12m)]]+Table167[[#This Row],[T.Bond Rate]]</f>
        <v>8.5000000000000006E-2</v>
      </c>
    </row>
    <row r="87" spans="1:15">
      <c r="A87" s="59">
        <v>40816</v>
      </c>
      <c r="B87" s="61">
        <v>1920</v>
      </c>
      <c r="C87" s="37">
        <v>2.06E-2</v>
      </c>
      <c r="D87" s="10">
        <v>100.83</v>
      </c>
      <c r="E87" s="64">
        <v>104.2</v>
      </c>
      <c r="F87" s="64">
        <v>74.239999999999995</v>
      </c>
      <c r="G87" s="27">
        <v>6.25E-2</v>
      </c>
      <c r="H87" s="37"/>
      <c r="I87" s="27">
        <v>6.6299999999999998E-2</v>
      </c>
      <c r="J87" s="27">
        <v>6.4199999999999993E-2</v>
      </c>
      <c r="K87" s="27">
        <v>4.6899999999999997E-2</v>
      </c>
      <c r="L87" s="27">
        <v>5.96E-2</v>
      </c>
      <c r="M87" s="27"/>
      <c r="N87" s="27">
        <f>Table167[[#This Row],[ERP (T12m)]]+Table167[[#This Row],[T.Bond Rate]]</f>
        <v>8.6900000000000005E-2</v>
      </c>
      <c r="O87" t="s">
        <v>151</v>
      </c>
    </row>
    <row r="88" spans="1:15">
      <c r="A88" s="59">
        <v>40847</v>
      </c>
      <c r="B88" s="61">
        <v>2079</v>
      </c>
      <c r="C88" s="37">
        <v>2.1499999999999998E-2</v>
      </c>
      <c r="D88" s="10">
        <v>100.83</v>
      </c>
      <c r="E88" s="64">
        <v>104.2</v>
      </c>
      <c r="F88" s="64">
        <v>74.239999999999995</v>
      </c>
      <c r="G88" s="27">
        <v>6.2899999999999998E-2</v>
      </c>
      <c r="H88" s="37"/>
      <c r="I88" s="27">
        <v>6.1199999999999997E-2</v>
      </c>
      <c r="J88" s="27">
        <v>5.9200000000000003E-2</v>
      </c>
      <c r="K88" s="27">
        <v>4.3799999999999999E-2</v>
      </c>
      <c r="L88" s="27">
        <v>5.5E-2</v>
      </c>
      <c r="M88" s="27"/>
      <c r="N88" s="27">
        <f>Table167[[#This Row],[ERP (T12m)]]+Table167[[#This Row],[T.Bond Rate]]</f>
        <v>8.2699999999999996E-2</v>
      </c>
    </row>
    <row r="89" spans="1:15">
      <c r="A89" s="59">
        <v>40877</v>
      </c>
      <c r="B89" s="61">
        <v>2080</v>
      </c>
      <c r="C89" s="37">
        <v>2.2099999999999998E-2</v>
      </c>
      <c r="D89" s="10">
        <v>100.83</v>
      </c>
      <c r="E89" s="64">
        <v>104.2</v>
      </c>
      <c r="F89" s="64">
        <v>74.239999999999995</v>
      </c>
      <c r="G89" s="27">
        <v>6.3200000000000006E-2</v>
      </c>
      <c r="H89" s="37"/>
      <c r="I89" s="27">
        <v>6.1100000000000002E-2</v>
      </c>
      <c r="J89" s="27">
        <v>5.9200000000000003E-2</v>
      </c>
      <c r="K89" s="27">
        <v>4.3799999999999999E-2</v>
      </c>
      <c r="L89" s="27">
        <v>5.4300000000000001E-2</v>
      </c>
      <c r="M89" s="27"/>
      <c r="N89" s="27">
        <f>Table167[[#This Row],[ERP (T12m)]]+Table167[[#This Row],[T.Bond Rate]]</f>
        <v>8.3199999999999996E-2</v>
      </c>
    </row>
    <row r="90" spans="1:15">
      <c r="A90" s="59">
        <v>40908</v>
      </c>
      <c r="B90" s="61">
        <v>2044</v>
      </c>
      <c r="C90" s="37">
        <v>2.2700000000000001E-2</v>
      </c>
      <c r="D90" s="10">
        <v>107.33</v>
      </c>
      <c r="E90" s="64">
        <v>106.1</v>
      </c>
      <c r="F90" s="64">
        <v>74.239999999999995</v>
      </c>
      <c r="G90" s="27">
        <v>5.5500000000000001E-2</v>
      </c>
      <c r="H90" s="37">
        <v>5.16E-2</v>
      </c>
      <c r="I90" s="27">
        <v>6.1199999999999997E-2</v>
      </c>
      <c r="J90" s="27">
        <v>6.1900000000000004E-2</v>
      </c>
      <c r="K90" s="27">
        <v>4.2999999999999997E-2</v>
      </c>
      <c r="L90" s="27">
        <v>5.4600000000000003E-2</v>
      </c>
      <c r="M90" s="27"/>
      <c r="N90" s="27">
        <f>Table167[[#This Row],[ERP (T12m)]]+Table167[[#This Row],[T.Bond Rate]]</f>
        <v>8.3900000000000002E-2</v>
      </c>
      <c r="O90" t="s">
        <v>158</v>
      </c>
    </row>
    <row r="91" spans="1:15">
      <c r="A91" s="59">
        <v>40939</v>
      </c>
      <c r="B91" s="61">
        <v>1940</v>
      </c>
      <c r="C91" s="37">
        <v>1.9199999999999998E-2</v>
      </c>
      <c r="D91" s="10">
        <v>107.33</v>
      </c>
      <c r="E91" s="64">
        <v>106.1</v>
      </c>
      <c r="F91" s="64">
        <v>74.239999999999995</v>
      </c>
      <c r="G91" s="27">
        <v>5.3800000000000001E-2</v>
      </c>
      <c r="H91" s="37">
        <v>5.6099999999999997E-2</v>
      </c>
      <c r="I91" s="27">
        <v>6.4699999999999994E-2</v>
      </c>
      <c r="J91" s="27">
        <v>6.54E-2</v>
      </c>
      <c r="K91" s="27">
        <v>4.5499999999999999E-2</v>
      </c>
      <c r="L91" s="27">
        <v>5.9200000000000003E-2</v>
      </c>
      <c r="M91" s="27"/>
      <c r="N91" s="27">
        <f>Table167[[#This Row],[ERP (T12m)]]+Table167[[#This Row],[T.Bond Rate]]</f>
        <v>8.3899999999999988E-2</v>
      </c>
    </row>
    <row r="92" spans="1:15">
      <c r="A92" s="59">
        <v>40968</v>
      </c>
      <c r="B92" s="61">
        <v>1932</v>
      </c>
      <c r="C92" s="37">
        <v>1.7399999999999999E-2</v>
      </c>
      <c r="D92" s="10">
        <v>107.33</v>
      </c>
      <c r="E92" s="64">
        <v>106.1</v>
      </c>
      <c r="F92" s="64">
        <v>74.239999999999995</v>
      </c>
      <c r="G92" s="27">
        <v>5.2900000000000003E-2</v>
      </c>
      <c r="H92" s="37">
        <v>5.7200000000000001E-2</v>
      </c>
      <c r="I92" s="27">
        <v>6.5100000000000005E-2</v>
      </c>
      <c r="J92" s="27">
        <v>6.5799999999999997E-2</v>
      </c>
      <c r="K92" s="27">
        <v>4.58E-2</v>
      </c>
      <c r="L92" s="27">
        <v>5.96E-2</v>
      </c>
      <c r="M92" s="27"/>
      <c r="N92" s="27">
        <f>Table167[[#This Row],[ERP (T12m)]]+Table167[[#This Row],[T.Bond Rate]]</f>
        <v>8.2500000000000004E-2</v>
      </c>
    </row>
    <row r="93" spans="1:15">
      <c r="A93" s="59">
        <v>40999</v>
      </c>
      <c r="B93" s="61">
        <v>2060</v>
      </c>
      <c r="C93" s="37">
        <v>1.77E-2</v>
      </c>
      <c r="D93" s="10">
        <v>108.35</v>
      </c>
      <c r="E93" s="64">
        <v>108.16</v>
      </c>
      <c r="F93" s="64">
        <v>74.239999999999995</v>
      </c>
      <c r="G93" s="27">
        <v>5.3200000000000004E-2</v>
      </c>
      <c r="H93" s="37">
        <v>5.1499999999999997E-2</v>
      </c>
      <c r="I93" s="27">
        <v>6.2400000000000004E-2</v>
      </c>
      <c r="J93" s="27">
        <v>6.2300000000000001E-2</v>
      </c>
      <c r="K93" s="27">
        <v>4.2999999999999997E-2</v>
      </c>
      <c r="L93" s="27">
        <v>5.62E-2</v>
      </c>
      <c r="M93" s="27"/>
      <c r="N93" s="27">
        <f>Table167[[#This Row],[ERP (T12m)]]+Table167[[#This Row],[T.Bond Rate]]</f>
        <v>8.0100000000000005E-2</v>
      </c>
      <c r="O93" t="s">
        <v>151</v>
      </c>
    </row>
    <row r="94" spans="1:15">
      <c r="A94" s="59">
        <v>41029</v>
      </c>
      <c r="B94" s="61">
        <v>2065</v>
      </c>
      <c r="C94" s="37">
        <v>1.83E-2</v>
      </c>
      <c r="D94" s="10">
        <v>108.35</v>
      </c>
      <c r="E94" s="64">
        <v>108.99</v>
      </c>
      <c r="F94" s="64">
        <v>82.17</v>
      </c>
      <c r="G94" s="27">
        <v>5.33E-2</v>
      </c>
      <c r="H94" s="37">
        <v>5.11E-2</v>
      </c>
      <c r="I94" s="27">
        <v>6.2199999999999998E-2</v>
      </c>
      <c r="J94" s="27">
        <v>6.25E-2</v>
      </c>
      <c r="K94" s="27">
        <v>4.7300000000000002E-2</v>
      </c>
      <c r="L94" s="27">
        <v>5.6899999999999999E-2</v>
      </c>
      <c r="M94" s="27"/>
      <c r="N94" s="27">
        <f>Table167[[#This Row],[ERP (T12m)]]+Table167[[#This Row],[T.Bond Rate]]</f>
        <v>8.0500000000000002E-2</v>
      </c>
      <c r="O94" t="s">
        <v>169</v>
      </c>
    </row>
    <row r="95" spans="1:15">
      <c r="A95" s="59">
        <v>41060</v>
      </c>
      <c r="B95" s="61">
        <v>2097</v>
      </c>
      <c r="C95" s="37">
        <v>1.83E-2</v>
      </c>
      <c r="D95" s="10">
        <v>108.35</v>
      </c>
      <c r="E95" s="64">
        <v>108.88</v>
      </c>
      <c r="F95" s="64">
        <v>82.17</v>
      </c>
      <c r="G95" s="27">
        <v>5.33E-2</v>
      </c>
      <c r="H95" s="37">
        <v>5.0299999999999997E-2</v>
      </c>
      <c r="I95" s="27">
        <v>6.1200000000000004E-2</v>
      </c>
      <c r="J95" s="27">
        <v>6.1600000000000002E-2</v>
      </c>
      <c r="K95" s="27">
        <v>4.6600000000000003E-2</v>
      </c>
      <c r="L95" s="27">
        <v>5.5399999999999998E-2</v>
      </c>
      <c r="M95" s="27"/>
      <c r="N95" s="27">
        <f>Table167[[#This Row],[ERP (T12m)]]+Table167[[#This Row],[T.Bond Rate]]</f>
        <v>7.9500000000000001E-2</v>
      </c>
    </row>
    <row r="96" spans="1:15">
      <c r="A96" s="59">
        <v>41090</v>
      </c>
      <c r="B96" s="61">
        <v>2099</v>
      </c>
      <c r="C96" s="37">
        <v>1.47E-2</v>
      </c>
      <c r="D96" s="10">
        <v>111.06</v>
      </c>
      <c r="E96" s="64">
        <v>110.61</v>
      </c>
      <c r="F96" s="64">
        <v>82.17</v>
      </c>
      <c r="G96" s="27">
        <v>5.1499999999999997E-2</v>
      </c>
      <c r="H96" s="37">
        <v>5.0799999999999998E-2</v>
      </c>
      <c r="I96" s="27">
        <v>6.2699999999999992E-2</v>
      </c>
      <c r="J96" s="27">
        <v>6.3E-2</v>
      </c>
      <c r="K96" s="27">
        <v>4.6799999999999994E-2</v>
      </c>
      <c r="L96" s="27">
        <v>5.6800000000000003E-2</v>
      </c>
      <c r="M96" s="27"/>
      <c r="N96" s="27">
        <f>Table167[[#This Row],[ERP (T12m)]]+Table167[[#This Row],[T.Bond Rate]]</f>
        <v>7.7399999999999997E-2</v>
      </c>
      <c r="O96" t="s">
        <v>151</v>
      </c>
    </row>
    <row r="97" spans="1:15">
      <c r="A97" s="59">
        <v>41121</v>
      </c>
      <c r="B97" s="61">
        <v>2174</v>
      </c>
      <c r="C97" s="37">
        <v>1.4500000000000001E-2</v>
      </c>
      <c r="D97" s="10">
        <v>111.06</v>
      </c>
      <c r="E97" s="64">
        <v>110.61</v>
      </c>
      <c r="F97" s="64">
        <v>82.17</v>
      </c>
      <c r="G97" s="27">
        <v>5.1400000000000001E-2</v>
      </c>
      <c r="H97" s="37">
        <v>4.9200000000000001E-2</v>
      </c>
      <c r="I97" s="27">
        <v>6.0600000000000001E-2</v>
      </c>
      <c r="J97" s="27">
        <v>6.08E-2</v>
      </c>
      <c r="K97" s="27">
        <v>4.5199999999999997E-2</v>
      </c>
      <c r="L97" s="27">
        <v>5.4899999999999997E-2</v>
      </c>
      <c r="M97" s="27"/>
      <c r="N97" s="27">
        <f>Table167[[#This Row],[ERP (T12m)]]+Table167[[#This Row],[T.Bond Rate]]</f>
        <v>7.51E-2</v>
      </c>
    </row>
    <row r="98" spans="1:15">
      <c r="A98" s="59">
        <v>41152</v>
      </c>
      <c r="B98" s="61">
        <v>2171</v>
      </c>
      <c r="C98" s="37">
        <v>1.5900000000000001E-2</v>
      </c>
      <c r="D98" s="10">
        <v>111.06</v>
      </c>
      <c r="E98" s="64">
        <v>110.61</v>
      </c>
      <c r="F98" s="64">
        <v>82.17</v>
      </c>
      <c r="G98" s="27">
        <v>5.21E-2</v>
      </c>
      <c r="H98" s="37">
        <v>4.8599999999999997E-2</v>
      </c>
      <c r="I98" s="27">
        <v>6.0599999999999994E-2</v>
      </c>
      <c r="J98" s="27">
        <v>6.08E-2</v>
      </c>
      <c r="K98" s="27">
        <v>4.5199999999999997E-2</v>
      </c>
      <c r="L98" s="27">
        <v>5.5599999999999997E-2</v>
      </c>
      <c r="M98" s="27"/>
      <c r="N98" s="27">
        <f>Table167[[#This Row],[ERP (T12m)]]+Table167[[#This Row],[T.Bond Rate]]</f>
        <v>7.6499999999999999E-2</v>
      </c>
    </row>
    <row r="99" spans="1:15">
      <c r="A99" s="59">
        <v>41182</v>
      </c>
      <c r="B99" s="61">
        <v>2168</v>
      </c>
      <c r="C99" s="37">
        <v>1.6E-2</v>
      </c>
      <c r="D99" s="10">
        <v>112.42</v>
      </c>
      <c r="E99" s="64">
        <v>114.73</v>
      </c>
      <c r="F99" s="64">
        <v>82.17</v>
      </c>
      <c r="G99" s="27">
        <v>5.21E-2</v>
      </c>
      <c r="H99" s="37">
        <v>4.9099999999999998E-2</v>
      </c>
      <c r="I99" s="27">
        <v>6.1600000000000002E-2</v>
      </c>
      <c r="J99" s="27">
        <v>6.2899999999999998E-2</v>
      </c>
      <c r="K99" s="27">
        <v>4.5199999999999997E-2</v>
      </c>
      <c r="L99" s="27">
        <v>5.6399999999999999E-2</v>
      </c>
      <c r="M99" s="27"/>
      <c r="N99" s="27">
        <f>Table167[[#This Row],[ERP (T12m)]]+Table167[[#This Row],[T.Bond Rate]]</f>
        <v>7.7600000000000002E-2</v>
      </c>
      <c r="O99" t="s">
        <v>151</v>
      </c>
    </row>
    <row r="100" spans="1:15">
      <c r="A100" s="59">
        <v>41213</v>
      </c>
      <c r="B100" s="61">
        <v>2126</v>
      </c>
      <c r="C100" s="37">
        <v>1.84E-2</v>
      </c>
      <c r="D100" s="10">
        <v>112.42</v>
      </c>
      <c r="E100" s="64">
        <v>114.73</v>
      </c>
      <c r="F100" s="64">
        <v>82.17</v>
      </c>
      <c r="G100" s="27">
        <v>5.3199999999999997E-2</v>
      </c>
      <c r="H100" s="37">
        <v>4.8899999999999999E-2</v>
      </c>
      <c r="I100" s="27">
        <v>6.2600000000000003E-2</v>
      </c>
      <c r="J100" s="27">
        <v>6.3899999999999998E-2</v>
      </c>
      <c r="K100" s="27">
        <v>4.5999999999999999E-2</v>
      </c>
      <c r="L100" s="27">
        <v>5.79E-2</v>
      </c>
      <c r="M100" s="27"/>
      <c r="N100" s="27">
        <f>Table167[[#This Row],[ERP (T12m)]]+Table167[[#This Row],[T.Bond Rate]]</f>
        <v>8.1000000000000003E-2</v>
      </c>
    </row>
    <row r="101" spans="1:15">
      <c r="A101" s="59">
        <v>41243</v>
      </c>
      <c r="B101" s="61">
        <v>2199</v>
      </c>
      <c r="C101" s="37">
        <v>2.3900000000000001E-2</v>
      </c>
      <c r="D101" s="10">
        <v>112.42</v>
      </c>
      <c r="E101" s="64">
        <v>114.73</v>
      </c>
      <c r="F101" s="64">
        <v>82.17</v>
      </c>
      <c r="G101" s="27">
        <v>5.62E-2</v>
      </c>
      <c r="H101" s="37">
        <v>4.4999999999999998E-2</v>
      </c>
      <c r="I101" s="27">
        <v>6.0199999999999997E-2</v>
      </c>
      <c r="J101" s="27">
        <v>6.1400000000000003E-2</v>
      </c>
      <c r="K101" s="27">
        <v>4.4200000000000003E-2</v>
      </c>
      <c r="L101" s="27">
        <v>5.5199999999999999E-2</v>
      </c>
      <c r="M101" s="27"/>
      <c r="N101" s="27">
        <f>Table167[[#This Row],[ERP (T12m)]]+Table167[[#This Row],[T.Bond Rate]]</f>
        <v>8.4099999999999994E-2</v>
      </c>
    </row>
    <row r="102" spans="1:15">
      <c r="A102" s="59">
        <v>41274</v>
      </c>
      <c r="B102" s="61">
        <v>2239</v>
      </c>
      <c r="C102" s="37">
        <v>2.4500000000000001E-2</v>
      </c>
      <c r="D102" s="10">
        <v>117.78</v>
      </c>
      <c r="E102" s="64">
        <v>108.67</v>
      </c>
      <c r="F102" s="64">
        <v>85.67</v>
      </c>
      <c r="G102" s="27">
        <v>5.5399999999999998E-2</v>
      </c>
      <c r="H102" s="37">
        <v>4.4999999999999998E-2</v>
      </c>
      <c r="I102" s="27">
        <v>5.6899999999999999E-2</v>
      </c>
      <c r="J102" s="27">
        <v>6.1600000000000002E-2</v>
      </c>
      <c r="K102" s="27">
        <v>4.4999999999999998E-2</v>
      </c>
      <c r="L102" s="27">
        <v>5.0999999999999997E-2</v>
      </c>
      <c r="M102" s="27"/>
      <c r="N102" s="27">
        <f>Table167[[#This Row],[ERP (T12m)]]+Table167[[#This Row],[T.Bond Rate]]</f>
        <v>8.14E-2</v>
      </c>
      <c r="O102" t="s">
        <v>178</v>
      </c>
    </row>
    <row r="103" spans="1:15">
      <c r="A103" s="59">
        <v>41305</v>
      </c>
      <c r="B103" s="61">
        <v>2279</v>
      </c>
      <c r="C103" s="37">
        <v>2.47E-2</v>
      </c>
      <c r="D103" s="10">
        <v>117.78</v>
      </c>
      <c r="E103" s="64">
        <v>108.67</v>
      </c>
      <c r="F103" s="64">
        <v>85.67</v>
      </c>
      <c r="G103" s="27">
        <v>5.5500000000000001E-2</v>
      </c>
      <c r="H103" s="37">
        <v>4.41E-2</v>
      </c>
      <c r="I103" s="27">
        <v>5.5899999999999998E-2</v>
      </c>
      <c r="J103" s="27">
        <v>6.0499999999999998E-2</v>
      </c>
      <c r="K103" s="27">
        <v>4.4200000000000003E-2</v>
      </c>
      <c r="L103" s="27">
        <v>5.0999999999999997E-2</v>
      </c>
      <c r="M103" s="27"/>
      <c r="N103" s="27">
        <f>Table167[[#This Row],[ERP (T12m)]]+Table167[[#This Row],[T.Bond Rate]]</f>
        <v>8.0600000000000005E-2</v>
      </c>
    </row>
    <row r="104" spans="1:15">
      <c r="A104" s="59">
        <v>41333</v>
      </c>
      <c r="B104" s="61">
        <v>2364</v>
      </c>
      <c r="C104" s="37">
        <v>2.3900000000000001E-2</v>
      </c>
      <c r="D104" s="10">
        <v>117.78</v>
      </c>
      <c r="E104" s="64">
        <v>108.67</v>
      </c>
      <c r="F104" s="64">
        <v>85.67</v>
      </c>
      <c r="G104" s="27">
        <v>5.5100000000000003E-2</v>
      </c>
      <c r="H104" s="37">
        <v>4.2900000000000001E-2</v>
      </c>
      <c r="I104" s="27">
        <v>5.3900000000000003E-2</v>
      </c>
      <c r="J104" s="27">
        <v>5.8400000000000001E-2</v>
      </c>
      <c r="K104" s="27">
        <v>4.2599999999999999E-2</v>
      </c>
      <c r="L104" s="27">
        <v>4.9299999999999997E-2</v>
      </c>
      <c r="M104" s="27"/>
      <c r="N104" s="27">
        <f>Table167[[#This Row],[ERP (T12m)]]+Table167[[#This Row],[T.Bond Rate]]</f>
        <v>7.7800000000000008E-2</v>
      </c>
    </row>
    <row r="105" spans="1:15">
      <c r="A105" s="59">
        <v>41364</v>
      </c>
      <c r="B105" s="61">
        <v>2363</v>
      </c>
      <c r="C105" s="37">
        <v>2.3900000000000001E-2</v>
      </c>
      <c r="D105" s="10">
        <v>124.27</v>
      </c>
      <c r="E105" s="64">
        <v>108.43</v>
      </c>
      <c r="F105" s="64">
        <v>86.97</v>
      </c>
      <c r="G105" s="27">
        <v>5.5100000000000003E-2</v>
      </c>
      <c r="H105" s="37">
        <v>4.5100000000000001E-2</v>
      </c>
      <c r="I105" s="27">
        <v>5.3800000000000001E-2</v>
      </c>
      <c r="J105" s="27">
        <v>6.1600000000000002E-2</v>
      </c>
      <c r="K105" s="27">
        <v>4.3299999999999998E-2</v>
      </c>
      <c r="L105" s="27">
        <v>4.9000000000000002E-2</v>
      </c>
      <c r="M105" s="27"/>
      <c r="N105" s="27">
        <f>Table167[[#This Row],[ERP (T12m)]]+Table167[[#This Row],[T.Bond Rate]]</f>
        <v>7.7700000000000005E-2</v>
      </c>
      <c r="O105" t="s">
        <v>178</v>
      </c>
    </row>
    <row r="106" spans="1:15">
      <c r="A106" s="59">
        <v>41394</v>
      </c>
      <c r="B106" s="61">
        <v>2384</v>
      </c>
      <c r="C106" s="37">
        <v>2.3E-2</v>
      </c>
      <c r="D106" s="10">
        <v>124.27</v>
      </c>
      <c r="E106" s="64">
        <v>108.43</v>
      </c>
      <c r="F106" s="64">
        <v>86.97</v>
      </c>
      <c r="G106" s="27">
        <v>5.4600000000000003E-2</v>
      </c>
      <c r="H106" s="37">
        <v>4.5100000000000001E-2</v>
      </c>
      <c r="I106" s="27">
        <v>5.3400000000000003E-2</v>
      </c>
      <c r="J106" s="27">
        <v>6.1100000000000002E-2</v>
      </c>
      <c r="K106" s="27">
        <v>4.2999999999999997E-2</v>
      </c>
      <c r="L106" s="27">
        <v>4.87E-2</v>
      </c>
      <c r="M106" s="27"/>
      <c r="N106" s="27">
        <f>Table167[[#This Row],[ERP (T12m)]]+Table167[[#This Row],[T.Bond Rate]]</f>
        <v>7.6399999999999996E-2</v>
      </c>
    </row>
    <row r="107" spans="1:15">
      <c r="A107" s="59">
        <v>41425</v>
      </c>
      <c r="B107" s="61">
        <v>2412</v>
      </c>
      <c r="C107" s="37">
        <v>2.2100000000000002E-2</v>
      </c>
      <c r="D107" s="10">
        <v>124.27</v>
      </c>
      <c r="E107" s="64">
        <v>108.43</v>
      </c>
      <c r="F107" s="64">
        <v>86.97</v>
      </c>
      <c r="G107" s="27">
        <v>5.4199999999999998E-2</v>
      </c>
      <c r="H107" s="37">
        <v>4.4900000000000002E-2</v>
      </c>
      <c r="I107" s="27">
        <v>5.2900000000000003E-2</v>
      </c>
      <c r="J107" s="27">
        <v>6.0499999999999998E-2</v>
      </c>
      <c r="K107" s="27">
        <v>4.2500000000000003E-2</v>
      </c>
      <c r="L107" s="27">
        <v>4.8399999999999999E-2</v>
      </c>
      <c r="M107" s="27"/>
      <c r="N107" s="27">
        <f>Table167[[#This Row],[ERP (T12m)]]+Table167[[#This Row],[T.Bond Rate]]</f>
        <v>7.5000000000000011E-2</v>
      </c>
    </row>
    <row r="108" spans="1:15">
      <c r="A108" s="59">
        <v>41455</v>
      </c>
      <c r="B108" s="61">
        <v>2423</v>
      </c>
      <c r="C108" s="37">
        <v>2.3E-2</v>
      </c>
      <c r="D108" s="10">
        <v>127.46</v>
      </c>
      <c r="E108" s="64">
        <v>105.68</v>
      </c>
      <c r="F108" s="64">
        <v>86.97</v>
      </c>
      <c r="G108" s="27">
        <v>5.4600000000000003E-2</v>
      </c>
      <c r="H108" s="37">
        <v>4.6199999999999998E-2</v>
      </c>
      <c r="I108" s="27">
        <v>5.1299999999999998E-2</v>
      </c>
      <c r="J108" s="27">
        <v>6.1699999999999998E-2</v>
      </c>
      <c r="K108" s="27">
        <v>4.2299999999999997E-2</v>
      </c>
      <c r="L108" s="27">
        <v>4.6800000000000001E-2</v>
      </c>
      <c r="M108" s="27"/>
      <c r="N108" s="27">
        <f>Table167[[#This Row],[ERP (T12m)]]+Table167[[#This Row],[T.Bond Rate]]</f>
        <v>7.4300000000000005E-2</v>
      </c>
      <c r="O108" t="s">
        <v>178</v>
      </c>
    </row>
    <row r="109" spans="1:15">
      <c r="A109" s="59">
        <v>41486</v>
      </c>
      <c r="B109" s="61">
        <v>2470</v>
      </c>
      <c r="C109" s="37">
        <v>2.3E-2</v>
      </c>
      <c r="D109" s="10">
        <v>127.46</v>
      </c>
      <c r="E109" s="64">
        <v>105.68</v>
      </c>
      <c r="F109" s="64">
        <v>86.97</v>
      </c>
      <c r="G109" s="27">
        <v>5.4600000000000003E-2</v>
      </c>
      <c r="H109" s="37">
        <v>4.5400000000000003E-2</v>
      </c>
      <c r="I109" s="27">
        <v>5.0299999999999997E-2</v>
      </c>
      <c r="J109" s="27">
        <v>6.0499999999999998E-2</v>
      </c>
      <c r="K109" s="27">
        <v>4.1500000000000002E-2</v>
      </c>
      <c r="L109" s="27">
        <v>4.6899999999999997E-2</v>
      </c>
      <c r="M109" s="27"/>
      <c r="N109" s="27">
        <f>Table167[[#This Row],[ERP (T12m)]]+Table167[[#This Row],[T.Bond Rate]]</f>
        <v>7.3300000000000004E-2</v>
      </c>
    </row>
    <row r="110" spans="1:15">
      <c r="A110" s="59">
        <v>41517</v>
      </c>
      <c r="B110" s="61">
        <v>2418</v>
      </c>
      <c r="C110" s="37">
        <v>2.12E-2</v>
      </c>
      <c r="D110" s="10">
        <v>127.46</v>
      </c>
      <c r="E110" s="64">
        <v>105.68</v>
      </c>
      <c r="F110" s="64">
        <v>86.97</v>
      </c>
      <c r="G110" s="27">
        <v>5.3699999999999998E-2</v>
      </c>
      <c r="H110" s="37">
        <v>4.5999999999999999E-2</v>
      </c>
      <c r="I110" s="27">
        <v>5.04E-2</v>
      </c>
      <c r="J110" s="27">
        <v>6.0600000000000001E-2</v>
      </c>
      <c r="K110" s="27">
        <v>4.1599999999999998E-2</v>
      </c>
      <c r="L110" s="27">
        <v>4.6199999999999998E-2</v>
      </c>
      <c r="M110" s="27"/>
      <c r="N110" s="27">
        <f>Table167[[#This Row],[ERP (T12m)]]+Table167[[#This Row],[T.Bond Rate]]</f>
        <v>7.1599999999999997E-2</v>
      </c>
    </row>
    <row r="111" spans="1:15">
      <c r="A111" s="59">
        <v>41547</v>
      </c>
      <c r="B111" s="61">
        <v>2519</v>
      </c>
      <c r="C111" s="37">
        <v>2.3300000000000001E-2</v>
      </c>
      <c r="D111" s="10">
        <v>132.51</v>
      </c>
      <c r="E111" s="64">
        <v>105.49</v>
      </c>
      <c r="F111" s="64">
        <v>86.97</v>
      </c>
      <c r="G111" s="27">
        <v>5.4800000000000001E-2</v>
      </c>
      <c r="H111" s="37">
        <v>4.6300000000000001E-2</v>
      </c>
      <c r="I111" s="27">
        <v>4.9200000000000001E-2</v>
      </c>
      <c r="J111" s="27">
        <v>6.1600000000000002E-2</v>
      </c>
      <c r="K111" s="27">
        <v>4.07E-2</v>
      </c>
      <c r="L111" s="27">
        <v>4.4999999999999998E-2</v>
      </c>
      <c r="M111" s="27"/>
      <c r="N111" s="27">
        <f>Table167[[#This Row],[ERP (T12m)]]+Table167[[#This Row],[T.Bond Rate]]</f>
        <v>7.2500000000000009E-2</v>
      </c>
      <c r="O111" t="s">
        <v>178</v>
      </c>
    </row>
    <row r="112" spans="1:15">
      <c r="A112" s="59">
        <v>41578</v>
      </c>
      <c r="B112" s="61">
        <v>2575</v>
      </c>
      <c r="C112" s="37">
        <v>2.3699999999999999E-2</v>
      </c>
      <c r="D112" s="10">
        <v>132.51</v>
      </c>
      <c r="E112" s="64">
        <v>105.49</v>
      </c>
      <c r="F112" s="64">
        <v>86.97</v>
      </c>
      <c r="G112" s="27">
        <v>5.5E-2</v>
      </c>
      <c r="H112" s="37">
        <v>4.5199999999999997E-2</v>
      </c>
      <c r="I112" s="27">
        <v>4.8099999999999997E-2</v>
      </c>
      <c r="J112" s="27">
        <v>6.0299999999999999E-2</v>
      </c>
      <c r="K112" s="27">
        <v>3.9800000000000002E-2</v>
      </c>
      <c r="L112" s="27">
        <v>4.4299999999999999E-2</v>
      </c>
      <c r="M112" s="27"/>
      <c r="N112" s="27">
        <f>Table167[[#This Row],[ERP (T12m)]]+Table167[[#This Row],[T.Bond Rate]]</f>
        <v>7.1800000000000003E-2</v>
      </c>
    </row>
    <row r="113" spans="1:15">
      <c r="A113" s="59">
        <v>41608</v>
      </c>
      <c r="B113" s="61">
        <v>2648</v>
      </c>
      <c r="C113" s="37">
        <v>2.4199999999999999E-2</v>
      </c>
      <c r="D113" s="10">
        <f>D112</f>
        <v>132.51</v>
      </c>
      <c r="E113" s="64">
        <f>E112</f>
        <v>105.49</v>
      </c>
      <c r="F113" s="64">
        <v>86.97</v>
      </c>
      <c r="G113" s="27">
        <v>5.5199999999999999E-2</v>
      </c>
      <c r="H113" s="37">
        <v>4.3799999999999999E-2</v>
      </c>
      <c r="I113" s="27">
        <v>4.6800000000000001E-2</v>
      </c>
      <c r="J113" s="27">
        <v>5.8599999999999999E-2</v>
      </c>
      <c r="K113" s="27">
        <v>3.8699999999999998E-2</v>
      </c>
      <c r="L113" s="27">
        <v>4.2599999999999999E-2</v>
      </c>
      <c r="M113" s="27"/>
      <c r="N113" s="27">
        <f>Table167[[#This Row],[ERP (T12m)]]+Table167[[#This Row],[T.Bond Rate]]</f>
        <v>7.1000000000000008E-2</v>
      </c>
    </row>
    <row r="114" spans="1:15">
      <c r="A114" s="59">
        <v>41639</v>
      </c>
      <c r="B114" s="61">
        <v>2674</v>
      </c>
      <c r="C114" s="37">
        <v>2.41E-2</v>
      </c>
      <c r="D114" s="10">
        <v>134.09</v>
      </c>
      <c r="E114" s="64">
        <v>108.28</v>
      </c>
      <c r="F114" s="64">
        <v>84.88</v>
      </c>
      <c r="G114" s="27">
        <v>7.0499999999999993E-2</v>
      </c>
      <c r="H114" s="37">
        <v>4.7500000000000001E-2</v>
      </c>
      <c r="I114" s="27">
        <v>5.0799999999999998E-2</v>
      </c>
      <c r="J114" s="27">
        <v>6.2700000000000006E-2</v>
      </c>
      <c r="K114" s="27">
        <v>3.9899999999999998E-2</v>
      </c>
      <c r="L114" s="27">
        <v>4.6300000000000001E-2</v>
      </c>
      <c r="M114" s="27"/>
      <c r="N114" s="27">
        <f>Table167[[#This Row],[ERP (T12m)]]+Table167[[#This Row],[T.Bond Rate]]</f>
        <v>7.4899999999999994E-2</v>
      </c>
      <c r="O114" t="s">
        <v>183</v>
      </c>
    </row>
    <row r="115" spans="1:15">
      <c r="A115" s="59">
        <v>41670</v>
      </c>
      <c r="B115" s="61">
        <v>2824</v>
      </c>
      <c r="C115" s="37">
        <v>2.7400000000000001E-2</v>
      </c>
      <c r="D115" s="10">
        <v>134.09</v>
      </c>
      <c r="E115" s="64">
        <v>108.28</v>
      </c>
      <c r="F115" s="64" t="s">
        <v>185</v>
      </c>
      <c r="G115" s="27">
        <v>7.17E-2</v>
      </c>
      <c r="H115" s="37">
        <v>4.3700000000000003E-2</v>
      </c>
      <c r="I115" s="27">
        <v>4.7800000000000002E-2</v>
      </c>
      <c r="J115" s="27">
        <v>5.8999999999999997E-2</v>
      </c>
      <c r="K115" s="27">
        <v>3.7600000000000001E-2</v>
      </c>
      <c r="L115" s="27">
        <v>4.4400000000000002E-2</v>
      </c>
      <c r="M115" s="27"/>
      <c r="N115" s="27">
        <f>Table167[[#This Row],[ERP (T12m)]]+Table167[[#This Row],[T.Bond Rate]]</f>
        <v>7.5200000000000003E-2</v>
      </c>
    </row>
    <row r="116" spans="1:15">
      <c r="A116" s="59">
        <v>41698</v>
      </c>
      <c r="B116" s="61">
        <v>2714</v>
      </c>
      <c r="C116" s="37">
        <v>2.87E-2</v>
      </c>
      <c r="D116" s="10">
        <v>134.09</v>
      </c>
      <c r="E116" s="64">
        <v>108.28</v>
      </c>
      <c r="F116" s="64">
        <v>84.88</v>
      </c>
      <c r="G116" s="27">
        <v>7.22E-2</v>
      </c>
      <c r="H116" s="37">
        <v>4.4900000000000002E-2</v>
      </c>
      <c r="I116" s="27">
        <v>4.9599999999999998E-2</v>
      </c>
      <c r="J116" s="27">
        <v>6.1199999999999997E-2</v>
      </c>
      <c r="K116" s="27">
        <v>3.9E-2</v>
      </c>
      <c r="L116" s="27">
        <v>4.5600000000000002E-2</v>
      </c>
      <c r="M116" s="27"/>
      <c r="N116" s="27">
        <f>Table167[[#This Row],[ERP (T12m)]]+Table167[[#This Row],[T.Bond Rate]]</f>
        <v>7.8299999999999995E-2</v>
      </c>
    </row>
    <row r="117" spans="1:15">
      <c r="A117" s="59">
        <v>41729</v>
      </c>
      <c r="B117" s="61">
        <v>2641</v>
      </c>
      <c r="C117" s="37">
        <v>2.7400000000000001E-2</v>
      </c>
      <c r="D117" s="10">
        <v>132.62</v>
      </c>
      <c r="E117" s="64">
        <v>110.03</v>
      </c>
      <c r="F117" s="64">
        <v>88.8</v>
      </c>
      <c r="G117" s="27">
        <v>7.17E-2</v>
      </c>
      <c r="H117" s="37">
        <v>4.9500000000000002E-2</v>
      </c>
      <c r="I117" s="27">
        <v>5.1900000000000002E-2</v>
      </c>
      <c r="J117" s="27">
        <v>6.2300000000000001E-2</v>
      </c>
      <c r="K117" s="27">
        <v>4.2000000000000003E-2</v>
      </c>
      <c r="L117" s="27">
        <v>4.7500000000000001E-2</v>
      </c>
      <c r="M117" s="27"/>
      <c r="N117" s="27">
        <f>Table167[[#This Row],[ERP (T12m)]]+Table167[[#This Row],[T.Bond Rate]]</f>
        <v>7.9300000000000009E-2</v>
      </c>
      <c r="O117" t="s">
        <v>183</v>
      </c>
    </row>
    <row r="118" spans="1:15">
      <c r="A118" s="59">
        <v>41759</v>
      </c>
      <c r="B118" s="61">
        <v>2648</v>
      </c>
      <c r="C118" s="37">
        <v>2.9499999999999998E-2</v>
      </c>
      <c r="D118" s="10">
        <v>132.62</v>
      </c>
      <c r="E118" s="64">
        <v>110.03</v>
      </c>
      <c r="F118" s="64">
        <v>88.8</v>
      </c>
      <c r="G118" s="27">
        <v>7.2400000000000006E-2</v>
      </c>
      <c r="H118" s="37">
        <v>4.8500000000000001E-2</v>
      </c>
      <c r="I118" s="27">
        <v>5.16E-2</v>
      </c>
      <c r="J118" s="27">
        <v>6.1899999999999997E-2</v>
      </c>
      <c r="K118" s="27">
        <v>4.1700000000000001E-2</v>
      </c>
      <c r="L118" s="27">
        <v>4.7800000000000002E-2</v>
      </c>
      <c r="M118" s="27"/>
      <c r="N118" s="27">
        <f>Table167[[#This Row],[ERP (T12m)]]+Table167[[#This Row],[T.Bond Rate]]</f>
        <v>8.1100000000000005E-2</v>
      </c>
    </row>
    <row r="119" spans="1:15" ht="15" customHeight="1">
      <c r="A119" s="59">
        <v>41790</v>
      </c>
      <c r="B119" s="61">
        <v>2705</v>
      </c>
      <c r="C119" s="37">
        <v>2.87E-2</v>
      </c>
      <c r="D119" s="10">
        <f>D118</f>
        <v>132.62</v>
      </c>
      <c r="E119" s="64">
        <f>E118</f>
        <v>110.03</v>
      </c>
      <c r="F119" s="64">
        <f>F118</f>
        <v>88.8</v>
      </c>
      <c r="G119" s="27">
        <v>7.22E-2</v>
      </c>
      <c r="H119" s="37">
        <v>4.7800000000000002E-2</v>
      </c>
      <c r="I119" s="27">
        <v>5.0599999999999999E-2</v>
      </c>
      <c r="J119" s="27">
        <v>6.0699999999999997E-2</v>
      </c>
      <c r="K119" s="27">
        <v>4.0899999999999999E-2</v>
      </c>
      <c r="L119" s="27">
        <v>4.65E-2</v>
      </c>
      <c r="M119" s="27"/>
      <c r="N119" s="27">
        <f>Table167[[#This Row],[ERP (T12m)]]+Table167[[#This Row],[T.Bond Rate]]</f>
        <v>7.9299999999999995E-2</v>
      </c>
    </row>
    <row r="120" spans="1:15">
      <c r="A120" s="59">
        <v>41820</v>
      </c>
      <c r="B120" s="61">
        <v>2718</v>
      </c>
      <c r="C120" s="37">
        <v>2.8500000000000001E-2</v>
      </c>
      <c r="D120" s="10">
        <v>136.51</v>
      </c>
      <c r="E120" s="64">
        <v>117.55</v>
      </c>
      <c r="F120" s="64">
        <v>88.8</v>
      </c>
      <c r="G120" s="27">
        <v>7.2099999999999997E-2</v>
      </c>
      <c r="H120" s="37">
        <v>4.99E-2</v>
      </c>
      <c r="I120" s="27">
        <v>5.3699999999999998E-2</v>
      </c>
      <c r="J120" s="27">
        <v>6.2199999999999998E-2</v>
      </c>
      <c r="K120" s="27">
        <v>4.0800000000000003E-2</v>
      </c>
      <c r="L120" s="27">
        <v>4.9700000000000001E-2</v>
      </c>
      <c r="M120" s="27"/>
      <c r="N120" s="27">
        <f>Table167[[#This Row],[ERP (T12m)]]+Table167[[#This Row],[T.Bond Rate]]</f>
        <v>8.2199999999999995E-2</v>
      </c>
      <c r="O120" t="s">
        <v>151</v>
      </c>
    </row>
    <row r="121" spans="1:15">
      <c r="A121" s="59">
        <v>41851</v>
      </c>
      <c r="B121" s="61">
        <v>2816</v>
      </c>
      <c r="C121" s="37">
        <v>2.9600000000000001E-2</v>
      </c>
      <c r="D121" s="10">
        <v>136.51</v>
      </c>
      <c r="E121" s="64">
        <v>117.55</v>
      </c>
      <c r="F121" s="64">
        <v>88.8</v>
      </c>
      <c r="G121" s="27">
        <v>7.2499999999999995E-2</v>
      </c>
      <c r="H121" s="37">
        <v>4.7800000000000002E-2</v>
      </c>
      <c r="I121" s="27">
        <v>5.1799999999999999E-2</v>
      </c>
      <c r="J121" s="27">
        <v>0.06</v>
      </c>
      <c r="K121" s="27">
        <v>3.9300000000000002E-2</v>
      </c>
      <c r="L121" s="27">
        <v>4.8500000000000001E-2</v>
      </c>
      <c r="M121" s="27"/>
      <c r="N121" s="27">
        <f>Table167[[#This Row],[ERP (T12m)]]+Table167[[#This Row],[T.Bond Rate]]</f>
        <v>8.14E-2</v>
      </c>
    </row>
    <row r="122" spans="1:15">
      <c r="A122" s="59">
        <v>41882</v>
      </c>
      <c r="B122" s="61">
        <v>2902</v>
      </c>
      <c r="C122" s="37">
        <v>2.86E-2</v>
      </c>
      <c r="D122" s="10">
        <v>136.51</v>
      </c>
      <c r="E122" s="64">
        <v>117.55</v>
      </c>
      <c r="F122" s="64">
        <v>88.8</v>
      </c>
      <c r="G122" s="27">
        <v>7.2099999999999997E-2</v>
      </c>
      <c r="H122" s="37">
        <v>4.6800000000000001E-2</v>
      </c>
      <c r="I122" s="27">
        <v>5.04E-2</v>
      </c>
      <c r="J122" s="27">
        <v>5.8400000000000001E-2</v>
      </c>
      <c r="K122" s="27">
        <v>3.8199999999999998E-2</v>
      </c>
      <c r="L122" s="27">
        <v>4.7199999999999999E-2</v>
      </c>
      <c r="M122" s="27"/>
      <c r="N122" s="27">
        <f>Table167[[#This Row],[ERP (T12m)]]+Table167[[#This Row],[T.Bond Rate]]</f>
        <v>7.9000000000000001E-2</v>
      </c>
    </row>
    <row r="123" spans="1:15">
      <c r="A123" s="59">
        <v>41912</v>
      </c>
      <c r="B123" s="61">
        <v>2914</v>
      </c>
      <c r="C123" s="37">
        <v>3.0700000000000002E-2</v>
      </c>
      <c r="D123" s="10">
        <v>146.33000000000001</v>
      </c>
      <c r="E123" s="64">
        <v>126.7</v>
      </c>
      <c r="F123" s="64">
        <v>88.8</v>
      </c>
      <c r="G123" s="27">
        <v>7.2800000000000004E-2</v>
      </c>
      <c r="H123" s="37">
        <v>4.99E-2</v>
      </c>
      <c r="I123" s="27">
        <v>5.3800000000000001E-2</v>
      </c>
      <c r="J123" s="27">
        <v>6.2E-2</v>
      </c>
      <c r="K123" s="27">
        <v>3.7900000000000003E-2</v>
      </c>
      <c r="L123" s="27">
        <v>5.0200000000000002E-2</v>
      </c>
      <c r="M123" s="27"/>
      <c r="N123" s="27">
        <f>Table167[[#This Row],[ERP (T12m)]]+Table167[[#This Row],[T.Bond Rate]]</f>
        <v>8.4500000000000006E-2</v>
      </c>
      <c r="O123" t="s">
        <v>151</v>
      </c>
    </row>
    <row r="124" spans="1:15">
      <c r="A124" s="59">
        <v>41943</v>
      </c>
      <c r="B124" s="61">
        <v>2712</v>
      </c>
      <c r="C124" s="37">
        <v>3.1600000000000003E-2</v>
      </c>
      <c r="D124" s="10">
        <v>146.33000000000001</v>
      </c>
      <c r="E124" s="64">
        <v>126.7</v>
      </c>
      <c r="F124" s="64">
        <v>88.8</v>
      </c>
      <c r="G124" s="27">
        <v>7.3200000000000001E-2</v>
      </c>
      <c r="H124" s="37">
        <v>5.3199999999999997E-2</v>
      </c>
      <c r="I124" s="27">
        <v>5.7599999999999998E-2</v>
      </c>
      <c r="J124" s="27">
        <v>6.6400000000000001E-2</v>
      </c>
      <c r="K124" s="27">
        <v>4.0599999999999997E-2</v>
      </c>
      <c r="L124" s="27">
        <v>5.3800000000000001E-2</v>
      </c>
      <c r="M124" s="27"/>
      <c r="N124" s="27">
        <f>Table167[[#This Row],[ERP (T12m)]]+Table167[[#This Row],[T.Bond Rate]]</f>
        <v>8.9200000000000002E-2</v>
      </c>
    </row>
    <row r="125" spans="1:15">
      <c r="A125" s="59">
        <v>41973</v>
      </c>
      <c r="B125" s="61">
        <v>2760</v>
      </c>
      <c r="C125" s="37">
        <v>2.9899999999999999E-2</v>
      </c>
      <c r="D125" s="10">
        <v>146.33000000000001</v>
      </c>
      <c r="E125" s="64">
        <v>126.7</v>
      </c>
      <c r="F125" s="64">
        <v>88.8</v>
      </c>
      <c r="G125" s="27">
        <v>7.2599999999999998E-2</v>
      </c>
      <c r="H125" s="37">
        <v>5.2900000000000003E-2</v>
      </c>
      <c r="I125" s="27">
        <v>5.6800000000000003E-2</v>
      </c>
      <c r="J125" s="27">
        <v>6.5500000000000003E-2</v>
      </c>
      <c r="K125" s="27">
        <v>0.04</v>
      </c>
      <c r="L125" s="27">
        <v>5.3199999999999997E-2</v>
      </c>
      <c r="M125" s="27"/>
      <c r="N125" s="27">
        <f>Table167[[#This Row],[ERP (T12m)]]+Table167[[#This Row],[T.Bond Rate]]</f>
        <v>8.6699999999999999E-2</v>
      </c>
    </row>
    <row r="126" spans="1:15">
      <c r="A126" s="59">
        <v>42004</v>
      </c>
      <c r="B126" s="61">
        <v>2507</v>
      </c>
      <c r="C126" s="37">
        <v>2.6800000000000001E-2</v>
      </c>
      <c r="D126" s="10">
        <v>120.81</v>
      </c>
      <c r="E126" s="64">
        <v>136.65</v>
      </c>
      <c r="F126" s="64">
        <v>93.7</v>
      </c>
      <c r="G126" s="27">
        <v>4.1200000000000001E-2</v>
      </c>
      <c r="H126" s="37">
        <v>5.5500000000000001E-2</v>
      </c>
      <c r="I126" s="27">
        <v>5.96E-2</v>
      </c>
      <c r="J126" s="27">
        <v>5.2699999999999997E-2</v>
      </c>
      <c r="K126" s="27">
        <v>4.0899999999999999E-2</v>
      </c>
      <c r="L126" s="27">
        <v>5.6000000000000001E-2</v>
      </c>
      <c r="M126" s="27"/>
      <c r="N126" s="27">
        <f>Table167[[#This Row],[ERP (T12m)]]+Table167[[#This Row],[T.Bond Rate]]</f>
        <v>8.6400000000000005E-2</v>
      </c>
      <c r="O126" t="s">
        <v>183</v>
      </c>
    </row>
    <row r="127" spans="1:15">
      <c r="A127" s="59">
        <v>42035</v>
      </c>
      <c r="B127" s="61">
        <v>2704</v>
      </c>
      <c r="C127" s="37">
        <v>2.63E-2</v>
      </c>
      <c r="D127" s="10">
        <v>120.81</v>
      </c>
      <c r="E127" s="64">
        <v>136.65</v>
      </c>
      <c r="F127" s="64">
        <v>93.7</v>
      </c>
      <c r="G127" s="27">
        <v>4.1099999999999998E-2</v>
      </c>
      <c r="H127" s="37">
        <v>5.16E-2</v>
      </c>
      <c r="I127" s="27">
        <v>5.5300000000000002E-2</v>
      </c>
      <c r="J127" s="27">
        <v>4.8899999999999999E-2</v>
      </c>
      <c r="K127" s="27">
        <v>3.7999999999999999E-2</v>
      </c>
      <c r="L127" s="27">
        <v>5.2499999999999998E-2</v>
      </c>
      <c r="M127" s="27"/>
      <c r="N127" s="27">
        <f>Table167[[#This Row],[ERP (T12m)]]+Table167[[#This Row],[T.Bond Rate]]</f>
        <v>8.1600000000000006E-2</v>
      </c>
    </row>
    <row r="128" spans="1:15" ht="13" customHeight="1">
      <c r="A128" s="59">
        <v>42063</v>
      </c>
      <c r="B128" s="61">
        <v>2785</v>
      </c>
      <c r="C128" s="37">
        <v>2.7199999999999998E-2</v>
      </c>
      <c r="D128" s="10">
        <v>120.81</v>
      </c>
      <c r="E128" s="64">
        <v>136.65</v>
      </c>
      <c r="F128" s="64">
        <v>93.7</v>
      </c>
      <c r="G128" s="27">
        <v>4.1399999999999999E-2</v>
      </c>
      <c r="H128" s="37">
        <v>4.9799999999999997E-2</v>
      </c>
      <c r="I128" s="27">
        <v>5.3600000000000002E-2</v>
      </c>
      <c r="J128" s="27">
        <v>4.7399999999999998E-2</v>
      </c>
      <c r="K128" s="27">
        <v>3.6799999999999999E-2</v>
      </c>
      <c r="L128" s="27">
        <v>5.0500000000000003E-2</v>
      </c>
      <c r="M128" s="27"/>
      <c r="N128" s="27">
        <f>Table167[[#This Row],[ERP (T12m)]]+Table167[[#This Row],[T.Bond Rate]]</f>
        <v>8.0799999999999997E-2</v>
      </c>
    </row>
    <row r="129" spans="1:15">
      <c r="A129" s="59">
        <v>42094</v>
      </c>
      <c r="B129" s="61">
        <v>2834</v>
      </c>
      <c r="C129" s="37">
        <v>2.4E-2</v>
      </c>
      <c r="D129" s="10">
        <v>138.09</v>
      </c>
      <c r="E129" s="64">
        <v>150.5</v>
      </c>
      <c r="F129" s="64">
        <v>97.45</v>
      </c>
      <c r="G129" s="27">
        <v>4.07E-2</v>
      </c>
      <c r="H129" s="37">
        <v>5.0799999999999998E-2</v>
      </c>
      <c r="I129" s="27">
        <v>5.7500000000000002E-2</v>
      </c>
      <c r="J129" s="27">
        <v>5.3600000000000002E-2</v>
      </c>
      <c r="K129" s="27">
        <v>3.7999999999999999E-2</v>
      </c>
      <c r="L129" s="27">
        <v>5.4100000000000002E-2</v>
      </c>
      <c r="M129" s="27"/>
      <c r="N129" s="27">
        <f>Table167[[#This Row],[ERP (T12m)]]+Table167[[#This Row],[T.Bond Rate]]</f>
        <v>8.1500000000000003E-2</v>
      </c>
      <c r="O129" t="s">
        <v>183</v>
      </c>
    </row>
    <row r="130" spans="1:15">
      <c r="A130" s="59">
        <v>42124</v>
      </c>
      <c r="B130" s="61">
        <v>2945</v>
      </c>
      <c r="C130" s="37">
        <v>2.5100000000000001E-2</v>
      </c>
      <c r="D130" s="10">
        <v>138.09</v>
      </c>
      <c r="E130" s="64">
        <v>150.5</v>
      </c>
      <c r="F130" s="64">
        <v>97.45</v>
      </c>
      <c r="G130" s="27">
        <v>4.1099999999999998E-2</v>
      </c>
      <c r="H130" s="37">
        <v>4.99E-2</v>
      </c>
      <c r="I130" s="27">
        <v>5.62E-2</v>
      </c>
      <c r="J130" s="27">
        <v>5.16E-2</v>
      </c>
      <c r="K130" s="27">
        <v>3.6600000000000001E-2</v>
      </c>
      <c r="L130" s="27">
        <v>5.2900000000000003E-2</v>
      </c>
      <c r="M130" s="27"/>
      <c r="N130" s="27">
        <f>Table167[[#This Row],[ERP (T12m)]]+Table167[[#This Row],[T.Bond Rate]]</f>
        <v>8.1299999999999997E-2</v>
      </c>
    </row>
    <row r="131" spans="1:15">
      <c r="A131" s="59">
        <v>42155</v>
      </c>
      <c r="B131" s="61">
        <v>2752</v>
      </c>
      <c r="C131" s="37">
        <v>2.1399999999999999E-2</v>
      </c>
      <c r="D131" s="10">
        <v>138.09</v>
      </c>
      <c r="E131" s="64">
        <v>150.5</v>
      </c>
      <c r="F131" s="64">
        <v>97.45</v>
      </c>
      <c r="G131" s="27">
        <v>3.6200000000000003E-2</v>
      </c>
      <c r="H131" s="37">
        <v>5.3800000000000001E-2</v>
      </c>
      <c r="I131" s="27">
        <v>5.9299999999999999E-2</v>
      </c>
      <c r="J131" s="27">
        <v>5.4399999999999997E-2</v>
      </c>
      <c r="K131" s="27">
        <v>3.8699999999999998E-2</v>
      </c>
      <c r="L131" s="27">
        <v>5.57E-2</v>
      </c>
      <c r="M131" s="27"/>
      <c r="N131" s="27">
        <f>Table167[[#This Row],[ERP (T12m)]]+Table167[[#This Row],[T.Bond Rate]]</f>
        <v>8.0699999999999994E-2</v>
      </c>
      <c r="O131" t="s">
        <v>198</v>
      </c>
    </row>
    <row r="132" spans="1:15">
      <c r="A132" s="59">
        <v>42185</v>
      </c>
      <c r="B132" s="61">
        <v>2942</v>
      </c>
      <c r="C132" s="37">
        <v>0.02</v>
      </c>
      <c r="D132" s="10">
        <v>143.32</v>
      </c>
      <c r="E132" s="64">
        <v>153.47</v>
      </c>
      <c r="F132" s="64">
        <v>98</v>
      </c>
      <c r="G132" s="27">
        <v>3.44E-2</v>
      </c>
      <c r="H132" s="37">
        <v>5.11E-2</v>
      </c>
      <c r="I132" s="27">
        <v>5.67E-2</v>
      </c>
      <c r="J132" s="27">
        <v>5.2999999999999999E-2</v>
      </c>
      <c r="K132" s="27">
        <v>3.6299999999999999E-2</v>
      </c>
      <c r="L132" s="27">
        <v>5.3400000000000003E-2</v>
      </c>
      <c r="M132" s="27"/>
      <c r="N132" s="27">
        <f>Table167[[#This Row],[ERP (T12m)]]+Table167[[#This Row],[T.Bond Rate]]</f>
        <v>7.6700000000000004E-2</v>
      </c>
      <c r="O132" t="s">
        <v>151</v>
      </c>
    </row>
    <row r="133" spans="1:15">
      <c r="A133" s="59">
        <v>42216</v>
      </c>
      <c r="B133" s="61">
        <v>2980</v>
      </c>
      <c r="C133" s="37">
        <v>2.0199999999999999E-2</v>
      </c>
      <c r="D133" s="10">
        <v>143.32</v>
      </c>
      <c r="E133" s="64">
        <v>153.47</v>
      </c>
      <c r="F133" s="64">
        <v>98</v>
      </c>
      <c r="G133" s="27">
        <v>3.4500000000000003E-2</v>
      </c>
      <c r="H133" s="37">
        <v>5.04E-2</v>
      </c>
      <c r="I133" s="27">
        <v>5.5899999999999998E-2</v>
      </c>
      <c r="J133" s="27">
        <v>5.2299999999999999E-2</v>
      </c>
      <c r="K133" s="27">
        <v>3.5799999999999998E-2</v>
      </c>
      <c r="L133" s="27">
        <v>5.3100000000000001E-2</v>
      </c>
      <c r="M133" s="27"/>
      <c r="N133" s="27">
        <f>Table167[[#This Row],[ERP (T12m)]]+Table167[[#This Row],[T.Bond Rate]]</f>
        <v>7.6100000000000001E-2</v>
      </c>
    </row>
    <row r="134" spans="1:15">
      <c r="A134" s="59">
        <v>42247</v>
      </c>
      <c r="B134" s="61">
        <v>2926</v>
      </c>
      <c r="C134" s="37">
        <v>1.4999999999999999E-2</v>
      </c>
      <c r="D134" s="10">
        <v>143.32</v>
      </c>
      <c r="E134" s="64">
        <v>153.47</v>
      </c>
      <c r="F134" s="64">
        <v>98</v>
      </c>
      <c r="G134" s="27">
        <v>3.2399999999999998E-2</v>
      </c>
      <c r="H134" s="37">
        <v>5.3199999999999997E-2</v>
      </c>
      <c r="I134" s="27">
        <v>5.7500000000000002E-2</v>
      </c>
      <c r="J134" s="27">
        <v>5.3699999999999998E-2</v>
      </c>
      <c r="K134" s="27">
        <v>3.6799999999999999E-2</v>
      </c>
      <c r="L134" s="27">
        <v>5.3999999999999999E-2</v>
      </c>
      <c r="M134" s="27"/>
      <c r="N134" s="27">
        <f>Table167[[#This Row],[ERP (T12m)]]+Table167[[#This Row],[T.Bond Rate]]</f>
        <v>7.2500000000000009E-2</v>
      </c>
    </row>
    <row r="135" spans="1:15">
      <c r="A135" s="59">
        <v>42277</v>
      </c>
      <c r="B135" s="61">
        <v>2977</v>
      </c>
      <c r="C135" s="37">
        <v>1.67E-2</v>
      </c>
      <c r="D135" s="10">
        <v>145.02000000000001</v>
      </c>
      <c r="E135" s="64">
        <v>151.19999999999999</v>
      </c>
      <c r="F135" s="64">
        <v>98.07</v>
      </c>
      <c r="G135" s="27">
        <v>3.3099999999999997E-2</v>
      </c>
      <c r="H135" s="37">
        <v>5.1999999999999998E-2</v>
      </c>
      <c r="I135" s="27">
        <v>5.5500000000000001E-2</v>
      </c>
      <c r="J135" s="27">
        <v>5.33E-2</v>
      </c>
      <c r="K135" s="27">
        <v>3.61E-2</v>
      </c>
      <c r="L135" s="27">
        <v>5.2200000000000003E-2</v>
      </c>
      <c r="M135" s="27"/>
      <c r="N135" s="27">
        <f>Table167[[#This Row],[ERP (T12m)]]+Table167[[#This Row],[T.Bond Rate]]</f>
        <v>7.22E-2</v>
      </c>
      <c r="O135" t="s">
        <v>183</v>
      </c>
    </row>
    <row r="136" spans="1:15">
      <c r="A136" s="59">
        <v>42308</v>
      </c>
      <c r="B136" s="61">
        <v>3038</v>
      </c>
      <c r="C136" s="37">
        <v>1.6799999999999999E-2</v>
      </c>
      <c r="D136" s="10">
        <v>145.02000000000001</v>
      </c>
      <c r="E136" s="64">
        <v>151.19999999999999</v>
      </c>
      <c r="F136" s="64">
        <v>98.07</v>
      </c>
      <c r="G136" s="27">
        <v>3.3099999999999997E-2</v>
      </c>
      <c r="H136" s="37">
        <v>5.0900000000000001E-2</v>
      </c>
      <c r="I136" s="27">
        <v>5.4399999999999997E-2</v>
      </c>
      <c r="J136" s="27">
        <v>5.2200000000000003E-2</v>
      </c>
      <c r="K136" s="27">
        <v>3.5400000000000001E-2</v>
      </c>
      <c r="L136" s="27">
        <v>5.16E-2</v>
      </c>
      <c r="M136" s="27"/>
      <c r="N136" s="27">
        <f>Table167[[#This Row],[ERP (T12m)]]+Table167[[#This Row],[T.Bond Rate]]</f>
        <v>7.1199999999999999E-2</v>
      </c>
    </row>
    <row r="137" spans="1:15">
      <c r="A137" s="59">
        <v>42338</v>
      </c>
      <c r="B137" s="61">
        <v>3141</v>
      </c>
      <c r="C137" s="37">
        <v>1.78E-2</v>
      </c>
      <c r="D137" s="10">
        <v>145.02000000000001</v>
      </c>
      <c r="E137" s="64">
        <v>151.19999999999999</v>
      </c>
      <c r="F137" s="64">
        <v>98.07</v>
      </c>
      <c r="G137" s="27">
        <v>3.3500000000000002E-2</v>
      </c>
      <c r="H137" s="37">
        <v>4.8899999999999999E-2</v>
      </c>
      <c r="I137" s="27">
        <v>5.2499999999999998E-2</v>
      </c>
      <c r="J137" s="27">
        <v>5.04E-2</v>
      </c>
      <c r="K137" s="27">
        <v>3.4099999999999998E-2</v>
      </c>
      <c r="L137" s="27">
        <v>4.9000000000000002E-2</v>
      </c>
      <c r="M137" s="27"/>
      <c r="N137" s="27">
        <f>Table167[[#This Row],[ERP (T12m)]]+Table167[[#This Row],[T.Bond Rate]]</f>
        <v>7.0300000000000001E-2</v>
      </c>
    </row>
    <row r="138" spans="1:15">
      <c r="A138" s="59">
        <v>42369</v>
      </c>
      <c r="B138" s="61">
        <v>3231</v>
      </c>
      <c r="C138" s="37">
        <v>1.9199999999999998E-2</v>
      </c>
      <c r="D138" s="10">
        <v>157.4</v>
      </c>
      <c r="E138" s="64">
        <v>150.5</v>
      </c>
      <c r="F138" s="64">
        <v>98.01</v>
      </c>
      <c r="G138" s="27">
        <v>3.9600000000000003E-2</v>
      </c>
      <c r="H138" s="37">
        <v>5.0599999999999999E-2</v>
      </c>
      <c r="I138" s="27">
        <v>5.1999999999999998E-2</v>
      </c>
      <c r="J138" s="27">
        <v>5.4300000000000001E-2</v>
      </c>
      <c r="K138" s="27">
        <v>3.39E-2</v>
      </c>
      <c r="L138" s="27">
        <v>4.8599999999999997E-2</v>
      </c>
      <c r="M138" s="27"/>
      <c r="N138" s="27">
        <f>Table167[[#This Row],[ERP (T12m)]]+Table167[[#This Row],[T.Bond Rate]]</f>
        <v>7.1199999999999999E-2</v>
      </c>
      <c r="O138" t="s">
        <v>183</v>
      </c>
    </row>
    <row r="139" spans="1:15">
      <c r="A139" s="59">
        <v>42400</v>
      </c>
      <c r="B139" s="61">
        <v>3226</v>
      </c>
      <c r="C139" s="37">
        <v>1.5100000000000001E-2</v>
      </c>
      <c r="D139" s="10">
        <v>157.4</v>
      </c>
      <c r="E139" s="64">
        <v>150.5</v>
      </c>
      <c r="F139" s="64">
        <v>98.01</v>
      </c>
      <c r="G139" s="27">
        <v>3.7900000000000003E-2</v>
      </c>
      <c r="H139" s="37">
        <v>5.2200000000000003E-2</v>
      </c>
      <c r="I139" s="27">
        <v>5.2400000000000002E-2</v>
      </c>
      <c r="J139" s="27">
        <v>5.4800000000000001E-2</v>
      </c>
      <c r="K139" s="27">
        <v>3.4200000000000001E-2</v>
      </c>
      <c r="L139" s="27">
        <v>4.9399999999999999E-2</v>
      </c>
      <c r="M139" s="27"/>
      <c r="N139" s="27">
        <f>Table167[[#This Row],[ERP (T12m)]]+Table167[[#This Row],[T.Bond Rate]]</f>
        <v>6.7500000000000004E-2</v>
      </c>
    </row>
    <row r="140" spans="1:15">
      <c r="A140" s="59">
        <v>42429</v>
      </c>
      <c r="B140" s="61">
        <v>2954</v>
      </c>
      <c r="C140" s="37">
        <v>1.1299999999999999E-2</v>
      </c>
      <c r="D140" s="10">
        <v>157.4</v>
      </c>
      <c r="E140" s="64">
        <v>150.5</v>
      </c>
      <c r="F140" s="64">
        <v>98.01</v>
      </c>
      <c r="G140" s="27">
        <v>3.3599999999999998E-2</v>
      </c>
      <c r="H140" s="37">
        <v>5.7700000000000001E-2</v>
      </c>
      <c r="I140" s="27">
        <v>5.6899999999999999E-2</v>
      </c>
      <c r="J140" s="27">
        <v>5.9400000000000001E-2</v>
      </c>
      <c r="K140" s="27">
        <v>3.7199999999999997E-2</v>
      </c>
      <c r="L140" s="27">
        <v>5.3600000000000002E-2</v>
      </c>
      <c r="M140" s="27"/>
      <c r="N140" s="27">
        <f>Table167[[#This Row],[ERP (T12m)]]+Table167[[#This Row],[T.Bond Rate]]</f>
        <v>6.8199999999999997E-2</v>
      </c>
      <c r="O140" t="s">
        <v>199</v>
      </c>
    </row>
    <row r="141" spans="1:15">
      <c r="A141" s="59">
        <v>42460</v>
      </c>
      <c r="B141" s="61">
        <v>2585</v>
      </c>
      <c r="C141" s="37">
        <v>6.7999999999999996E-3</v>
      </c>
      <c r="D141" s="10">
        <v>125.9</v>
      </c>
      <c r="E141" s="64">
        <v>146.30000000000001</v>
      </c>
      <c r="F141" s="64">
        <v>98.36</v>
      </c>
      <c r="G141" s="27">
        <v>3.1800000000000002E-2</v>
      </c>
      <c r="H141" s="37">
        <v>6.5199999999999994E-2</v>
      </c>
      <c r="I141" s="27">
        <v>6.1600000000000002E-2</v>
      </c>
      <c r="J141" s="27">
        <v>5.3100000000000001E-2</v>
      </c>
      <c r="K141" s="27">
        <v>4.1599999999999998E-2</v>
      </c>
      <c r="L141" s="27">
        <v>5.7599999999999998E-2</v>
      </c>
      <c r="M141" s="27">
        <v>6.0199999999999997E-2</v>
      </c>
      <c r="N141" s="27">
        <f>Table167[[#This Row],[ERP (T12m)]]+Table167[[#This Row],[T.Bond Rate]]</f>
        <v>6.8400000000000002E-2</v>
      </c>
      <c r="O141" t="s">
        <v>202</v>
      </c>
    </row>
    <row r="142" spans="1:15">
      <c r="A142" s="59">
        <v>42490</v>
      </c>
      <c r="B142" s="61">
        <v>2912.43</v>
      </c>
      <c r="C142" s="37">
        <v>6.4000000000000003E-3</v>
      </c>
      <c r="D142" s="10">
        <v>125.9</v>
      </c>
      <c r="E142" s="64">
        <v>146.30000000000001</v>
      </c>
      <c r="F142" s="64">
        <v>98.36</v>
      </c>
      <c r="G142" s="27">
        <v>3.1600000000000003E-2</v>
      </c>
      <c r="H142" s="37">
        <v>6.0299999999999999E-2</v>
      </c>
      <c r="I142" s="27">
        <v>5.6500000000000002E-2</v>
      </c>
      <c r="J142" s="27">
        <v>4.99E-2</v>
      </c>
      <c r="K142" s="27">
        <v>3.9300000000000002E-2</v>
      </c>
      <c r="L142" s="27">
        <v>5.3100000000000001E-2</v>
      </c>
      <c r="M142" s="27">
        <v>5.3900000000000003E-2</v>
      </c>
      <c r="N142" s="27">
        <f>Table167[[#This Row],[ERP (T12m)]]+Table167[[#This Row],[T.Bond Rate]]</f>
        <v>6.2899999999999998E-2</v>
      </c>
    </row>
    <row r="143" spans="1:15">
      <c r="A143" s="59">
        <v>42521</v>
      </c>
      <c r="B143" s="61">
        <v>3044</v>
      </c>
      <c r="C143" s="37">
        <v>6.6E-3</v>
      </c>
      <c r="D143" s="10">
        <v>125.9</v>
      </c>
      <c r="E143" s="64">
        <v>146.56</v>
      </c>
      <c r="F143" s="64">
        <v>101.46</v>
      </c>
      <c r="G143" s="27">
        <v>3.3300000000000003E-2</v>
      </c>
      <c r="H143" s="37">
        <v>5.8099999999999999E-2</v>
      </c>
      <c r="I143" s="27">
        <v>5.45E-2</v>
      </c>
      <c r="J143" s="27">
        <v>4.8099999999999997E-2</v>
      </c>
      <c r="K143" s="27">
        <v>3.7900000000000003E-2</v>
      </c>
      <c r="L143" s="27">
        <v>5.0900000000000001E-2</v>
      </c>
      <c r="M143" s="27">
        <v>5.3499999999999999E-2</v>
      </c>
      <c r="N143" s="27">
        <f>Table167[[#This Row],[ERP (T12m)]]+Table167[[#This Row],[T.Bond Rate]]</f>
        <v>6.1100000000000002E-2</v>
      </c>
      <c r="O143" t="s">
        <v>215</v>
      </c>
    </row>
    <row r="144" spans="1:15">
      <c r="A144" s="59">
        <v>42551</v>
      </c>
      <c r="B144" s="61">
        <v>3100</v>
      </c>
      <c r="C144" s="37">
        <v>6.6E-3</v>
      </c>
      <c r="D144" s="10">
        <v>154.66999999999999</v>
      </c>
      <c r="E144" s="64">
        <v>146.87</v>
      </c>
      <c r="F144" s="64">
        <v>99.97</v>
      </c>
      <c r="G144" s="27">
        <v>3.3300000000000003E-2</v>
      </c>
      <c r="H144" s="37">
        <v>5.6800000000000003E-2</v>
      </c>
      <c r="I144" s="27">
        <v>5.3699999999999998E-2</v>
      </c>
      <c r="J144" s="27">
        <v>5.6500000000000002E-2</v>
      </c>
      <c r="K144" s="27">
        <v>3.6700000000000003E-2</v>
      </c>
      <c r="L144" s="27">
        <v>5.0099999999999999E-2</v>
      </c>
      <c r="M144" s="27">
        <v>5.2299999999999999E-2</v>
      </c>
      <c r="N144" s="27">
        <f>Table167[[#This Row],[ERP (T12m)]]+Table167[[#This Row],[T.Bond Rate]]</f>
        <v>6.0299999999999999E-2</v>
      </c>
      <c r="O144" t="s">
        <v>216</v>
      </c>
    </row>
    <row r="145" spans="1:15">
      <c r="A145" s="59">
        <v>42582</v>
      </c>
      <c r="B145" s="61">
        <v>3271.12</v>
      </c>
      <c r="C145" s="37">
        <v>5.4999999999999997E-3</v>
      </c>
      <c r="D145" s="10">
        <v>154.66999999999999</v>
      </c>
      <c r="E145" s="64">
        <v>146.87</v>
      </c>
      <c r="F145" s="64">
        <v>99.97</v>
      </c>
      <c r="G145" s="27">
        <v>3.2800000000000003E-2</v>
      </c>
      <c r="H145" s="37">
        <v>5.4300000000000001E-2</v>
      </c>
      <c r="I145" s="27">
        <v>5.0999999999999997E-2</v>
      </c>
      <c r="J145" s="27">
        <v>5.3699999999999998E-2</v>
      </c>
      <c r="K145" s="27">
        <v>3.4799999999999998E-2</v>
      </c>
      <c r="L145" s="27">
        <v>4.7699999999999999E-2</v>
      </c>
      <c r="M145" s="27">
        <v>5.0099999999999999E-2</v>
      </c>
      <c r="N145" s="27">
        <f>Table167[[#This Row],[ERP (T12m)]]+Table167[[#This Row],[T.Bond Rate]]</f>
        <v>5.6499999999999995E-2</v>
      </c>
    </row>
    <row r="146" spans="1:15">
      <c r="A146" s="59">
        <v>42613</v>
      </c>
      <c r="B146" s="61">
        <v>3500</v>
      </c>
      <c r="C146" s="37">
        <v>7.1999999999999998E-3</v>
      </c>
      <c r="D146" s="10">
        <v>154.66999999999999</v>
      </c>
      <c r="E146" s="64">
        <v>146.87</v>
      </c>
      <c r="F146" s="64">
        <v>99.97</v>
      </c>
      <c r="G146" s="27">
        <v>3.3500000000000002E-2</v>
      </c>
      <c r="H146" s="37">
        <v>0.05</v>
      </c>
      <c r="I146" s="27">
        <v>4.7399999999999998E-2</v>
      </c>
      <c r="J146" s="27">
        <v>4.99E-2</v>
      </c>
      <c r="K146" s="27">
        <v>3.2399999999999998E-2</v>
      </c>
      <c r="L146" s="27">
        <v>4.3200000000000002E-2</v>
      </c>
      <c r="M146" s="27">
        <v>4.6199999999999998E-2</v>
      </c>
      <c r="N146" s="27">
        <f>Table167[[#This Row],[ERP (T12m)]]+Table167[[#This Row],[T.Bond Rate]]</f>
        <v>5.4599999999999996E-2</v>
      </c>
    </row>
    <row r="147" spans="1:15">
      <c r="A147" s="59">
        <v>42643</v>
      </c>
      <c r="B147" s="61">
        <v>3363</v>
      </c>
      <c r="C147" s="37">
        <v>6.8999999999999999E-3</v>
      </c>
      <c r="D147" s="10">
        <v>167.68</v>
      </c>
      <c r="E147" s="64">
        <v>137.63999999999999</v>
      </c>
      <c r="F147" s="64">
        <v>98.88</v>
      </c>
      <c r="G147" s="27">
        <v>3.8100000000000002E-2</v>
      </c>
      <c r="H147" s="37">
        <v>5.2900000000000003E-2</v>
      </c>
      <c r="I147" s="27">
        <v>4.7399999999999998E-2</v>
      </c>
      <c r="J147" s="27">
        <v>5.7599999999999998E-2</v>
      </c>
      <c r="K147" s="27">
        <v>3.4200000000000001E-2</v>
      </c>
      <c r="L147" s="27">
        <v>4.2900000000000001E-2</v>
      </c>
      <c r="M147" s="27">
        <v>4.9700000000000001E-2</v>
      </c>
      <c r="N147" s="27">
        <f>Table167[[#This Row],[ERP (T12m)]]+Table167[[#This Row],[T.Bond Rate]]</f>
        <v>5.4300000000000001E-2</v>
      </c>
      <c r="O147" t="s">
        <v>216</v>
      </c>
    </row>
    <row r="148" spans="1:15">
      <c r="A148" s="59">
        <v>42674</v>
      </c>
      <c r="B148" s="61">
        <v>3270</v>
      </c>
      <c r="C148" s="37">
        <v>8.8000000000000005E-3</v>
      </c>
      <c r="D148" s="10">
        <v>167.68</v>
      </c>
      <c r="E148" s="64">
        <v>137.63999999999999</v>
      </c>
      <c r="F148" s="64">
        <v>98.88</v>
      </c>
      <c r="G148" s="27">
        <v>3.8600000000000002E-2</v>
      </c>
      <c r="H148" s="37">
        <v>5.3499999999999999E-2</v>
      </c>
      <c r="I148" s="27">
        <v>4.8500000000000001E-2</v>
      </c>
      <c r="J148" s="27">
        <v>5.8999999999999997E-2</v>
      </c>
      <c r="K148" s="27">
        <v>3.5000000000000003E-2</v>
      </c>
      <c r="L148" s="27">
        <v>4.4400000000000002E-2</v>
      </c>
      <c r="M148" s="27">
        <v>5.0200000000000002E-2</v>
      </c>
      <c r="N148" s="27">
        <f>Table167[[#This Row],[ERP (T12m)]]+Table167[[#This Row],[T.Bond Rate]]</f>
        <v>5.7300000000000004E-2</v>
      </c>
    </row>
    <row r="149" spans="1:15">
      <c r="A149" s="59">
        <v>42704</v>
      </c>
      <c r="B149" s="61">
        <v>3622</v>
      </c>
      <c r="C149" s="37">
        <v>8.3999999999999995E-3</v>
      </c>
      <c r="D149" s="10">
        <v>167.68</v>
      </c>
      <c r="E149" s="64">
        <v>137.63999999999999</v>
      </c>
      <c r="F149" s="64">
        <v>98.88</v>
      </c>
      <c r="G149" s="27">
        <v>4.3700000000000003E-2</v>
      </c>
      <c r="H149" s="37">
        <v>4.9700000000000001E-2</v>
      </c>
      <c r="I149" s="27">
        <v>4.4900000000000002E-2</v>
      </c>
      <c r="J149" s="27">
        <v>5.4600000000000003E-2</v>
      </c>
      <c r="K149" s="27">
        <v>3.2399999999999998E-2</v>
      </c>
      <c r="L149" s="27">
        <v>4.5999999999999999E-2</v>
      </c>
      <c r="M149" s="27">
        <v>4.7300000000000002E-2</v>
      </c>
      <c r="N149" s="27">
        <f>Table167[[#This Row],[ERP (T12m)]]+Table167[[#This Row],[T.Bond Rate]]</f>
        <v>5.33E-2</v>
      </c>
      <c r="O149" t="s">
        <v>199</v>
      </c>
    </row>
    <row r="150" spans="1:15">
      <c r="A150" s="59">
        <v>42735</v>
      </c>
      <c r="B150" s="61">
        <v>3756</v>
      </c>
      <c r="C150" s="37">
        <v>9.2999999999999992E-3</v>
      </c>
      <c r="D150" s="10">
        <v>187.39</v>
      </c>
      <c r="E150" s="64">
        <v>127.78</v>
      </c>
      <c r="F150" s="64">
        <v>98.73</v>
      </c>
      <c r="G150" s="27">
        <v>5.4199999999999998E-2</v>
      </c>
      <c r="H150" s="37">
        <v>4.9399999999999999E-2</v>
      </c>
      <c r="I150" s="27">
        <v>4.2000000000000003E-2</v>
      </c>
      <c r="J150" s="27">
        <v>6.1199999999999997E-2</v>
      </c>
      <c r="K150" s="27">
        <v>3.2599999999999997E-2</v>
      </c>
      <c r="L150" s="27">
        <v>3.7999999999999999E-2</v>
      </c>
      <c r="M150" s="27">
        <v>4.7199999999999999E-2</v>
      </c>
      <c r="N150" s="27">
        <f>Table167[[#This Row],[ERP (T12m)]]+Table167[[#This Row],[T.Bond Rate]]</f>
        <v>5.1299999999999998E-2</v>
      </c>
      <c r="O150" t="s">
        <v>228</v>
      </c>
    </row>
    <row r="151" spans="1:15">
      <c r="A151" s="59">
        <v>42766</v>
      </c>
      <c r="B151" s="61">
        <v>3714</v>
      </c>
      <c r="C151" s="37">
        <v>1.11E-2</v>
      </c>
      <c r="D151" s="10">
        <v>187.39</v>
      </c>
      <c r="E151" s="64">
        <v>127.78</v>
      </c>
      <c r="F151" s="64">
        <v>98.73</v>
      </c>
      <c r="G151" s="27">
        <v>8.09E-2</v>
      </c>
      <c r="H151" s="37">
        <v>4.7500000000000001E-2</v>
      </c>
      <c r="I151" s="27">
        <v>4.7600000000000003E-2</v>
      </c>
      <c r="J151" s="27">
        <v>6.9099999999999995E-2</v>
      </c>
      <c r="K151" s="27">
        <v>3.6999999999999998E-2</v>
      </c>
      <c r="L151" s="27">
        <v>4.3099999999999999E-2</v>
      </c>
      <c r="M151" s="27">
        <v>4.8000000000000001E-2</v>
      </c>
      <c r="N151" s="27">
        <f>Table167[[#This Row],[ERP (T12m)]]+Table167[[#This Row],[T.Bond Rate]]</f>
        <v>5.8700000000000002E-2</v>
      </c>
      <c r="O151" t="s">
        <v>227</v>
      </c>
    </row>
    <row r="152" spans="1:15">
      <c r="A152" s="59">
        <v>42794</v>
      </c>
      <c r="B152" s="61">
        <v>3811</v>
      </c>
      <c r="C152" s="37">
        <v>1.43E-2</v>
      </c>
      <c r="D152" s="10">
        <v>187.39</v>
      </c>
      <c r="E152" s="64">
        <v>127.78</v>
      </c>
      <c r="F152" s="64">
        <v>98.73</v>
      </c>
      <c r="G152" s="27">
        <v>8.4400000000000003E-2</v>
      </c>
      <c r="H152" s="37">
        <v>4.5199999999999997E-2</v>
      </c>
      <c r="I152" s="27">
        <v>4.6300000000000001E-2</v>
      </c>
      <c r="J152" s="27">
        <v>6.7199999999999996E-2</v>
      </c>
      <c r="K152" s="27">
        <v>3.5999999999999997E-2</v>
      </c>
      <c r="L152" s="27">
        <v>4.19E-2</v>
      </c>
      <c r="M152" s="27">
        <v>4.5600000000000002E-2</v>
      </c>
      <c r="N152" s="27">
        <f>Table167[[#This Row],[ERP (T12m)]]+Table167[[#This Row],[T.Bond Rate]]</f>
        <v>6.0600000000000001E-2</v>
      </c>
    </row>
    <row r="153" spans="1:15">
      <c r="A153" s="59">
        <v>42825</v>
      </c>
      <c r="B153" s="61">
        <v>3973</v>
      </c>
      <c r="C153" s="37">
        <v>1.7500000000000002E-2</v>
      </c>
      <c r="D153" s="10">
        <v>193.22</v>
      </c>
      <c r="E153" s="64">
        <v>118.65</v>
      </c>
      <c r="F153" s="64">
        <v>108.83</v>
      </c>
      <c r="G153" s="27">
        <v>8.7599999999999997E-2</v>
      </c>
      <c r="H153" s="37">
        <v>4.2200000000000001E-2</v>
      </c>
      <c r="I153" s="27">
        <v>4.1399999999999999E-2</v>
      </c>
      <c r="J153" s="27">
        <v>6.6600000000000006E-2</v>
      </c>
      <c r="K153" s="27">
        <v>3.8100000000000002E-2</v>
      </c>
      <c r="L153" s="27">
        <v>3.6700000000000003E-2</v>
      </c>
      <c r="M153" s="27">
        <v>4.2599999999999999E-2</v>
      </c>
      <c r="N153" s="27">
        <f>Table167[[#This Row],[ERP (T12m)]]+Table167[[#This Row],[T.Bond Rate]]</f>
        <v>5.8900000000000001E-2</v>
      </c>
      <c r="O153" t="s">
        <v>216</v>
      </c>
    </row>
    <row r="154" spans="1:15">
      <c r="A154" s="59">
        <v>42855</v>
      </c>
      <c r="B154" s="61">
        <v>4182</v>
      </c>
      <c r="C154" s="37">
        <v>1.6299999999999999E-2</v>
      </c>
      <c r="D154" s="10">
        <v>193.22</v>
      </c>
      <c r="E154" s="64">
        <v>118.65</v>
      </c>
      <c r="F154" s="64">
        <v>108.83</v>
      </c>
      <c r="G154" s="27">
        <v>8.9700000000000002E-2</v>
      </c>
      <c r="H154" s="37">
        <v>4.07E-2</v>
      </c>
      <c r="I154" s="27">
        <v>3.9899999999999998E-2</v>
      </c>
      <c r="J154" s="27">
        <v>6.4199999999999993E-2</v>
      </c>
      <c r="K154" s="27">
        <v>3.6700000000000003E-2</v>
      </c>
      <c r="L154" s="27">
        <v>3.5499999999999997E-2</v>
      </c>
      <c r="M154" s="27">
        <v>4.1099999999999998E-2</v>
      </c>
      <c r="N154" s="27">
        <f>Table167[[#This Row],[ERP (T12m)]]+Table167[[#This Row],[T.Bond Rate]]</f>
        <v>5.62E-2</v>
      </c>
    </row>
    <row r="155" spans="1:15">
      <c r="A155" s="59">
        <v>42886</v>
      </c>
      <c r="B155" s="61">
        <v>4204</v>
      </c>
      <c r="C155" s="37">
        <v>1.5800000000000002E-2</v>
      </c>
      <c r="D155" s="10">
        <v>193.22</v>
      </c>
      <c r="E155" s="64">
        <v>118.65</v>
      </c>
      <c r="F155" s="64">
        <v>108.83</v>
      </c>
      <c r="G155" s="27">
        <v>9.69E-2</v>
      </c>
      <c r="H155" s="37">
        <v>4.2000000000000003E-2</v>
      </c>
      <c r="I155" s="27">
        <v>4.1000000000000002E-2</v>
      </c>
      <c r="J155" s="27">
        <v>6.59E-2</v>
      </c>
      <c r="K155" s="27">
        <v>3.7699999999999997E-2</v>
      </c>
      <c r="L155" s="27">
        <v>3.61E-2</v>
      </c>
      <c r="M155" s="27">
        <v>4.24E-2</v>
      </c>
      <c r="N155" s="27">
        <f>Table167[[#This Row],[ERP (T12m)]]+Table167[[#This Row],[T.Bond Rate]]</f>
        <v>5.6800000000000003E-2</v>
      </c>
    </row>
    <row r="156" spans="1:15">
      <c r="A156" s="59">
        <v>42916</v>
      </c>
      <c r="B156" s="61">
        <v>4298</v>
      </c>
      <c r="C156" s="37">
        <v>1.47E-2</v>
      </c>
      <c r="D156" s="64">
        <v>209</v>
      </c>
      <c r="E156" s="64">
        <v>116.17</v>
      </c>
      <c r="F156" s="64">
        <v>110.79</v>
      </c>
      <c r="G156" s="27">
        <v>9.7900000000000001E-2</v>
      </c>
      <c r="H156" s="37">
        <v>4.3099999999999999E-2</v>
      </c>
      <c r="I156" s="27">
        <v>3.9600000000000003E-2</v>
      </c>
      <c r="J156" s="27">
        <v>7.0099999999999996E-2</v>
      </c>
      <c r="K156" s="27">
        <v>3.78E-2</v>
      </c>
      <c r="L156" s="27">
        <v>3.4799999999999998E-2</v>
      </c>
      <c r="M156" s="27">
        <v>4.3799999999999999E-2</v>
      </c>
      <c r="N156" s="27">
        <f>Table167[[#This Row],[ERP (T12m)]]+Table167[[#This Row],[T.Bond Rate]]</f>
        <v>5.4300000000000001E-2</v>
      </c>
      <c r="O156" t="s">
        <v>216</v>
      </c>
    </row>
    <row r="157" spans="1:15">
      <c r="A157" s="59">
        <v>42947</v>
      </c>
      <c r="B157" s="61">
        <v>4395</v>
      </c>
      <c r="C157" s="37">
        <v>1.23E-2</v>
      </c>
      <c r="D157" s="64">
        <v>209</v>
      </c>
      <c r="E157" s="64">
        <v>116.17</v>
      </c>
      <c r="F157" s="64">
        <v>110.79</v>
      </c>
      <c r="G157" s="27">
        <v>9.7699999999999995E-2</v>
      </c>
      <c r="H157" s="37">
        <v>4.3099999999999999E-2</v>
      </c>
      <c r="I157" s="27">
        <v>3.9100000000000003E-2</v>
      </c>
      <c r="J157" s="27">
        <v>6.9099999999999995E-2</v>
      </c>
      <c r="K157" s="27">
        <v>3.73E-2</v>
      </c>
      <c r="L157" s="27">
        <v>3.4700000000000002E-2</v>
      </c>
      <c r="M157" s="27">
        <v>4.3799999999999999E-2</v>
      </c>
      <c r="N157" s="27">
        <f>Table167[[#This Row],[ERP (T12m)]]+Table167[[#This Row],[T.Bond Rate]]</f>
        <v>5.1400000000000001E-2</v>
      </c>
    </row>
    <row r="158" spans="1:15">
      <c r="A158" s="59">
        <v>42978</v>
      </c>
      <c r="B158" s="61">
        <v>4523</v>
      </c>
      <c r="C158" s="37">
        <v>1.3100000000000001E-2</v>
      </c>
      <c r="D158" s="64">
        <v>209</v>
      </c>
      <c r="E158" s="64">
        <v>116.17</v>
      </c>
      <c r="F158" s="64">
        <v>110.79</v>
      </c>
      <c r="G158" s="27">
        <v>0.1231</v>
      </c>
      <c r="H158" s="37">
        <v>4.6100000000000002E-2</v>
      </c>
      <c r="I158" s="27">
        <v>4.2099999999999999E-2</v>
      </c>
      <c r="J158" s="27">
        <v>7.3999999999999996E-2</v>
      </c>
      <c r="K158" s="27">
        <v>4.02E-2</v>
      </c>
      <c r="L158" s="27">
        <v>3.8100000000000002E-2</v>
      </c>
      <c r="M158" s="27">
        <v>4.7E-2</v>
      </c>
      <c r="N158" s="27">
        <f>Table167[[#This Row],[ERP (T12m)]]+Table167[[#This Row],[T.Bond Rate]]</f>
        <v>5.5199999999999999E-2</v>
      </c>
      <c r="O158" t="s">
        <v>215</v>
      </c>
    </row>
    <row r="159" spans="1:15">
      <c r="A159" s="59">
        <v>43008</v>
      </c>
      <c r="B159" s="61">
        <v>4308</v>
      </c>
      <c r="C159" s="37">
        <v>1.52E-2</v>
      </c>
      <c r="D159" s="10">
        <v>209.49</v>
      </c>
      <c r="E159" s="64">
        <v>129.76</v>
      </c>
      <c r="F159" s="64">
        <v>112.58</v>
      </c>
      <c r="G159" s="27">
        <v>0.123</v>
      </c>
      <c r="H159" s="37">
        <v>4.8399999999999999E-2</v>
      </c>
      <c r="I159" s="27">
        <v>4.87E-2</v>
      </c>
      <c r="J159" s="27">
        <v>7.7100000000000002E-2</v>
      </c>
      <c r="K159" s="27">
        <v>4.2500000000000003E-2</v>
      </c>
      <c r="L159" s="27">
        <v>4.4600000000000001E-2</v>
      </c>
      <c r="M159" s="27">
        <v>4.9299999999999997E-2</v>
      </c>
      <c r="N159" s="27">
        <f>Table167[[#This Row],[ERP (T12m)]]+Table167[[#This Row],[T.Bond Rate]]</f>
        <v>6.3899999999999998E-2</v>
      </c>
      <c r="O159" t="s">
        <v>216</v>
      </c>
    </row>
    <row r="160" spans="1:15">
      <c r="A160" s="59">
        <v>43039</v>
      </c>
      <c r="B160" s="61">
        <v>4605</v>
      </c>
      <c r="C160" s="37">
        <v>1.5599999999999999E-2</v>
      </c>
      <c r="D160" s="10">
        <v>209.49</v>
      </c>
      <c r="E160" s="64">
        <v>129.76</v>
      </c>
      <c r="F160" s="64">
        <v>112.58</v>
      </c>
      <c r="G160" s="27">
        <v>0.1239</v>
      </c>
      <c r="H160" s="37">
        <v>4.53E-2</v>
      </c>
      <c r="I160" s="27">
        <v>4.58E-2</v>
      </c>
      <c r="J160" s="27">
        <v>7.2499999999999995E-2</v>
      </c>
      <c r="K160" s="27">
        <v>3.9899999999999998E-2</v>
      </c>
      <c r="L160" s="27">
        <v>4.2200000000000001E-2</v>
      </c>
      <c r="M160" s="27">
        <v>4.6199999999999998E-2</v>
      </c>
      <c r="N160" s="27">
        <f>Table167[[#This Row],[ERP (T12m)]]+Table167[[#This Row],[T.Bond Rate]]</f>
        <v>6.1399999999999996E-2</v>
      </c>
      <c r="O160" t="s">
        <v>216</v>
      </c>
    </row>
    <row r="161" spans="1:15">
      <c r="A161" s="59">
        <v>43069</v>
      </c>
      <c r="B161" s="61">
        <v>4567</v>
      </c>
      <c r="C161" s="37">
        <v>1.4500000000000001E-2</v>
      </c>
      <c r="D161" s="10">
        <v>209.49</v>
      </c>
      <c r="E161" s="64">
        <v>129.76</v>
      </c>
      <c r="F161" s="64">
        <v>112.58</v>
      </c>
      <c r="G161" s="27">
        <v>0.13200000000000001</v>
      </c>
      <c r="H161" s="37">
        <v>4.7699999999999999E-2</v>
      </c>
      <c r="I161" s="27">
        <v>4.7899999999999998E-2</v>
      </c>
      <c r="J161" s="27">
        <v>7.5600000000000001E-2</v>
      </c>
      <c r="K161" s="27">
        <v>4.1700000000000001E-2</v>
      </c>
      <c r="L161" s="27">
        <v>4.3900000000000002E-2</v>
      </c>
      <c r="M161" s="27">
        <v>4.8500000000000001E-2</v>
      </c>
      <c r="N161" s="27">
        <f>Table167[[#This Row],[ERP (T12m)]]+Table167[[#This Row],[T.Bond Rate]]</f>
        <v>6.2399999999999997E-2</v>
      </c>
      <c r="O161" t="s">
        <v>216</v>
      </c>
    </row>
    <row r="162" spans="1:15">
      <c r="A162" s="59">
        <v>43100</v>
      </c>
      <c r="B162" s="61">
        <v>4766.18</v>
      </c>
      <c r="C162" s="37">
        <v>1.5100000000000001E-2</v>
      </c>
      <c r="D162" s="10">
        <v>231.8</v>
      </c>
      <c r="E162" s="64">
        <v>147.24</v>
      </c>
      <c r="F162" s="64">
        <v>113.62</v>
      </c>
      <c r="G162" s="27">
        <v>6.4699999999999994E-2</v>
      </c>
      <c r="H162" s="37">
        <v>4.9000000000000002E-2</v>
      </c>
      <c r="I162" s="27">
        <v>4.24E-2</v>
      </c>
      <c r="J162" s="27">
        <v>6.6199999999999995E-2</v>
      </c>
      <c r="K162" s="27">
        <v>3.2899999999999999E-2</v>
      </c>
      <c r="L162" s="27">
        <v>3.9399999999999998E-2</v>
      </c>
      <c r="M162" s="27" t="s">
        <v>231</v>
      </c>
      <c r="N162" s="27">
        <f>Table167[[#This Row],[ERP (T12m)]]+Table167[[#This Row],[T.Bond Rate]]</f>
        <v>5.7500000000000002E-2</v>
      </c>
      <c r="O162" t="s">
        <v>216</v>
      </c>
    </row>
    <row r="163" spans="1:15">
      <c r="A163" s="59">
        <v>43131</v>
      </c>
      <c r="B163" s="61">
        <v>4515</v>
      </c>
      <c r="C163" s="37">
        <v>1.7899999999999999E-2</v>
      </c>
      <c r="D163" s="10">
        <v>23.18</v>
      </c>
      <c r="E163" s="64">
        <v>147.24</v>
      </c>
      <c r="F163" s="64">
        <v>113.62</v>
      </c>
      <c r="G163" s="27">
        <v>7.1499999999999994E-2</v>
      </c>
      <c r="H163" s="37">
        <v>5.1700000000000003E-2</v>
      </c>
      <c r="I163" s="27">
        <v>4.5600000000000002E-2</v>
      </c>
      <c r="J163" s="27">
        <v>7.1099999999999997E-2</v>
      </c>
      <c r="K163" s="27">
        <v>3.5299999999999998E-2</v>
      </c>
      <c r="L163" s="27">
        <v>4.3099999999999999E-2</v>
      </c>
      <c r="M163" s="27"/>
      <c r="N163" s="27">
        <f>Table167[[#This Row],[ERP (T12m)]]+Table167[[#This Row],[T.Bond Rate]]</f>
        <v>6.3500000000000001E-2</v>
      </c>
      <c r="O163" t="s">
        <v>216</v>
      </c>
    </row>
    <row r="164" spans="1:15">
      <c r="A164" s="59">
        <v>43159</v>
      </c>
      <c r="B164" s="61">
        <v>4374</v>
      </c>
      <c r="C164" s="37">
        <v>1.83E-2</v>
      </c>
      <c r="D164" s="10">
        <v>231.8</v>
      </c>
      <c r="E164" s="64">
        <v>147.24</v>
      </c>
      <c r="F164" s="64">
        <v>113.62</v>
      </c>
      <c r="G164" s="27">
        <v>7.17E-2</v>
      </c>
      <c r="H164" s="37">
        <v>5.3699999999999998E-2</v>
      </c>
      <c r="I164" s="27">
        <v>4.7500000000000001E-2</v>
      </c>
      <c r="J164" s="27">
        <v>7.3999999999999996E-2</v>
      </c>
      <c r="K164" s="27">
        <v>3.6799999999999999E-2</v>
      </c>
      <c r="L164" s="27">
        <v>4.4699999999999997E-2</v>
      </c>
      <c r="M164" s="27"/>
      <c r="N164" s="27">
        <f>Table167[[#This Row],[ERP (T12m)]]+Table167[[#This Row],[T.Bond Rate]]</f>
        <v>6.5799999999999997E-2</v>
      </c>
      <c r="O164" t="s">
        <v>216</v>
      </c>
    </row>
    <row r="165" spans="1:15">
      <c r="A165" s="59">
        <v>43190</v>
      </c>
      <c r="B165" s="61">
        <v>4530.41</v>
      </c>
      <c r="C165" s="37">
        <v>2.3300000000000001E-2</v>
      </c>
      <c r="D165" s="10">
        <v>210.4</v>
      </c>
      <c r="E165" s="64">
        <v>165.26</v>
      </c>
      <c r="F165" s="64">
        <v>126.32</v>
      </c>
      <c r="G165" s="27">
        <v>7.3700000000000002E-2</v>
      </c>
      <c r="H165" s="37">
        <v>0.05</v>
      </c>
      <c r="I165" s="27">
        <v>4.7300000000000002E-2</v>
      </c>
      <c r="J165" s="27">
        <v>5.9900000000000002E-2</v>
      </c>
      <c r="K165" s="27">
        <v>3.6299999999999999E-2</v>
      </c>
      <c r="L165" s="27">
        <v>4.5100000000000001E-2</v>
      </c>
      <c r="M165" s="27"/>
      <c r="N165" s="27">
        <f>Table167[[#This Row],[ERP (T12m)]]+Table167[[#This Row],[T.Bond Rate]]</f>
        <v>7.0599999999999996E-2</v>
      </c>
      <c r="O165" t="s">
        <v>216</v>
      </c>
    </row>
    <row r="166" spans="1:15">
      <c r="A166" s="59">
        <v>43220</v>
      </c>
      <c r="B166" s="61">
        <v>4132</v>
      </c>
      <c r="C166" s="37">
        <v>2.8899999999999999E-2</v>
      </c>
      <c r="D166" s="10">
        <v>210.4</v>
      </c>
      <c r="E166" s="64">
        <v>165.26</v>
      </c>
      <c r="F166" s="64">
        <v>126.32</v>
      </c>
      <c r="G166" s="27">
        <v>7.6700000000000004E-2</v>
      </c>
      <c r="H166" s="37">
        <v>5.2299999999999999E-2</v>
      </c>
      <c r="I166" s="27">
        <v>5.1400000000000001E-2</v>
      </c>
      <c r="J166" s="27">
        <v>6.5199999999999994E-2</v>
      </c>
      <c r="K166" s="27">
        <v>3.95E-2</v>
      </c>
      <c r="L166" s="27">
        <v>4.8899999999999999E-2</v>
      </c>
      <c r="M166" s="27"/>
      <c r="N166" s="27">
        <f>Table167[[#This Row],[ERP (T12m)]]+Table167[[#This Row],[T.Bond Rate]]</f>
        <v>8.0299999999999996E-2</v>
      </c>
      <c r="O166" t="s">
        <v>216</v>
      </c>
    </row>
    <row r="167" spans="1:15">
      <c r="A167" s="59">
        <v>43251</v>
      </c>
      <c r="B167" s="61">
        <v>4132</v>
      </c>
      <c r="C167" s="37">
        <v>2.86E-2</v>
      </c>
      <c r="D167" s="10">
        <v>210.4</v>
      </c>
      <c r="E167" s="64">
        <v>165.26</v>
      </c>
      <c r="F167" s="64">
        <v>126.32</v>
      </c>
      <c r="G167" s="27">
        <v>7.2999999999999995E-2</v>
      </c>
      <c r="H167" s="37">
        <v>5.1700000000000003E-2</v>
      </c>
      <c r="I167" s="27">
        <v>5.0700000000000002E-2</v>
      </c>
      <c r="J167" s="27">
        <v>6.4199999999999993E-2</v>
      </c>
      <c r="K167" s="27">
        <v>3.8899999999999997E-2</v>
      </c>
      <c r="L167" s="27">
        <v>4.9299999999999997E-2</v>
      </c>
      <c r="M167" s="27"/>
      <c r="N167" s="27">
        <f>Table167[[#This Row],[ERP (T12m)]]+Table167[[#This Row],[T.Bond Rate]]</f>
        <v>7.9300000000000009E-2</v>
      </c>
      <c r="O167" t="s">
        <v>216</v>
      </c>
    </row>
    <row r="168" spans="1:15">
      <c r="A168" s="59">
        <v>43281</v>
      </c>
      <c r="B168" s="61">
        <v>3785.38</v>
      </c>
      <c r="C168" s="37">
        <v>3.0200000000000001E-2</v>
      </c>
      <c r="D168" s="10">
        <v>175.8</v>
      </c>
      <c r="E168" s="64">
        <v>191.83</v>
      </c>
      <c r="F168" s="64">
        <v>126.44</v>
      </c>
      <c r="G168" s="27">
        <v>7.7899999999999997E-2</v>
      </c>
      <c r="H168" s="37">
        <v>5.6899999999999999E-2</v>
      </c>
      <c r="I168" s="27">
        <v>6.0100000000000001E-2</v>
      </c>
      <c r="J168" s="27">
        <v>5.8999999999999997E-2</v>
      </c>
      <c r="K168" s="27">
        <v>4.2700000000000002E-2</v>
      </c>
      <c r="L168" s="27">
        <v>5.6599999999999998E-2</v>
      </c>
      <c r="M168" s="27"/>
      <c r="N168" s="27">
        <f>Table167[[#This Row],[ERP (T12m)]]+Table167[[#This Row],[T.Bond Rate]]</f>
        <v>9.0300000000000005E-2</v>
      </c>
      <c r="O168" t="s">
        <v>216</v>
      </c>
    </row>
    <row r="169" spans="1:15">
      <c r="A169" s="59">
        <v>43312</v>
      </c>
      <c r="B169" s="61">
        <v>4130</v>
      </c>
      <c r="C169" s="37">
        <v>2.6499999999999999E-2</v>
      </c>
      <c r="D169" s="10">
        <v>175.8</v>
      </c>
      <c r="E169" s="64">
        <v>191.83</v>
      </c>
      <c r="F169" s="64">
        <v>126.44</v>
      </c>
      <c r="G169" s="27">
        <v>7.0699999999999999E-2</v>
      </c>
      <c r="H169" s="37">
        <v>5.2600000000000001E-2</v>
      </c>
      <c r="I169" s="27">
        <v>5.4199999999999998E-2</v>
      </c>
      <c r="J169" s="27">
        <v>5.33E-2</v>
      </c>
      <c r="K169" s="27">
        <v>3.85E-2</v>
      </c>
      <c r="L169" s="27">
        <v>5.1700000000000003E-2</v>
      </c>
      <c r="M169" s="27"/>
      <c r="N169" s="27">
        <f>Table167[[#This Row],[ERP (T12m)]]+Table167[[#This Row],[T.Bond Rate]]</f>
        <v>8.0699999999999994E-2</v>
      </c>
      <c r="O169" t="s">
        <v>216</v>
      </c>
    </row>
    <row r="170" spans="1:15">
      <c r="A170" s="59">
        <v>43343</v>
      </c>
      <c r="B170" s="61">
        <v>3955</v>
      </c>
      <c r="C170" s="37">
        <v>3.1899999999999998E-2</v>
      </c>
      <c r="D170" s="10">
        <v>175.8</v>
      </c>
      <c r="E170" s="64">
        <v>191.83</v>
      </c>
      <c r="F170" s="64">
        <v>126.44</v>
      </c>
      <c r="G170" s="27">
        <v>6.6199999999999995E-2</v>
      </c>
      <c r="H170" s="37">
        <v>5.0999999999999997E-2</v>
      </c>
      <c r="I170" s="27">
        <v>5.45E-2</v>
      </c>
      <c r="J170" s="27">
        <v>5.3499999999999999E-2</v>
      </c>
      <c r="K170" s="27">
        <v>3.8699999999999998E-2</v>
      </c>
      <c r="L170" s="27">
        <v>5.1799999999999999E-2</v>
      </c>
      <c r="M170" s="27"/>
      <c r="N170" s="27">
        <f>Table167[[#This Row],[ERP (T12m)]]+Table167[[#This Row],[T.Bond Rate]]</f>
        <v>8.6400000000000005E-2</v>
      </c>
      <c r="O170" t="s">
        <v>216</v>
      </c>
    </row>
    <row r="171" spans="1:15">
      <c r="A171" s="59">
        <v>43373</v>
      </c>
      <c r="B171" s="61">
        <v>3596</v>
      </c>
      <c r="C171" s="37">
        <v>3.8199999999999998E-2</v>
      </c>
      <c r="D171" s="10">
        <v>166.5</v>
      </c>
      <c r="E171" s="64">
        <v>183.6</v>
      </c>
      <c r="F171" s="64">
        <v>126.1</v>
      </c>
      <c r="G171" s="27">
        <v>6.7199999999999996E-2</v>
      </c>
      <c r="H171" s="37">
        <v>5.2999999999999999E-2</v>
      </c>
      <c r="I171" s="27">
        <v>6.2100000000000002E-2</v>
      </c>
      <c r="J171" s="27">
        <v>5.6399999999999999E-2</v>
      </c>
      <c r="K171" s="27">
        <v>4.2799999999999998E-2</v>
      </c>
      <c r="L171" s="27">
        <v>5.91E-2</v>
      </c>
      <c r="M171" s="27"/>
      <c r="N171" s="27">
        <f>Table167[[#This Row],[ERP (T12m)]]+Table167[[#This Row],[T.Bond Rate]]</f>
        <v>0.1003</v>
      </c>
      <c r="O171" t="s">
        <v>216</v>
      </c>
    </row>
    <row r="172" spans="1:15">
      <c r="A172" s="59">
        <v>43404</v>
      </c>
      <c r="B172" s="61">
        <v>3872</v>
      </c>
      <c r="C172" s="37">
        <v>4.0500000000000001E-2</v>
      </c>
      <c r="D172" s="10">
        <v>166.5</v>
      </c>
      <c r="E172" s="64">
        <v>183.6</v>
      </c>
      <c r="F172" s="64">
        <v>126.1</v>
      </c>
      <c r="G172" s="27">
        <v>5.7500000000000002E-2</v>
      </c>
      <c r="H172" s="37">
        <v>4.5900000000000003E-2</v>
      </c>
      <c r="I172" s="27">
        <v>5.4800000000000001E-2</v>
      </c>
      <c r="J172" s="27">
        <v>4.9700000000000001E-2</v>
      </c>
      <c r="K172" s="27">
        <v>3.7699999999999997E-2</v>
      </c>
      <c r="L172" s="27">
        <v>5.2299999999999999E-2</v>
      </c>
      <c r="M172" s="27"/>
      <c r="N172" s="27">
        <f>Table167[[#This Row],[ERP (T12m)]]+Table167[[#This Row],[T.Bond Rate]]</f>
        <v>9.5299999999999996E-2</v>
      </c>
      <c r="O172" t="s">
        <v>216</v>
      </c>
    </row>
    <row r="173" spans="1:15">
      <c r="A173" s="59">
        <v>43434</v>
      </c>
      <c r="B173" s="61">
        <v>4080</v>
      </c>
      <c r="C173" s="37">
        <v>3.61E-2</v>
      </c>
      <c r="D173" s="10">
        <v>166.5</v>
      </c>
      <c r="E173" s="64">
        <v>183.6</v>
      </c>
      <c r="F173" s="64">
        <v>126.1</v>
      </c>
      <c r="G173" s="27">
        <v>5.6599999999999998E-2</v>
      </c>
      <c r="H173" s="37">
        <v>4.5499999999999999E-2</v>
      </c>
      <c r="I173" s="27">
        <v>5.2600000000000001E-2</v>
      </c>
      <c r="J173" s="27">
        <v>4.7800000000000002E-2</v>
      </c>
      <c r="K173" s="27">
        <v>3.6200000000000003E-2</v>
      </c>
      <c r="L173" s="27">
        <v>5.0200000000000002E-2</v>
      </c>
      <c r="M173" s="27"/>
      <c r="N173" s="27">
        <f>Table167[[#This Row],[ERP (T12m)]]+Table167[[#This Row],[T.Bond Rate]]</f>
        <v>8.8700000000000001E-2</v>
      </c>
      <c r="O173" t="s">
        <v>216</v>
      </c>
    </row>
    <row r="174" spans="1:15">
      <c r="A174" s="59">
        <v>43465</v>
      </c>
      <c r="B174" s="61">
        <v>3839.5</v>
      </c>
      <c r="C174" s="37">
        <v>3.8800000000000001E-2</v>
      </c>
      <c r="D174" s="10">
        <v>179.21</v>
      </c>
      <c r="E174" s="64">
        <v>181.66</v>
      </c>
      <c r="F174" s="64">
        <v>147.57</v>
      </c>
      <c r="G174" s="27">
        <v>6.4100000000000004E-2</v>
      </c>
      <c r="H174" s="37">
        <v>5.11E-2</v>
      </c>
      <c r="I174" s="27">
        <v>5.9400000000000001E-2</v>
      </c>
      <c r="J174" s="27">
        <v>5.8500000000000003E-2</v>
      </c>
      <c r="K174" s="27">
        <v>4.8300000000000003E-2</v>
      </c>
      <c r="L174" s="27">
        <v>5.6800000000000003E-2</v>
      </c>
      <c r="M174" s="27"/>
      <c r="N174" s="27">
        <f>Table167[[#This Row],[ERP (T12m)]]+Table167[[#This Row],[T.Bond Rate]]</f>
        <v>9.820000000000001E-2</v>
      </c>
      <c r="O174" t="s">
        <v>285</v>
      </c>
    </row>
    <row r="175" spans="1:15">
      <c r="A175" s="59">
        <v>43496</v>
      </c>
      <c r="B175" s="61">
        <v>4077</v>
      </c>
      <c r="C175" s="37">
        <v>3.5200000000000002E-2</v>
      </c>
      <c r="D175" s="10">
        <v>179.21</v>
      </c>
      <c r="E175" s="64">
        <v>181.66</v>
      </c>
      <c r="F175" s="64">
        <v>147.57</v>
      </c>
      <c r="G175" s="27">
        <v>5.9200000000000003E-2</v>
      </c>
      <c r="H175" s="37">
        <v>4.8899999999999999E-2</v>
      </c>
      <c r="I175" s="27">
        <v>5.5399999999999998E-2</v>
      </c>
      <c r="J175" s="27">
        <v>5.4600000000000003E-2</v>
      </c>
      <c r="K175" s="27">
        <v>4.4999999999999998E-2</v>
      </c>
      <c r="L175" s="27">
        <v>5.3100000000000001E-2</v>
      </c>
      <c r="M175" s="27"/>
      <c r="N175" s="27">
        <f>Table167[[#This Row],[ERP (T12m)]]+Table167[[#This Row],[T.Bond Rate]]</f>
        <v>9.06E-2</v>
      </c>
      <c r="O175" t="s">
        <v>215</v>
      </c>
    </row>
    <row r="176" spans="1:15">
      <c r="A176" s="59">
        <v>43524</v>
      </c>
      <c r="B176" s="61">
        <v>3970</v>
      </c>
      <c r="C176" s="37">
        <v>3.9199999999999999E-2</v>
      </c>
      <c r="D176" s="10">
        <v>179.21</v>
      </c>
      <c r="E176" s="64">
        <v>181.66</v>
      </c>
      <c r="F176" s="64">
        <v>147.57</v>
      </c>
      <c r="G176" s="27">
        <v>5.74E-2</v>
      </c>
      <c r="H176" s="37">
        <v>4.7800000000000002E-2</v>
      </c>
      <c r="I176" s="27">
        <v>5.5800000000000002E-2</v>
      </c>
      <c r="J176" s="27">
        <v>5.5E-2</v>
      </c>
      <c r="K176" s="27">
        <v>4.53E-2</v>
      </c>
      <c r="L176" s="27">
        <v>5.3400000000000003E-2</v>
      </c>
      <c r="M176" s="27"/>
      <c r="N176" s="27">
        <f>Table167[[#This Row],[ERP (T12m)]]+Table167[[#This Row],[T.Bond Rate]]</f>
        <v>9.5000000000000001E-2</v>
      </c>
      <c r="O176" t="s">
        <v>215</v>
      </c>
    </row>
    <row r="177" spans="1:15">
      <c r="A177" s="59">
        <v>43555</v>
      </c>
      <c r="B177" s="61">
        <v>4109</v>
      </c>
      <c r="C177" s="37">
        <v>3.4700000000000002E-2</v>
      </c>
      <c r="D177" s="10">
        <v>187.83</v>
      </c>
      <c r="E177" s="64">
        <v>176.45</v>
      </c>
      <c r="F177" s="64">
        <v>152.69999999999999</v>
      </c>
      <c r="G177" s="27">
        <v>5.7299999999999997E-2</v>
      </c>
      <c r="H177" s="37">
        <v>4.8800000000000003E-2</v>
      </c>
      <c r="I177" s="27">
        <v>5.4399999999999997E-2</v>
      </c>
      <c r="J177" s="27">
        <v>5.7200000000000001E-2</v>
      </c>
      <c r="K177" s="27">
        <v>4.6399999999999997E-2</v>
      </c>
      <c r="L177" s="27">
        <v>5.1900000000000002E-2</v>
      </c>
      <c r="M177" s="27"/>
      <c r="N177" s="27">
        <f>Table167[[#This Row],[ERP (T12m)]]+Table167[[#This Row],[T.Bond Rate]]</f>
        <v>8.9099999999999999E-2</v>
      </c>
      <c r="O177" t="s">
        <v>285</v>
      </c>
    </row>
    <row r="178" spans="1:15">
      <c r="A178" s="59">
        <v>43585</v>
      </c>
      <c r="B178" s="61">
        <v>4169</v>
      </c>
      <c r="C178" s="37">
        <v>3.4200000000000001E-2</v>
      </c>
      <c r="D178" s="10">
        <v>187.83</v>
      </c>
      <c r="E178" s="64">
        <v>176.45</v>
      </c>
      <c r="F178" s="202">
        <v>152.69999999999999</v>
      </c>
      <c r="G178" s="27">
        <v>5.4199999999999998E-2</v>
      </c>
      <c r="H178" s="37">
        <v>4.7699999999999999E-2</v>
      </c>
      <c r="I178" s="27">
        <v>5.2999999999999999E-2</v>
      </c>
      <c r="J178" s="27">
        <v>5.57E-2</v>
      </c>
      <c r="K178" s="27">
        <v>4.5199999999999997E-2</v>
      </c>
      <c r="L178" s="27">
        <v>5.0900000000000001E-2</v>
      </c>
      <c r="M178" s="27"/>
      <c r="N178" s="27">
        <f>Table167[[#This Row],[ERP (T12m)]]+Table167[[#This Row],[T.Bond Rate]]</f>
        <v>8.72E-2</v>
      </c>
      <c r="O178" t="s">
        <v>215</v>
      </c>
    </row>
    <row r="179" spans="1:15">
      <c r="A179" s="59">
        <v>43616</v>
      </c>
      <c r="B179" s="61">
        <v>4180</v>
      </c>
      <c r="C179" s="37">
        <v>3.6400000000000002E-2</v>
      </c>
      <c r="D179" s="10">
        <v>187.83</v>
      </c>
      <c r="E179" s="64">
        <v>176.45</v>
      </c>
      <c r="F179" s="64">
        <v>152.69999999999999</v>
      </c>
      <c r="G179" s="27">
        <v>5.4300000000000001E-2</v>
      </c>
      <c r="H179" s="37">
        <v>4.65E-2</v>
      </c>
      <c r="I179" s="27">
        <v>5.2499999999999998E-2</v>
      </c>
      <c r="J179" s="27">
        <v>5.5199999999999999E-2</v>
      </c>
      <c r="K179" s="27">
        <v>4.48E-2</v>
      </c>
      <c r="L179" s="27">
        <v>5.0299999999999997E-2</v>
      </c>
      <c r="M179" s="27"/>
      <c r="N179" s="27">
        <f>Table167[[#This Row],[ERP (T12m)]]+Table167[[#This Row],[T.Bond Rate]]</f>
        <v>8.8900000000000007E-2</v>
      </c>
      <c r="O179" t="s">
        <v>215</v>
      </c>
    </row>
    <row r="180" spans="1:15">
      <c r="A180" s="59">
        <v>43646</v>
      </c>
      <c r="B180" s="61">
        <v>4450</v>
      </c>
      <c r="C180" s="37">
        <v>3.8100000000000002E-2</v>
      </c>
      <c r="D180" s="10">
        <v>203.42</v>
      </c>
      <c r="E180" s="64">
        <v>171.87</v>
      </c>
      <c r="F180" s="64">
        <v>152.36000000000001</v>
      </c>
      <c r="G180" s="27">
        <v>7.0800000000000002E-2</v>
      </c>
      <c r="H180" s="37">
        <v>4.5900000000000003E-2</v>
      </c>
      <c r="I180" s="27">
        <v>0.05</v>
      </c>
      <c r="J180" s="27">
        <v>5.8999999999999997E-2</v>
      </c>
      <c r="K180" s="27">
        <v>4.4400000000000002E-2</v>
      </c>
      <c r="L180" s="27">
        <v>4.7800000000000002E-2</v>
      </c>
      <c r="M180" s="27"/>
      <c r="N180" s="27">
        <f>Table167[[#This Row],[ERP (T12m)]]+Table167[[#This Row],[T.Bond Rate]]</f>
        <v>8.8100000000000012E-2</v>
      </c>
      <c r="O180" t="s">
        <v>216</v>
      </c>
    </row>
    <row r="181" spans="1:15">
      <c r="A181" s="59">
        <v>43677</v>
      </c>
      <c r="B181" s="61">
        <v>4589</v>
      </c>
      <c r="C181" s="37">
        <v>3.9699999999999999E-2</v>
      </c>
      <c r="D181" s="10">
        <v>203.42</v>
      </c>
      <c r="E181" s="64">
        <v>171.87</v>
      </c>
      <c r="F181" s="64">
        <v>152.36000000000001</v>
      </c>
      <c r="G181" s="27">
        <v>7.1099999999999997E-2</v>
      </c>
      <c r="H181" s="37">
        <v>4.3799999999999999E-2</v>
      </c>
      <c r="I181" s="27">
        <v>4.8300000000000003E-2</v>
      </c>
      <c r="J181" s="27">
        <v>5.7000000000000002E-2</v>
      </c>
      <c r="K181" s="27">
        <v>4.2900000000000001E-2</v>
      </c>
      <c r="L181" s="27">
        <v>4.6199999999999998E-2</v>
      </c>
      <c r="M181" s="27"/>
      <c r="N181" s="27">
        <f>Table167[[#This Row],[ERP (T12m)]]+Table167[[#This Row],[T.Bond Rate]]</f>
        <v>8.7999999999999995E-2</v>
      </c>
      <c r="O181" t="s">
        <v>215</v>
      </c>
    </row>
    <row r="182" spans="1:15">
      <c r="A182" s="59">
        <v>43708</v>
      </c>
      <c r="B182" s="61">
        <v>4508</v>
      </c>
      <c r="C182" s="37">
        <v>4.1099999999999998E-2</v>
      </c>
      <c r="D182" s="10">
        <v>203.42</v>
      </c>
      <c r="E182" s="64">
        <v>171.87</v>
      </c>
      <c r="F182" s="64">
        <v>152.36000000000001</v>
      </c>
      <c r="G182" s="27">
        <v>7.1400000000000005E-2</v>
      </c>
      <c r="H182" s="37">
        <v>4.3999999999999997E-2</v>
      </c>
      <c r="I182" s="27">
        <v>4.9000000000000002E-2</v>
      </c>
      <c r="J182" s="27">
        <v>5.79E-2</v>
      </c>
      <c r="K182" s="27">
        <v>4.3499999999999997E-2</v>
      </c>
      <c r="L182" s="27">
        <v>4.6699999999999998E-2</v>
      </c>
      <c r="M182" s="27"/>
      <c r="N182" s="27">
        <f>Table167[[#This Row],[ERP (T12m)]]+Table167[[#This Row],[T.Bond Rate]]</f>
        <v>9.01E-2</v>
      </c>
    </row>
  </sheetData>
  <printOptions gridLines="1" gridLinesSet="0"/>
  <pageMargins left="0.75" right="0.75" top="1" bottom="1" header="0.5" footer="0.5"/>
  <pageSetup orientation="portrait" horizontalDpi="4294967292" verticalDpi="4294967292"/>
  <headerFooter alignWithMargins="0">
    <oddHeader>&amp;A</oddHeader>
    <oddFooter>Page &amp;P</oddFooter>
  </headerFooter>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96"/>
  <sheetViews>
    <sheetView topLeftCell="A76" workbookViewId="0">
      <selection activeCell="E100" sqref="E100"/>
    </sheetView>
  </sheetViews>
  <sheetFormatPr baseColWidth="10" defaultRowHeight="14"/>
  <cols>
    <col min="2" max="2" width="28.5703125" customWidth="1"/>
    <col min="5" max="5" width="11.5703125" customWidth="1"/>
    <col min="6" max="6" width="32.7109375" customWidth="1"/>
    <col min="10" max="10" width="18.140625" customWidth="1"/>
  </cols>
  <sheetData>
    <row r="1" spans="1:13" ht="16">
      <c r="A1" s="174" t="s">
        <v>7</v>
      </c>
      <c r="B1" s="70" t="s">
        <v>217</v>
      </c>
      <c r="C1" s="70" t="s">
        <v>113</v>
      </c>
      <c r="D1" s="70" t="s">
        <v>218</v>
      </c>
      <c r="E1" s="43" t="s">
        <v>219</v>
      </c>
      <c r="F1" s="43" t="s">
        <v>220</v>
      </c>
      <c r="G1" s="43" t="s">
        <v>221</v>
      </c>
      <c r="H1" s="43" t="s">
        <v>222</v>
      </c>
      <c r="I1" s="43" t="s">
        <v>223</v>
      </c>
      <c r="J1" s="43" t="s">
        <v>224</v>
      </c>
      <c r="K1" s="19" t="s">
        <v>225</v>
      </c>
      <c r="L1" s="19" t="s">
        <v>226</v>
      </c>
      <c r="M1" s="198" t="s">
        <v>114</v>
      </c>
    </row>
    <row r="2" spans="1:13" ht="16">
      <c r="A2" s="43">
        <v>1928</v>
      </c>
      <c r="B2" s="71">
        <v>0.43811155152887893</v>
      </c>
      <c r="C2" s="71">
        <v>3.0800000000000001E-2</v>
      </c>
      <c r="D2" s="71">
        <v>8.354708589799302E-3</v>
      </c>
      <c r="E2" s="71">
        <v>3.2195514702324381E-2</v>
      </c>
      <c r="F2" s="151">
        <v>143.81115515288789</v>
      </c>
      <c r="G2" s="151">
        <v>103.08</v>
      </c>
      <c r="H2" s="151">
        <v>100.83547085897993</v>
      </c>
      <c r="I2" s="151">
        <v>103.21955147023243</v>
      </c>
      <c r="J2" s="197">
        <v>0.40731155152887893</v>
      </c>
      <c r="K2" s="197">
        <v>0.42975684293907962</v>
      </c>
      <c r="L2" s="71">
        <v>0.40591603682655453</v>
      </c>
      <c r="M2" s="43"/>
    </row>
    <row r="3" spans="1:13" ht="16">
      <c r="A3" s="43">
        <v>1929</v>
      </c>
      <c r="B3" s="71">
        <v>-8.2979466119096595E-2</v>
      </c>
      <c r="C3" s="71">
        <v>3.1600000000000003E-2</v>
      </c>
      <c r="D3" s="71">
        <v>4.2038041563204259E-2</v>
      </c>
      <c r="E3" s="71">
        <v>3.0178562399040432E-2</v>
      </c>
      <c r="F3" s="151">
        <v>131.87778227633069</v>
      </c>
      <c r="G3" s="151">
        <v>106.337328</v>
      </c>
      <c r="H3" s="151">
        <v>105.074396573995</v>
      </c>
      <c r="I3" s="151">
        <v>106.33456914507781</v>
      </c>
      <c r="J3" s="197">
        <v>-0.1145794661190966</v>
      </c>
      <c r="K3" s="197">
        <v>-0.12501750768230085</v>
      </c>
      <c r="L3" s="71">
        <v>-0.11315802851813703</v>
      </c>
      <c r="M3" s="43"/>
    </row>
    <row r="4" spans="1:13" ht="16">
      <c r="A4" s="43">
        <v>1930</v>
      </c>
      <c r="B4" s="71">
        <v>-0.25123636363636365</v>
      </c>
      <c r="C4" s="71">
        <v>4.5499999999999999E-2</v>
      </c>
      <c r="D4" s="71">
        <v>4.5409314348970366E-2</v>
      </c>
      <c r="E4" s="71">
        <v>5.3978094648238287E-3</v>
      </c>
      <c r="F4" s="151">
        <v>98.745287812797272</v>
      </c>
      <c r="G4" s="151">
        <v>111.17567642400002</v>
      </c>
      <c r="H4" s="151">
        <v>109.84575287805193</v>
      </c>
      <c r="I4" s="151">
        <v>106.90854288884708</v>
      </c>
      <c r="J4" s="197">
        <v>-0.29673636363636363</v>
      </c>
      <c r="K4" s="197">
        <v>-0.29664567798533403</v>
      </c>
      <c r="L4" s="71">
        <v>-0.25663417310118747</v>
      </c>
      <c r="M4" s="43"/>
    </row>
    <row r="5" spans="1:13" ht="16">
      <c r="A5" s="43">
        <v>1931</v>
      </c>
      <c r="B5" s="71">
        <v>-0.43837548891786188</v>
      </c>
      <c r="C5" s="71">
        <v>2.3099999999999999E-2</v>
      </c>
      <c r="D5" s="71">
        <v>-2.5588559619422531E-2</v>
      </c>
      <c r="E5" s="71">
        <v>-0.15680775082667592</v>
      </c>
      <c r="F5" s="151">
        <v>55.457773989527276</v>
      </c>
      <c r="G5" s="151">
        <v>113.74383454939441</v>
      </c>
      <c r="H5" s="151">
        <v>107.03495828159154</v>
      </c>
      <c r="I5" s="151">
        <v>90.144454734289752</v>
      </c>
      <c r="J5" s="197">
        <v>-0.46147548891786189</v>
      </c>
      <c r="K5" s="197">
        <v>-0.41278692929843935</v>
      </c>
      <c r="L5" s="71">
        <v>-0.28156773809118596</v>
      </c>
      <c r="M5" s="43"/>
    </row>
    <row r="6" spans="1:13" ht="16">
      <c r="A6" s="43">
        <v>1932</v>
      </c>
      <c r="B6" s="71">
        <v>-8.642364532019696E-2</v>
      </c>
      <c r="C6" s="71">
        <v>1.0699999999999999E-2</v>
      </c>
      <c r="D6" s="71">
        <v>8.7903069904773257E-2</v>
      </c>
      <c r="E6" s="71">
        <v>0.23589601675740196</v>
      </c>
      <c r="F6" s="151">
        <v>50.664911000008722</v>
      </c>
      <c r="G6" s="151">
        <v>114.96089357907292</v>
      </c>
      <c r="H6" s="151">
        <v>116.44365970167279</v>
      </c>
      <c r="I6" s="151">
        <v>111.40917253887663</v>
      </c>
      <c r="J6" s="197">
        <v>-9.7123645320196961E-2</v>
      </c>
      <c r="K6" s="197">
        <v>-0.17432671522497023</v>
      </c>
      <c r="L6" s="71">
        <v>-0.32231966207759893</v>
      </c>
      <c r="M6" s="43"/>
    </row>
    <row r="7" spans="1:13" ht="16">
      <c r="A7" s="43">
        <v>1933</v>
      </c>
      <c r="B7" s="71">
        <v>0.49982225433526023</v>
      </c>
      <c r="C7" s="71">
        <v>9.5999999999999992E-3</v>
      </c>
      <c r="D7" s="71">
        <v>1.8552720891857361E-2</v>
      </c>
      <c r="E7" s="71">
        <v>0.1296689369754826</v>
      </c>
      <c r="F7" s="151">
        <v>75.988361031728402</v>
      </c>
      <c r="G7" s="151">
        <v>116.06451815743202</v>
      </c>
      <c r="H7" s="151">
        <v>118.60400641974435</v>
      </c>
      <c r="I7" s="151">
        <v>125.8554815113109</v>
      </c>
      <c r="J7" s="197">
        <v>0.49022225433526023</v>
      </c>
      <c r="K7" s="197">
        <v>0.48126953344340284</v>
      </c>
      <c r="L7" s="71">
        <v>0.37015331735977763</v>
      </c>
      <c r="M7" s="43"/>
    </row>
    <row r="8" spans="1:13" ht="16">
      <c r="A8" s="43">
        <v>1934</v>
      </c>
      <c r="B8" s="71">
        <v>-1.1885656970912803E-2</v>
      </c>
      <c r="C8" s="71">
        <v>2.7833333333333334E-3</v>
      </c>
      <c r="D8" s="71">
        <v>7.9634426179656104E-2</v>
      </c>
      <c r="E8" s="71">
        <v>0.18816429268482648</v>
      </c>
      <c r="F8" s="151">
        <v>75.085189438723404</v>
      </c>
      <c r="G8" s="151">
        <v>116.38756439963687</v>
      </c>
      <c r="H8" s="151">
        <v>128.04896841358894</v>
      </c>
      <c r="I8" s="151">
        <v>149.53698917039497</v>
      </c>
      <c r="J8" s="197">
        <v>-1.4668990304246137E-2</v>
      </c>
      <c r="K8" s="197">
        <v>-9.1520083150568907E-2</v>
      </c>
      <c r="L8" s="71">
        <v>-0.2000499496557393</v>
      </c>
      <c r="M8" s="43"/>
    </row>
    <row r="9" spans="1:13" ht="16">
      <c r="A9" s="43">
        <v>1935</v>
      </c>
      <c r="B9" s="71">
        <v>0.46740421052631581</v>
      </c>
      <c r="C9" s="71">
        <v>1.6750000000000001E-3</v>
      </c>
      <c r="D9" s="71">
        <v>4.4720477296566127E-2</v>
      </c>
      <c r="E9" s="71">
        <v>0.1330773186567917</v>
      </c>
      <c r="F9" s="151">
        <v>110.18032313054879</v>
      </c>
      <c r="G9" s="151">
        <v>116.58251357000627</v>
      </c>
      <c r="H9" s="151">
        <v>133.77537939837757</v>
      </c>
      <c r="I9" s="151">
        <v>169.43697072920085</v>
      </c>
      <c r="J9" s="197">
        <v>0.46572921052631583</v>
      </c>
      <c r="K9" s="197">
        <v>0.42268373322974967</v>
      </c>
      <c r="L9" s="71">
        <v>0.33432689186952413</v>
      </c>
      <c r="M9" s="43"/>
    </row>
    <row r="10" spans="1:13" ht="16">
      <c r="A10" s="43">
        <v>1936</v>
      </c>
      <c r="B10" s="71">
        <v>0.31943410275502609</v>
      </c>
      <c r="C10" s="71">
        <v>1.725E-3</v>
      </c>
      <c r="D10" s="71">
        <v>5.0178754045450601E-2</v>
      </c>
      <c r="E10" s="71">
        <v>0.11383815871922703</v>
      </c>
      <c r="F10" s="151">
        <v>145.37567579101449</v>
      </c>
      <c r="G10" s="151">
        <v>116.78361840591452</v>
      </c>
      <c r="H10" s="151">
        <v>140.4880612585456</v>
      </c>
      <c r="I10" s="151">
        <v>188.72536349597664</v>
      </c>
      <c r="J10" s="197">
        <v>0.31770910275502612</v>
      </c>
      <c r="K10" s="197">
        <v>0.26925534870957551</v>
      </c>
      <c r="L10" s="71">
        <v>0.20559594403579906</v>
      </c>
      <c r="M10" s="43"/>
    </row>
    <row r="11" spans="1:13" ht="16">
      <c r="A11" s="43">
        <v>1937</v>
      </c>
      <c r="B11" s="71">
        <v>-0.35336728754365537</v>
      </c>
      <c r="C11" s="71">
        <v>2.7583333333333331E-3</v>
      </c>
      <c r="D11" s="71">
        <v>1.379146059646038E-2</v>
      </c>
      <c r="E11" s="71">
        <v>-4.4161916839982614E-2</v>
      </c>
      <c r="F11" s="151">
        <v>94.004667561917856</v>
      </c>
      <c r="G11" s="151">
        <v>117.10574655335085</v>
      </c>
      <c r="H11" s="151">
        <v>142.42559681966594</v>
      </c>
      <c r="I11" s="151">
        <v>180.39088968767183</v>
      </c>
      <c r="J11" s="197">
        <v>-0.35612562087698868</v>
      </c>
      <c r="K11" s="197">
        <v>-0.36715874814011573</v>
      </c>
      <c r="L11" s="71">
        <v>-0.30920537070367277</v>
      </c>
      <c r="M11" s="43"/>
    </row>
    <row r="12" spans="1:13" ht="16">
      <c r="A12" s="43">
        <v>1938</v>
      </c>
      <c r="B12" s="71">
        <v>0.29282654028436017</v>
      </c>
      <c r="C12" s="71">
        <v>6.4999999999999997E-4</v>
      </c>
      <c r="D12" s="71">
        <v>4.2132485322046068E-2</v>
      </c>
      <c r="E12" s="71">
        <v>9.2358817136874202E-2</v>
      </c>
      <c r="F12" s="151">
        <v>121.53172913465568</v>
      </c>
      <c r="G12" s="151">
        <v>117.18186528861054</v>
      </c>
      <c r="H12" s="151">
        <v>148.42634118715418</v>
      </c>
      <c r="I12" s="151">
        <v>197.05157888149355</v>
      </c>
      <c r="J12" s="197">
        <v>0.29217654028436019</v>
      </c>
      <c r="K12" s="197">
        <v>0.25069405496231412</v>
      </c>
      <c r="L12" s="71">
        <v>0.20046772314748595</v>
      </c>
      <c r="M12" s="43"/>
    </row>
    <row r="13" spans="1:13" ht="16">
      <c r="A13" s="43">
        <v>1939</v>
      </c>
      <c r="B13" s="71">
        <v>-1.0975646879756443E-2</v>
      </c>
      <c r="C13" s="71">
        <v>4.5833333333333332E-4</v>
      </c>
      <c r="D13" s="71">
        <v>4.4122613942060671E-2</v>
      </c>
      <c r="E13" s="71">
        <v>7.9831377653461405E-2</v>
      </c>
      <c r="F13" s="151">
        <v>120.19783979098749</v>
      </c>
      <c r="G13" s="151">
        <v>117.23557364353447</v>
      </c>
      <c r="H13" s="151">
        <v>154.97529933818757</v>
      </c>
      <c r="I13" s="151">
        <v>212.7824778923929</v>
      </c>
      <c r="J13" s="197">
        <v>-1.1433980213089777E-2</v>
      </c>
      <c r="K13" s="197">
        <v>-5.509826082181711E-2</v>
      </c>
      <c r="L13" s="71">
        <v>-9.0807024533217845E-2</v>
      </c>
      <c r="M13" s="43"/>
    </row>
    <row r="14" spans="1:13" ht="16">
      <c r="A14" s="43">
        <v>1940</v>
      </c>
      <c r="B14" s="71">
        <v>-0.10672873194221515</v>
      </c>
      <c r="C14" s="71">
        <v>3.5833333333333333E-4</v>
      </c>
      <c r="D14" s="71">
        <v>5.4024815962845509E-2</v>
      </c>
      <c r="E14" s="71">
        <v>8.6481371775829569E-2</v>
      </c>
      <c r="F14" s="151">
        <v>107.36927676790187</v>
      </c>
      <c r="G14" s="151">
        <v>117.27758305742339</v>
      </c>
      <c r="H14" s="151">
        <v>163.34781136372007</v>
      </c>
      <c r="I14" s="151">
        <v>231.18419847038714</v>
      </c>
      <c r="J14" s="197">
        <v>-0.10708706527554848</v>
      </c>
      <c r="K14" s="197">
        <v>-0.16075354790506066</v>
      </c>
      <c r="L14" s="71">
        <v>-0.1932101037180447</v>
      </c>
      <c r="M14" s="43"/>
    </row>
    <row r="15" spans="1:13" ht="16">
      <c r="A15" s="43">
        <v>1941</v>
      </c>
      <c r="B15" s="71">
        <v>-0.12771455576559551</v>
      </c>
      <c r="C15" s="71">
        <v>1.2916666666666669E-3</v>
      </c>
      <c r="D15" s="71">
        <v>-2.0221975848580105E-2</v>
      </c>
      <c r="E15" s="71">
        <v>5.0071728572759232E-2</v>
      </c>
      <c r="F15" s="151">
        <v>93.656657282615996</v>
      </c>
      <c r="G15" s="151">
        <v>117.42906660220589</v>
      </c>
      <c r="H15" s="151">
        <v>160.0445958674045</v>
      </c>
      <c r="I15" s="151">
        <v>242.75999090650726</v>
      </c>
      <c r="J15" s="197">
        <v>-0.12900622243226217</v>
      </c>
      <c r="K15" s="197">
        <v>-0.10749257991701541</v>
      </c>
      <c r="L15" s="71">
        <v>-0.17778628433835475</v>
      </c>
      <c r="M15" s="43"/>
    </row>
    <row r="16" spans="1:13" ht="16">
      <c r="A16" s="43">
        <v>1942</v>
      </c>
      <c r="B16" s="71">
        <v>0.19173762945914843</v>
      </c>
      <c r="C16" s="71">
        <v>3.4250000000000001E-3</v>
      </c>
      <c r="D16" s="71">
        <v>2.2948682374484164E-2</v>
      </c>
      <c r="E16" s="71">
        <v>5.1799010426587015E-2</v>
      </c>
      <c r="F16" s="151">
        <v>111.61416273305268</v>
      </c>
      <c r="G16" s="151">
        <v>117.83126115531844</v>
      </c>
      <c r="H16" s="151">
        <v>163.71740846371824</v>
      </c>
      <c r="I16" s="151">
        <v>255.33471820663161</v>
      </c>
      <c r="J16" s="197">
        <v>0.18831262945914842</v>
      </c>
      <c r="K16" s="197">
        <v>0.16878894708466427</v>
      </c>
      <c r="L16" s="71">
        <v>0.13993861903256141</v>
      </c>
      <c r="M16" s="43"/>
    </row>
    <row r="17" spans="1:13" ht="16">
      <c r="A17" s="43">
        <v>1943</v>
      </c>
      <c r="B17" s="71">
        <v>0.25061310133060394</v>
      </c>
      <c r="C17" s="71">
        <v>3.8E-3</v>
      </c>
      <c r="D17" s="71">
        <v>2.4899999999999999E-2</v>
      </c>
      <c r="E17" s="71">
        <v>8.044670060105924E-2</v>
      </c>
      <c r="F17" s="151">
        <v>139.58613420800171</v>
      </c>
      <c r="G17" s="151">
        <v>118.27901994770866</v>
      </c>
      <c r="H17" s="151">
        <v>167.79397193446482</v>
      </c>
      <c r="I17" s="151">
        <v>275.87555383525631</v>
      </c>
      <c r="J17" s="197">
        <v>0.24681310133060394</v>
      </c>
      <c r="K17" s="197">
        <v>0.22571310133060393</v>
      </c>
      <c r="L17" s="71">
        <v>0.1701664007295447</v>
      </c>
      <c r="M17" s="43"/>
    </row>
    <row r="18" spans="1:13" ht="16">
      <c r="A18" s="43">
        <v>1944</v>
      </c>
      <c r="B18" s="71">
        <v>0.19030676949443009</v>
      </c>
      <c r="C18" s="71">
        <v>3.8E-3</v>
      </c>
      <c r="D18" s="71">
        <v>2.5776111579070303E-2</v>
      </c>
      <c r="E18" s="71">
        <v>6.5658635882561697E-2</v>
      </c>
      <c r="F18" s="151">
        <v>166.15032047534245</v>
      </c>
      <c r="G18" s="151">
        <v>118.72848022350996</v>
      </c>
      <c r="H18" s="151">
        <v>172.11904807734297</v>
      </c>
      <c r="I18" s="151">
        <v>293.98916637342546</v>
      </c>
      <c r="J18" s="197">
        <v>0.1865067694944301</v>
      </c>
      <c r="K18" s="197">
        <v>0.16453065791535978</v>
      </c>
      <c r="L18" s="71">
        <v>0.1246481336118684</v>
      </c>
      <c r="M18" s="43"/>
    </row>
    <row r="19" spans="1:13" ht="16">
      <c r="A19" s="43">
        <v>1945</v>
      </c>
      <c r="B19" s="71">
        <v>0.35821084337349401</v>
      </c>
      <c r="C19" s="71">
        <v>3.8E-3</v>
      </c>
      <c r="D19" s="71">
        <v>3.8044173419237229E-2</v>
      </c>
      <c r="E19" s="71">
        <v>6.799865477817886E-2</v>
      </c>
      <c r="F19" s="151">
        <v>225.66716689959119</v>
      </c>
      <c r="G19" s="151">
        <v>119.1796484483593</v>
      </c>
      <c r="H19" s="151">
        <v>178.66717499115143</v>
      </c>
      <c r="I19" s="151">
        <v>313.98003420617658</v>
      </c>
      <c r="J19" s="197">
        <v>0.35441084337349399</v>
      </c>
      <c r="K19" s="197">
        <v>0.3201666699542568</v>
      </c>
      <c r="L19" s="71">
        <v>0.29021218859531517</v>
      </c>
      <c r="M19" s="43"/>
    </row>
    <row r="20" spans="1:13" ht="16">
      <c r="A20" s="43">
        <v>1946</v>
      </c>
      <c r="B20" s="71">
        <v>-8.4291474654377807E-2</v>
      </c>
      <c r="C20" s="71">
        <v>3.8E-3</v>
      </c>
      <c r="D20" s="71">
        <v>3.1283745375695685E-2</v>
      </c>
      <c r="E20" s="71">
        <v>2.5080329773195936E-2</v>
      </c>
      <c r="F20" s="151">
        <v>206.64534862054904</v>
      </c>
      <c r="G20" s="151">
        <v>119.63253111246307</v>
      </c>
      <c r="H20" s="151">
        <v>184.25655340056949</v>
      </c>
      <c r="I20" s="151">
        <v>321.85475700626682</v>
      </c>
      <c r="J20" s="197">
        <v>-8.8091474654377805E-2</v>
      </c>
      <c r="K20" s="197">
        <v>-0.11557522003007349</v>
      </c>
      <c r="L20" s="71">
        <v>-0.10937180442757374</v>
      </c>
      <c r="M20" s="43"/>
    </row>
    <row r="21" spans="1:13" ht="16">
      <c r="A21" s="43">
        <v>1947</v>
      </c>
      <c r="B21" s="71">
        <v>5.1999999999999998E-2</v>
      </c>
      <c r="C21" s="71">
        <v>6.0083333333333334E-3</v>
      </c>
      <c r="D21" s="71">
        <v>9.1969680628322358E-3</v>
      </c>
      <c r="E21" s="71">
        <v>2.6212022665691934E-3</v>
      </c>
      <c r="F21" s="151">
        <v>217.3909067488176</v>
      </c>
      <c r="G21" s="151">
        <v>120.35132323689713</v>
      </c>
      <c r="H21" s="151">
        <v>185.95115503756207</v>
      </c>
      <c r="I21" s="151">
        <v>322.69840342483775</v>
      </c>
      <c r="J21" s="197">
        <v>4.5991666666666667E-2</v>
      </c>
      <c r="K21" s="197">
        <v>4.2803031937167765E-2</v>
      </c>
      <c r="L21" s="71">
        <v>4.9378797733430804E-2</v>
      </c>
      <c r="M21" s="43"/>
    </row>
    <row r="22" spans="1:13" ht="16">
      <c r="A22" s="43">
        <v>1948</v>
      </c>
      <c r="B22" s="71">
        <v>5.7045751633986834E-2</v>
      </c>
      <c r="C22" s="71">
        <v>1.0449999999999999E-2</v>
      </c>
      <c r="D22" s="71">
        <v>1.9510369413175046E-2</v>
      </c>
      <c r="E22" s="71">
        <v>3.4369595605103213E-2</v>
      </c>
      <c r="F22" s="151">
        <v>229.79213442269784</v>
      </c>
      <c r="G22" s="151">
        <v>121.60899456472271</v>
      </c>
      <c r="H22" s="151">
        <v>189.57913076515149</v>
      </c>
      <c r="I22" s="151">
        <v>333.78941705296182</v>
      </c>
      <c r="J22" s="197">
        <v>4.6595751633986833E-2</v>
      </c>
      <c r="K22" s="197">
        <v>3.7535382220811792E-2</v>
      </c>
      <c r="L22" s="71">
        <v>2.2676156028883621E-2</v>
      </c>
      <c r="M22" s="43"/>
    </row>
    <row r="23" spans="1:13" ht="16">
      <c r="A23" s="43">
        <v>1949</v>
      </c>
      <c r="B23" s="71">
        <v>0.18303223684210526</v>
      </c>
      <c r="C23" s="71">
        <v>1.115E-2</v>
      </c>
      <c r="D23" s="71">
        <v>4.6634851827973139E-2</v>
      </c>
      <c r="E23" s="71">
        <v>5.3773011179658936E-2</v>
      </c>
      <c r="F23" s="151">
        <v>271.85150279480598</v>
      </c>
      <c r="G23" s="151">
        <v>122.96493485411936</v>
      </c>
      <c r="H23" s="151">
        <v>198.42012543806027</v>
      </c>
      <c r="I23" s="151">
        <v>351.73827910780261</v>
      </c>
      <c r="J23" s="197">
        <v>0.17188223684210527</v>
      </c>
      <c r="K23" s="197">
        <v>0.13639738501413212</v>
      </c>
      <c r="L23" s="71">
        <v>0.12925922566244633</v>
      </c>
      <c r="M23" s="43"/>
    </row>
    <row r="24" spans="1:13" ht="16">
      <c r="A24" s="43">
        <v>1950</v>
      </c>
      <c r="B24" s="71">
        <v>0.30805539011316263</v>
      </c>
      <c r="C24" s="71">
        <v>1.2033333333333333E-2</v>
      </c>
      <c r="D24" s="71">
        <v>4.2959574171096103E-3</v>
      </c>
      <c r="E24" s="71">
        <v>4.2388173056720914E-2</v>
      </c>
      <c r="F24" s="151">
        <v>355.59682354110947</v>
      </c>
      <c r="G24" s="151">
        <v>124.4446129035306</v>
      </c>
      <c r="H24" s="151">
        <v>199.2725298476397</v>
      </c>
      <c r="I24" s="151">
        <v>366.64782215329734</v>
      </c>
      <c r="J24" s="197">
        <v>0.29602205677982929</v>
      </c>
      <c r="K24" s="197">
        <v>0.30375943269605304</v>
      </c>
      <c r="L24" s="71">
        <v>0.2656672170564417</v>
      </c>
      <c r="M24" s="43"/>
    </row>
    <row r="25" spans="1:13" ht="16">
      <c r="A25" s="43">
        <v>1951</v>
      </c>
      <c r="B25" s="71">
        <v>0.23678463044542339</v>
      </c>
      <c r="C25" s="71">
        <v>1.5175000000000001E-2</v>
      </c>
      <c r="D25" s="71">
        <v>-2.9531392208319886E-3</v>
      </c>
      <c r="E25" s="71">
        <v>-1.9098091301369691E-3</v>
      </c>
      <c r="F25" s="151">
        <v>439.7966859908575</v>
      </c>
      <c r="G25" s="151">
        <v>126.33305990434167</v>
      </c>
      <c r="H25" s="151">
        <v>198.68405032411223</v>
      </c>
      <c r="I25" s="151">
        <v>365.94759479500414</v>
      </c>
      <c r="J25" s="197">
        <v>0.22160963044542339</v>
      </c>
      <c r="K25" s="197">
        <v>0.23973776966625537</v>
      </c>
      <c r="L25" s="71">
        <v>0.23869443957556036</v>
      </c>
      <c r="M25" s="43"/>
    </row>
    <row r="26" spans="1:13" ht="16">
      <c r="A26" s="43">
        <v>1952</v>
      </c>
      <c r="B26" s="71">
        <v>0.18150988641144306</v>
      </c>
      <c r="C26" s="71">
        <v>1.7225000000000001E-2</v>
      </c>
      <c r="D26" s="71">
        <v>2.2679961918305656E-2</v>
      </c>
      <c r="E26" s="71">
        <v>4.4412415047400768E-2</v>
      </c>
      <c r="F26" s="151">
        <v>519.62413250918712</v>
      </c>
      <c r="G26" s="151">
        <v>128.50914686119395</v>
      </c>
      <c r="H26" s="151">
        <v>203.19019701923781</v>
      </c>
      <c r="I26" s="151">
        <v>382.2002112606379</v>
      </c>
      <c r="J26" s="197">
        <v>0.16428488641144307</v>
      </c>
      <c r="K26" s="197">
        <v>0.1588299244931374</v>
      </c>
      <c r="L26" s="71">
        <v>0.13709747136404229</v>
      </c>
      <c r="M26" s="43"/>
    </row>
    <row r="27" spans="1:13" ht="16">
      <c r="A27" s="43">
        <v>1953</v>
      </c>
      <c r="B27" s="71">
        <v>-1.2082047421904465E-2</v>
      </c>
      <c r="C27" s="71">
        <v>1.8908333333333333E-2</v>
      </c>
      <c r="D27" s="71">
        <v>4.1438402589088513E-2</v>
      </c>
      <c r="E27" s="71">
        <v>1.6201123818443276E-2</v>
      </c>
      <c r="F27" s="151">
        <v>513.34600909864514</v>
      </c>
      <c r="G27" s="151">
        <v>130.93904064642769</v>
      </c>
      <c r="H27" s="151">
        <v>211.61007420547722</v>
      </c>
      <c r="I27" s="151">
        <v>388.39228420670662</v>
      </c>
      <c r="J27" s="197">
        <v>-3.0990380755237797E-2</v>
      </c>
      <c r="K27" s="197">
        <v>-5.3520450010992981E-2</v>
      </c>
      <c r="L27" s="71">
        <v>-2.8283171240347741E-2</v>
      </c>
      <c r="M27" s="43"/>
    </row>
    <row r="28" spans="1:13" ht="16">
      <c r="A28" s="43">
        <v>1954</v>
      </c>
      <c r="B28" s="71">
        <v>0.52563321241434902</v>
      </c>
      <c r="C28" s="71">
        <v>9.3833333333333338E-3</v>
      </c>
      <c r="D28" s="71">
        <v>3.2898034558095555E-2</v>
      </c>
      <c r="E28" s="71">
        <v>6.1579051817707856E-2</v>
      </c>
      <c r="F28" s="151">
        <v>783.17772094125166</v>
      </c>
      <c r="G28" s="151">
        <v>132.16768531116</v>
      </c>
      <c r="H28" s="151">
        <v>218.57162973953018</v>
      </c>
      <c r="I28" s="151">
        <v>412.30911280146938</v>
      </c>
      <c r="J28" s="197">
        <v>0.51624987908101572</v>
      </c>
      <c r="K28" s="197">
        <v>0.49273517785625348</v>
      </c>
      <c r="L28" s="71">
        <v>0.46405416059664117</v>
      </c>
      <c r="M28" s="43"/>
    </row>
    <row r="29" spans="1:13" ht="16">
      <c r="A29" s="43">
        <v>1955</v>
      </c>
      <c r="B29" s="71">
        <v>0.32597331851028349</v>
      </c>
      <c r="C29" s="71">
        <v>1.7250000000000001E-2</v>
      </c>
      <c r="D29" s="71">
        <v>-1.3364391288618781E-2</v>
      </c>
      <c r="E29" s="71">
        <v>2.044690004344954E-2</v>
      </c>
      <c r="F29" s="151">
        <v>1038.4727616197922</v>
      </c>
      <c r="G29" s="151">
        <v>134.44757788277749</v>
      </c>
      <c r="H29" s="151">
        <v>215.65055295509998</v>
      </c>
      <c r="I29" s="151">
        <v>420.73955601792437</v>
      </c>
      <c r="J29" s="197">
        <v>0.30872331851028351</v>
      </c>
      <c r="K29" s="197">
        <v>0.33933770979890227</v>
      </c>
      <c r="L29" s="71">
        <v>0.30552641846683393</v>
      </c>
      <c r="M29" s="43"/>
    </row>
    <row r="30" spans="1:13" ht="16">
      <c r="A30" s="43">
        <v>1956</v>
      </c>
      <c r="B30" s="71">
        <v>7.4395118733509347E-2</v>
      </c>
      <c r="C30" s="71">
        <v>2.6275E-2</v>
      </c>
      <c r="D30" s="71">
        <v>-2.2557738173154165E-2</v>
      </c>
      <c r="E30" s="71">
        <v>-2.3526541979620903E-2</v>
      </c>
      <c r="F30" s="151">
        <v>1115.7300660220119</v>
      </c>
      <c r="G30" s="151">
        <v>137.98018799164748</v>
      </c>
      <c r="H30" s="151">
        <v>210.78596424464291</v>
      </c>
      <c r="I30" s="151">
        <v>410.84100919078162</v>
      </c>
      <c r="J30" s="197">
        <v>4.8120118733509347E-2</v>
      </c>
      <c r="K30" s="197">
        <v>9.6952856906663512E-2</v>
      </c>
      <c r="L30" s="71">
        <v>9.7921660713130243E-2</v>
      </c>
      <c r="M30" s="43"/>
    </row>
    <row r="31" spans="1:13" ht="16">
      <c r="A31" s="43">
        <v>1957</v>
      </c>
      <c r="B31" s="71">
        <v>-0.1045736018855796</v>
      </c>
      <c r="C31" s="71">
        <v>3.2250000000000001E-2</v>
      </c>
      <c r="D31" s="71">
        <v>6.7970128466249904E-2</v>
      </c>
      <c r="E31" s="71">
        <v>-7.1892844025423647E-3</v>
      </c>
      <c r="F31" s="151">
        <v>999.05415428605454</v>
      </c>
      <c r="G31" s="151">
        <v>142.43004905437809</v>
      </c>
      <c r="H31" s="151">
        <v>225.11311331323367</v>
      </c>
      <c r="I31" s="151">
        <v>407.88735633148156</v>
      </c>
      <c r="J31" s="197">
        <v>-0.1368236018855796</v>
      </c>
      <c r="K31" s="197">
        <v>-0.17254373035182952</v>
      </c>
      <c r="L31" s="71">
        <v>-9.7384317483037233E-2</v>
      </c>
      <c r="M31" s="43"/>
    </row>
    <row r="32" spans="1:13" ht="16">
      <c r="A32" s="43">
        <v>1958</v>
      </c>
      <c r="B32" s="71">
        <v>0.43719954988747184</v>
      </c>
      <c r="C32" s="71">
        <v>1.7708333333333333E-2</v>
      </c>
      <c r="D32" s="71">
        <v>-2.0990181755274694E-2</v>
      </c>
      <c r="E32" s="71">
        <v>6.4300928973360261E-2</v>
      </c>
      <c r="F32" s="151">
        <v>1435.8401808531264</v>
      </c>
      <c r="G32" s="151">
        <v>144.95224783971605</v>
      </c>
      <c r="H32" s="151">
        <v>220.38794814929315</v>
      </c>
      <c r="I32" s="151">
        <v>434.11489226008382</v>
      </c>
      <c r="J32" s="197">
        <v>0.41949121655413851</v>
      </c>
      <c r="K32" s="197">
        <v>0.45818973164274651</v>
      </c>
      <c r="L32" s="71">
        <v>0.37289862091411158</v>
      </c>
      <c r="M32" s="43"/>
    </row>
    <row r="33" spans="1:13" ht="16">
      <c r="A33" s="43">
        <v>1959</v>
      </c>
      <c r="B33" s="71">
        <v>0.12056457163557326</v>
      </c>
      <c r="C33" s="71">
        <v>3.3858333333333331E-2</v>
      </c>
      <c r="D33" s="71">
        <v>-2.6466312591385065E-2</v>
      </c>
      <c r="E33" s="71">
        <v>1.5743430895022732E-2</v>
      </c>
      <c r="F33" s="151">
        <v>1608.9516371948275</v>
      </c>
      <c r="G33" s="151">
        <v>149.86008936448911</v>
      </c>
      <c r="H33" s="151">
        <v>214.55509182219998</v>
      </c>
      <c r="I33" s="151">
        <v>440.94935006688075</v>
      </c>
      <c r="J33" s="197">
        <v>8.6706238302239919E-2</v>
      </c>
      <c r="K33" s="197">
        <v>0.14703088422695831</v>
      </c>
      <c r="L33" s="71">
        <v>0.10482114074055052</v>
      </c>
      <c r="M33" s="43"/>
    </row>
    <row r="34" spans="1:13" ht="16">
      <c r="A34" s="43">
        <v>1960</v>
      </c>
      <c r="B34" s="71">
        <v>3.36535314743695E-3</v>
      </c>
      <c r="C34" s="71">
        <v>2.8833333333333332E-2</v>
      </c>
      <c r="D34" s="71">
        <v>0.11639503690963365</v>
      </c>
      <c r="E34" s="71">
        <v>6.6631871633034342E-2</v>
      </c>
      <c r="F34" s="151">
        <v>1614.366327651135</v>
      </c>
      <c r="G34" s="151">
        <v>154.18105527449853</v>
      </c>
      <c r="H34" s="151">
        <v>239.52823965399477</v>
      </c>
      <c r="I34" s="151">
        <v>470.33063055720703</v>
      </c>
      <c r="J34" s="197">
        <v>-2.5467980185896383E-2</v>
      </c>
      <c r="K34" s="197">
        <v>-0.1130296837621967</v>
      </c>
      <c r="L34" s="71">
        <v>-6.3266518485597389E-2</v>
      </c>
      <c r="M34" s="71">
        <v>6.1119788031217315E-2</v>
      </c>
    </row>
    <row r="35" spans="1:13" ht="16">
      <c r="A35" s="43">
        <v>1961</v>
      </c>
      <c r="B35" s="71">
        <v>0.26637712958182752</v>
      </c>
      <c r="C35" s="71">
        <v>2.3541666666666666E-2</v>
      </c>
      <c r="D35" s="71">
        <v>2.0609208076323167E-2</v>
      </c>
      <c r="E35" s="71">
        <v>5.0999999999999997E-2</v>
      </c>
      <c r="F35" s="151">
        <v>2044.3965961044005</v>
      </c>
      <c r="G35" s="151">
        <v>157.81073428408567</v>
      </c>
      <c r="H35" s="151">
        <v>244.46472698517934</v>
      </c>
      <c r="I35" s="151">
        <v>494.31749271562455</v>
      </c>
      <c r="J35" s="197">
        <v>0.24283546291516087</v>
      </c>
      <c r="K35" s="197">
        <v>0.24576792150550436</v>
      </c>
      <c r="L35" s="71">
        <v>0.21537712958182753</v>
      </c>
      <c r="M35" s="71">
        <v>6.6173591829972622E-2</v>
      </c>
    </row>
    <row r="36" spans="1:13" ht="16">
      <c r="A36" s="43">
        <v>1962</v>
      </c>
      <c r="B36" s="71">
        <v>-8.8114605171208879E-2</v>
      </c>
      <c r="C36" s="71">
        <v>2.7733333333333336E-2</v>
      </c>
      <c r="D36" s="71">
        <v>5.693544054008462E-2</v>
      </c>
      <c r="E36" s="71">
        <v>6.4953279936065755E-2</v>
      </c>
      <c r="F36" s="151">
        <v>1864.2553972252979</v>
      </c>
      <c r="G36" s="151">
        <v>162.18735198156432</v>
      </c>
      <c r="H36" s="151">
        <v>258.38343391259201</v>
      </c>
      <c r="I36" s="151">
        <v>526.42503519727666</v>
      </c>
      <c r="J36" s="197">
        <v>-0.11584793850454221</v>
      </c>
      <c r="K36" s="197">
        <v>-0.14505004571129348</v>
      </c>
      <c r="L36" s="71">
        <v>-0.15306788510727465</v>
      </c>
      <c r="M36" s="71">
        <v>5.9683465378989942E-2</v>
      </c>
    </row>
    <row r="37" spans="1:13" ht="16">
      <c r="A37" s="43">
        <v>1963</v>
      </c>
      <c r="B37" s="71">
        <v>0.22611927099841514</v>
      </c>
      <c r="C37" s="71">
        <v>3.1591666666666664E-2</v>
      </c>
      <c r="D37" s="71">
        <v>1.6841620739546127E-2</v>
      </c>
      <c r="E37" s="71">
        <v>5.4644805711862345E-2</v>
      </c>
      <c r="F37" s="151">
        <v>2285.7994686007432</v>
      </c>
      <c r="G37" s="151">
        <v>167.31112074291525</v>
      </c>
      <c r="H37" s="151">
        <v>262.73502971192949</v>
      </c>
      <c r="I37" s="151">
        <v>555.19142896749213</v>
      </c>
      <c r="J37" s="197">
        <v>0.19452760433174848</v>
      </c>
      <c r="K37" s="197">
        <v>0.20927765025886902</v>
      </c>
      <c r="L37" s="71">
        <v>0.1714744652865528</v>
      </c>
      <c r="M37" s="71">
        <v>6.3618993911514821E-2</v>
      </c>
    </row>
    <row r="38" spans="1:13" ht="16">
      <c r="A38" s="43">
        <v>1964</v>
      </c>
      <c r="B38" s="71">
        <v>0.16415455878432425</v>
      </c>
      <c r="C38" s="71">
        <v>3.5466666666666667E-2</v>
      </c>
      <c r="D38" s="71">
        <v>3.7280648911540815E-2</v>
      </c>
      <c r="E38" s="71">
        <v>5.1617392722850271E-2</v>
      </c>
      <c r="F38" s="151">
        <v>2661.0238718383412</v>
      </c>
      <c r="G38" s="151">
        <v>173.24508849193066</v>
      </c>
      <c r="H38" s="151">
        <v>272.52996211138321</v>
      </c>
      <c r="I38" s="151">
        <v>583.84896299286754</v>
      </c>
      <c r="J38" s="197">
        <v>0.12868789211765758</v>
      </c>
      <c r="K38" s="197">
        <v>0.12687390987278344</v>
      </c>
      <c r="L38" s="71">
        <v>0.11253716606147399</v>
      </c>
      <c r="M38" s="71">
        <v>6.5267777442658215E-2</v>
      </c>
    </row>
    <row r="39" spans="1:13" ht="16">
      <c r="A39" s="43">
        <v>1965</v>
      </c>
      <c r="B39" s="71">
        <v>0.12399242477876114</v>
      </c>
      <c r="C39" s="71">
        <v>3.9491666666666668E-2</v>
      </c>
      <c r="D39" s="71">
        <v>7.1885509359262342E-3</v>
      </c>
      <c r="E39" s="71">
        <v>3.1900094622538809E-2</v>
      </c>
      <c r="F39" s="151">
        <v>2990.9706741017444</v>
      </c>
      <c r="G39" s="151">
        <v>180.08682577829117</v>
      </c>
      <c r="H39" s="151">
        <v>274.48905762558695</v>
      </c>
      <c r="I39" s="151">
        <v>602.47380015761109</v>
      </c>
      <c r="J39" s="197">
        <v>8.4500758112094482E-2</v>
      </c>
      <c r="K39" s="197">
        <v>0.11680387384283492</v>
      </c>
      <c r="L39" s="71">
        <v>9.2092330156222341E-2</v>
      </c>
      <c r="M39" s="71">
        <v>6.6617941689874449E-2</v>
      </c>
    </row>
    <row r="40" spans="1:13" ht="16">
      <c r="A40" s="43">
        <v>1966</v>
      </c>
      <c r="B40" s="71">
        <v>-9.9709542356377898E-2</v>
      </c>
      <c r="C40" s="71">
        <v>4.8625000000000002E-2</v>
      </c>
      <c r="D40" s="71">
        <v>2.9079409324299622E-2</v>
      </c>
      <c r="E40" s="71">
        <v>-3.4453615975776369E-2</v>
      </c>
      <c r="F40" s="151">
        <v>2692.7423569857124</v>
      </c>
      <c r="G40" s="151">
        <v>188.84354768176055</v>
      </c>
      <c r="H40" s="151">
        <v>282.47103728732264</v>
      </c>
      <c r="I40" s="151">
        <v>581.71639921151416</v>
      </c>
      <c r="J40" s="197">
        <v>-0.14833454235637789</v>
      </c>
      <c r="K40" s="197">
        <v>-0.12878895168067753</v>
      </c>
      <c r="L40" s="71">
        <v>-6.5255926380601528E-2</v>
      </c>
      <c r="M40" s="71">
        <v>6.1123719679815336E-2</v>
      </c>
    </row>
    <row r="41" spans="1:13" ht="16">
      <c r="A41" s="43">
        <v>1967</v>
      </c>
      <c r="B41" s="71">
        <v>0.23802966513133328</v>
      </c>
      <c r="C41" s="71">
        <v>4.306666666666667E-2</v>
      </c>
      <c r="D41" s="71">
        <v>-1.5806209932824666E-2</v>
      </c>
      <c r="E41" s="71">
        <v>8.9522661484468247E-3</v>
      </c>
      <c r="F41" s="151">
        <v>3333.6949185039784</v>
      </c>
      <c r="G41" s="151">
        <v>196.9764098019217</v>
      </c>
      <c r="H41" s="151">
        <v>278.0062407720165</v>
      </c>
      <c r="I41" s="151">
        <v>586.92407924017186</v>
      </c>
      <c r="J41" s="197">
        <v>0.19496299846466661</v>
      </c>
      <c r="K41" s="197">
        <v>0.25383587506415795</v>
      </c>
      <c r="L41" s="71">
        <v>0.22907739898288645</v>
      </c>
      <c r="M41" s="71">
        <v>6.5732838776739522E-2</v>
      </c>
    </row>
    <row r="42" spans="1:13" ht="16">
      <c r="A42" s="43">
        <v>1968</v>
      </c>
      <c r="B42" s="71">
        <v>0.10814862651601535</v>
      </c>
      <c r="C42" s="71">
        <v>5.3383333333333331E-2</v>
      </c>
      <c r="D42" s="71">
        <v>3.2746196950768365E-2</v>
      </c>
      <c r="E42" s="71">
        <v>4.845146224309746E-2</v>
      </c>
      <c r="F42" s="151">
        <v>3694.2294451636035</v>
      </c>
      <c r="G42" s="151">
        <v>207.49166714518097</v>
      </c>
      <c r="H42" s="151">
        <v>287.10988788587969</v>
      </c>
      <c r="I42" s="151">
        <v>615.36140910504173</v>
      </c>
      <c r="J42" s="197">
        <v>5.4765293182682022E-2</v>
      </c>
      <c r="K42" s="197">
        <v>7.5402429565246981E-2</v>
      </c>
      <c r="L42" s="71">
        <v>5.9697164272917894E-2</v>
      </c>
      <c r="M42" s="71">
        <v>6.596627828748769E-2</v>
      </c>
    </row>
    <row r="43" spans="1:13" ht="16">
      <c r="A43" s="43">
        <v>1969</v>
      </c>
      <c r="B43" s="71">
        <v>-8.2413710764490639E-2</v>
      </c>
      <c r="C43" s="71">
        <v>6.6666666666666666E-2</v>
      </c>
      <c r="D43" s="71">
        <v>-5.0140493209926106E-2</v>
      </c>
      <c r="E43" s="71">
        <v>-2.0251642507921469E-2</v>
      </c>
      <c r="F43" s="151">
        <v>3389.7742881722256</v>
      </c>
      <c r="G43" s="151">
        <v>221.3244449548597</v>
      </c>
      <c r="H43" s="151">
        <v>272.7140565018351</v>
      </c>
      <c r="I43" s="151">
        <v>602.89932983467565</v>
      </c>
      <c r="J43" s="197">
        <v>-0.14908037743115732</v>
      </c>
      <c r="K43" s="197">
        <v>-3.2273217554564533E-2</v>
      </c>
      <c r="L43" s="71">
        <v>-6.216206825656917E-2</v>
      </c>
      <c r="M43" s="71">
        <v>6.3333872734198771E-2</v>
      </c>
    </row>
    <row r="44" spans="1:13" ht="16">
      <c r="A44" s="43">
        <v>1970</v>
      </c>
      <c r="B44" s="71">
        <v>3.5611449054964189E-2</v>
      </c>
      <c r="C44" s="71">
        <v>6.3916666666666663E-2</v>
      </c>
      <c r="D44" s="71">
        <v>0.16754737183412338</v>
      </c>
      <c r="E44" s="71">
        <v>5.6495676569888728E-2</v>
      </c>
      <c r="F44" s="151">
        <v>3510.4890625432981</v>
      </c>
      <c r="G44" s="151">
        <v>235.47076572822448</v>
      </c>
      <c r="H44" s="151">
        <v>318.40657993094021</v>
      </c>
      <c r="I44" s="151">
        <v>636.96053537721821</v>
      </c>
      <c r="J44" s="197">
        <v>-2.8305217611702474E-2</v>
      </c>
      <c r="K44" s="197">
        <v>-0.13193592277915919</v>
      </c>
      <c r="L44" s="71">
        <v>-2.0884227514924539E-2</v>
      </c>
      <c r="M44" s="71">
        <v>5.8972566666315007E-2</v>
      </c>
    </row>
    <row r="45" spans="1:13" ht="16">
      <c r="A45" s="43">
        <v>1971</v>
      </c>
      <c r="B45" s="71">
        <v>0.14221150298426474</v>
      </c>
      <c r="C45" s="71">
        <v>4.3324999999999995E-2</v>
      </c>
      <c r="D45" s="71">
        <v>9.7868966197122972E-2</v>
      </c>
      <c r="E45" s="71">
        <v>0.1400146617421994</v>
      </c>
      <c r="F45" s="151">
        <v>4009.720988337403</v>
      </c>
      <c r="G45" s="151">
        <v>245.67253665339982</v>
      </c>
      <c r="H45" s="151">
        <v>349.56870273914296</v>
      </c>
      <c r="I45" s="151">
        <v>726.14434928118965</v>
      </c>
      <c r="J45" s="197">
        <v>9.888650298426474E-2</v>
      </c>
      <c r="K45" s="197">
        <v>4.434253678714177E-2</v>
      </c>
      <c r="L45" s="71">
        <v>2.1968412420653449E-3</v>
      </c>
      <c r="M45" s="71">
        <v>5.8660636809878541E-2</v>
      </c>
    </row>
    <row r="46" spans="1:13" ht="16">
      <c r="A46" s="43">
        <v>1972</v>
      </c>
      <c r="B46" s="71">
        <v>0.18755362915074925</v>
      </c>
      <c r="C46" s="71">
        <v>4.0724999999999997E-2</v>
      </c>
      <c r="D46" s="71">
        <v>2.818449050444969E-2</v>
      </c>
      <c r="E46" s="71">
        <v>0.11409093579389698</v>
      </c>
      <c r="F46" s="151">
        <v>4761.7587115820115</v>
      </c>
      <c r="G46" s="151">
        <v>255.67755070860949</v>
      </c>
      <c r="H46" s="151">
        <v>359.42111852214714</v>
      </c>
      <c r="I46" s="151">
        <v>808.99083761213103</v>
      </c>
      <c r="J46" s="197">
        <v>0.14682862915074923</v>
      </c>
      <c r="K46" s="197">
        <v>0.15936913864629956</v>
      </c>
      <c r="L46" s="71">
        <v>7.3462693356852266E-2</v>
      </c>
      <c r="M46" s="71">
        <v>6.0804303728189568E-2</v>
      </c>
    </row>
    <row r="47" spans="1:13" ht="16">
      <c r="A47" s="43">
        <v>1973</v>
      </c>
      <c r="B47" s="71">
        <v>-0.14308047437526472</v>
      </c>
      <c r="C47" s="71">
        <v>7.0316666666666666E-2</v>
      </c>
      <c r="D47" s="71">
        <v>3.6586646024150085E-2</v>
      </c>
      <c r="E47" s="71">
        <v>4.3180404854323576E-2</v>
      </c>
      <c r="F47" s="151">
        <v>4080.4440162683081</v>
      </c>
      <c r="G47" s="151">
        <v>273.6559438159365</v>
      </c>
      <c r="H47" s="151">
        <v>372.57113175912104</v>
      </c>
      <c r="I47" s="151">
        <v>843.92338950366127</v>
      </c>
      <c r="J47" s="197">
        <v>-0.21339714104193139</v>
      </c>
      <c r="K47" s="197">
        <v>-0.17966712039941479</v>
      </c>
      <c r="L47" s="71">
        <v>-0.18626087922958828</v>
      </c>
      <c r="M47" s="71">
        <v>5.4960045718843054E-2</v>
      </c>
    </row>
    <row r="48" spans="1:13" ht="16">
      <c r="A48" s="43">
        <v>1974</v>
      </c>
      <c r="B48" s="71">
        <v>-0.25901785750896972</v>
      </c>
      <c r="C48" s="71">
        <v>7.8299999999999995E-2</v>
      </c>
      <c r="D48" s="71">
        <v>1.9886086932378574E-2</v>
      </c>
      <c r="E48" s="71">
        <v>-4.3807197977191667E-2</v>
      </c>
      <c r="F48" s="151">
        <v>3023.5361494891954</v>
      </c>
      <c r="G48" s="151">
        <v>295.08320421672431</v>
      </c>
      <c r="H48" s="151">
        <v>379.98011367377757</v>
      </c>
      <c r="I48" s="151">
        <v>806.9534705020917</v>
      </c>
      <c r="J48" s="197">
        <v>-0.3373178575089697</v>
      </c>
      <c r="K48" s="197">
        <v>-0.27890394444134831</v>
      </c>
      <c r="L48" s="71">
        <v>-0.21521065953177804</v>
      </c>
      <c r="M48" s="71">
        <v>4.6417018581159875E-2</v>
      </c>
    </row>
    <row r="49" spans="1:13" ht="16">
      <c r="A49" s="43">
        <v>1975</v>
      </c>
      <c r="B49" s="71">
        <v>0.36995137106184356</v>
      </c>
      <c r="C49" s="71">
        <v>5.7750000000000003E-2</v>
      </c>
      <c r="D49" s="71">
        <v>3.6052536026033838E-2</v>
      </c>
      <c r="E49" s="71">
        <v>0.11049964074144952</v>
      </c>
      <c r="F49" s="151">
        <v>4142.0974934477708</v>
      </c>
      <c r="G49" s="151">
        <v>312.12425926024014</v>
      </c>
      <c r="H49" s="151">
        <v>393.67936041117781</v>
      </c>
      <c r="I49" s="151">
        <v>896.12153908763878</v>
      </c>
      <c r="J49" s="197">
        <v>0.31220137106184354</v>
      </c>
      <c r="K49" s="197">
        <v>0.33389883503580975</v>
      </c>
      <c r="L49" s="71">
        <v>0.25945173032039404</v>
      </c>
      <c r="M49" s="71">
        <v>5.1706756781676244E-2</v>
      </c>
    </row>
    <row r="50" spans="1:13" ht="16">
      <c r="A50" s="43">
        <v>1976</v>
      </c>
      <c r="B50" s="71">
        <v>0.23830999002106662</v>
      </c>
      <c r="C50" s="71">
        <v>4.974166666666667E-2</v>
      </c>
      <c r="D50" s="71">
        <v>0.1598456074290921</v>
      </c>
      <c r="E50" s="71">
        <v>0.19752813987098014</v>
      </c>
      <c r="F50" s="151">
        <v>5129.2007057775936</v>
      </c>
      <c r="G50" s="151">
        <v>327.6498401229432</v>
      </c>
      <c r="H50" s="151">
        <v>456.607276908399</v>
      </c>
      <c r="I50" s="151">
        <v>1073.1307598019398</v>
      </c>
      <c r="J50" s="197">
        <v>0.18856832335439994</v>
      </c>
      <c r="K50" s="197">
        <v>7.8464382591974524E-2</v>
      </c>
      <c r="L50" s="71">
        <v>4.0781850150086479E-2</v>
      </c>
      <c r="M50" s="71">
        <v>5.2196588038950109E-2</v>
      </c>
    </row>
    <row r="51" spans="1:13" ht="16">
      <c r="A51" s="43">
        <v>1977</v>
      </c>
      <c r="B51" s="71">
        <v>-6.9797040759352322E-2</v>
      </c>
      <c r="C51" s="71">
        <v>5.2691666666666671E-2</v>
      </c>
      <c r="D51" s="71">
        <v>1.2899606071070449E-2</v>
      </c>
      <c r="E51" s="71">
        <v>9.9546628520906386E-2</v>
      </c>
      <c r="F51" s="151">
        <v>4771.1976750535359</v>
      </c>
      <c r="G51" s="151">
        <v>344.91425628208793</v>
      </c>
      <c r="H51" s="151">
        <v>462.49733090970153</v>
      </c>
      <c r="I51" s="151">
        <v>1179.9573089023015</v>
      </c>
      <c r="J51" s="197">
        <v>-0.122488707426019</v>
      </c>
      <c r="K51" s="197">
        <v>-8.2696646830422771E-2</v>
      </c>
      <c r="L51" s="71">
        <v>-0.16934366928025871</v>
      </c>
      <c r="M51" s="71">
        <v>4.9266761357046551E-2</v>
      </c>
    </row>
    <row r="52" spans="1:13" ht="16">
      <c r="A52" s="43">
        <v>1978</v>
      </c>
      <c r="B52" s="71">
        <v>6.50928391167193E-2</v>
      </c>
      <c r="C52" s="71">
        <v>7.1883333333333341E-2</v>
      </c>
      <c r="D52" s="71">
        <v>-7.7758069075086478E-3</v>
      </c>
      <c r="E52" s="71">
        <v>3.1375849771690861E-2</v>
      </c>
      <c r="F52" s="151">
        <v>5081.7684777098611</v>
      </c>
      <c r="G52" s="151">
        <v>369.70784273783198</v>
      </c>
      <c r="H52" s="151">
        <v>458.90104096930958</v>
      </c>
      <c r="I52" s="151">
        <v>1216.9794721634289</v>
      </c>
      <c r="J52" s="197">
        <v>-6.7904942166140403E-3</v>
      </c>
      <c r="K52" s="197">
        <v>7.2868646024227948E-2</v>
      </c>
      <c r="L52" s="71">
        <v>3.3716989345028439E-2</v>
      </c>
      <c r="M52" s="71">
        <v>4.9741898913203242E-2</v>
      </c>
    </row>
    <row r="53" spans="1:13" ht="16">
      <c r="A53" s="43">
        <v>1979</v>
      </c>
      <c r="B53" s="71">
        <v>0.18519490167516386</v>
      </c>
      <c r="C53" s="71">
        <v>0.10069166666666667</v>
      </c>
      <c r="D53" s="71">
        <v>6.7072031247235459E-3</v>
      </c>
      <c r="E53" s="71">
        <v>-2.0091101436615355E-2</v>
      </c>
      <c r="F53" s="151">
        <v>6022.8860912752862</v>
      </c>
      <c r="G53" s="151">
        <v>406.93434160284215</v>
      </c>
      <c r="H53" s="151">
        <v>461.97898346523777</v>
      </c>
      <c r="I53" s="151">
        <v>1192.5290141419148</v>
      </c>
      <c r="J53" s="197">
        <v>8.4503235008497199E-2</v>
      </c>
      <c r="K53" s="197">
        <v>0.17848769855044033</v>
      </c>
      <c r="L53" s="71">
        <v>0.20528600311177922</v>
      </c>
      <c r="M53" s="71">
        <v>5.2132252828986925E-2</v>
      </c>
    </row>
    <row r="54" spans="1:13" ht="16">
      <c r="A54" s="43">
        <v>1980</v>
      </c>
      <c r="B54" s="71">
        <v>0.3173524550676301</v>
      </c>
      <c r="C54" s="71">
        <v>0.11434166666666666</v>
      </c>
      <c r="D54" s="71">
        <v>-2.989744251999403E-2</v>
      </c>
      <c r="E54" s="71">
        <v>-3.3156783371910456E-2</v>
      </c>
      <c r="F54" s="151">
        <v>7934.2637789341807</v>
      </c>
      <c r="G54" s="151">
        <v>453.46389244561374</v>
      </c>
      <c r="H54" s="151">
        <v>448.16699336164055</v>
      </c>
      <c r="I54" s="151">
        <v>1152.9885879552935</v>
      </c>
      <c r="J54" s="197">
        <v>0.20301078840096343</v>
      </c>
      <c r="K54" s="197">
        <v>0.34724989758762415</v>
      </c>
      <c r="L54" s="71">
        <v>0.35050923843954057</v>
      </c>
      <c r="M54" s="71">
        <v>5.7318705257589642E-2</v>
      </c>
    </row>
    <row r="55" spans="1:13" ht="16">
      <c r="A55" s="43">
        <v>1981</v>
      </c>
      <c r="B55" s="71">
        <v>-4.7023902474955762E-2</v>
      </c>
      <c r="C55" s="71">
        <v>0.14025000000000001</v>
      </c>
      <c r="D55" s="71">
        <v>8.1992153358923542E-2</v>
      </c>
      <c r="E55" s="71">
        <v>8.4623994808912056E-2</v>
      </c>
      <c r="F55" s="151">
        <v>7561.1637327830058</v>
      </c>
      <c r="G55" s="151">
        <v>517.06220336111107</v>
      </c>
      <c r="H55" s="151">
        <v>484.91317021175587</v>
      </c>
      <c r="I55" s="151">
        <v>1250.5590882371571</v>
      </c>
      <c r="J55" s="197">
        <v>-0.18727390247495579</v>
      </c>
      <c r="K55" s="197">
        <v>-0.12901605583387932</v>
      </c>
      <c r="L55" s="71">
        <v>-0.13164789728386783</v>
      </c>
      <c r="M55" s="71">
        <v>5.3730990468644491E-2</v>
      </c>
    </row>
    <row r="56" spans="1:13" ht="16">
      <c r="A56" s="43">
        <v>1982</v>
      </c>
      <c r="B56" s="71">
        <v>0.20419055079559353</v>
      </c>
      <c r="C56" s="71">
        <v>0.10614166666666666</v>
      </c>
      <c r="D56" s="71">
        <v>0.32814549486295586</v>
      </c>
      <c r="E56" s="71">
        <v>0.2905245565590866</v>
      </c>
      <c r="F56" s="151">
        <v>9105.0819200356327</v>
      </c>
      <c r="G56" s="151">
        <v>571.94404739619824</v>
      </c>
      <c r="H56" s="151">
        <v>644.03524241645721</v>
      </c>
      <c r="I56" s="151">
        <v>1613.8772127981929</v>
      </c>
      <c r="J56" s="197">
        <v>9.8048884128926872E-2</v>
      </c>
      <c r="K56" s="197">
        <v>-0.12395494406736232</v>
      </c>
      <c r="L56" s="71">
        <v>-8.6334005763493066E-2</v>
      </c>
      <c r="M56" s="71">
        <v>5.1038688692139678E-2</v>
      </c>
    </row>
    <row r="57" spans="1:13" ht="16">
      <c r="A57" s="43">
        <v>1983</v>
      </c>
      <c r="B57" s="71">
        <v>0.22337155858930619</v>
      </c>
      <c r="C57" s="71">
        <v>8.6108333333333342E-2</v>
      </c>
      <c r="D57" s="71">
        <v>3.2002094451429264E-2</v>
      </c>
      <c r="E57" s="71">
        <v>0.16194289622798366</v>
      </c>
      <c r="F57" s="151">
        <v>11138.898259597305</v>
      </c>
      <c r="G57" s="151">
        <v>621.19319607740579</v>
      </c>
      <c r="H57" s="151">
        <v>664.64571907431775</v>
      </c>
      <c r="I57" s="151">
        <v>1875.233162795078</v>
      </c>
      <c r="J57" s="197">
        <v>0.13726322525597284</v>
      </c>
      <c r="K57" s="197">
        <v>0.19136946413787692</v>
      </c>
      <c r="L57" s="71">
        <v>6.1428662361322522E-2</v>
      </c>
      <c r="M57" s="71">
        <v>5.3402830654563971E-2</v>
      </c>
    </row>
    <row r="58" spans="1:13" ht="16">
      <c r="A58" s="43">
        <v>1984</v>
      </c>
      <c r="B58" s="71">
        <v>6.14614199963621E-2</v>
      </c>
      <c r="C58" s="71">
        <v>9.5225000000000004E-2</v>
      </c>
      <c r="D58" s="71">
        <v>0.13733364344102345</v>
      </c>
      <c r="E58" s="71">
        <v>0.15619207332454216</v>
      </c>
      <c r="F58" s="151">
        <v>11823.510763827162</v>
      </c>
      <c r="G58" s="151">
        <v>680.34631817387685</v>
      </c>
      <c r="H58" s="151">
        <v>755.92393727227272</v>
      </c>
      <c r="I58" s="151">
        <v>2168.1297184589798</v>
      </c>
      <c r="J58" s="197">
        <v>-3.3763580003637904E-2</v>
      </c>
      <c r="K58" s="197">
        <v>-7.5872223444661352E-2</v>
      </c>
      <c r="L58" s="71">
        <v>-9.4730653328180064E-2</v>
      </c>
      <c r="M58" s="71">
        <v>5.1212126318051387E-2</v>
      </c>
    </row>
    <row r="59" spans="1:13" ht="16">
      <c r="A59" s="43">
        <v>1985</v>
      </c>
      <c r="B59" s="71">
        <v>0.31235149485768948</v>
      </c>
      <c r="C59" s="71">
        <v>7.4791666666666673E-2</v>
      </c>
      <c r="D59" s="71">
        <v>0.2571248821260641</v>
      </c>
      <c r="E59" s="71">
        <v>0.23862641849916477</v>
      </c>
      <c r="F59" s="151">
        <v>15516.602025374559</v>
      </c>
      <c r="G59" s="151">
        <v>731.23055322063135</v>
      </c>
      <c r="H59" s="151">
        <v>950.2907905396761</v>
      </c>
      <c r="I59" s="151">
        <v>2685.5027480164485</v>
      </c>
      <c r="J59" s="197">
        <v>0.23755982819102281</v>
      </c>
      <c r="K59" s="197">
        <v>5.522661273162538E-2</v>
      </c>
      <c r="L59" s="71">
        <v>7.372507635852471E-2</v>
      </c>
      <c r="M59" s="71">
        <v>5.1284365102581608E-2</v>
      </c>
    </row>
    <row r="60" spans="1:13" ht="16">
      <c r="A60" s="43">
        <v>1986</v>
      </c>
      <c r="B60" s="71">
        <v>0.18494578758046187</v>
      </c>
      <c r="C60" s="71">
        <v>5.9783333333333334E-2</v>
      </c>
      <c r="D60" s="71">
        <v>0.24284215141767618</v>
      </c>
      <c r="E60" s="71">
        <v>0.21485515309759495</v>
      </c>
      <c r="F60" s="151">
        <v>18386.332207530046</v>
      </c>
      <c r="G60" s="151">
        <v>774.94595312733804</v>
      </c>
      <c r="H60" s="151">
        <v>1181.0614505867354</v>
      </c>
      <c r="I60" s="151">
        <v>3262.496852085535</v>
      </c>
      <c r="J60" s="197">
        <v>0.12516245424712855</v>
      </c>
      <c r="K60" s="197">
        <v>-5.7896363837214304E-2</v>
      </c>
      <c r="L60" s="71">
        <v>-2.990936551713308E-2</v>
      </c>
      <c r="M60" s="71">
        <v>4.9663565599739057E-2</v>
      </c>
    </row>
    <row r="61" spans="1:13" ht="16">
      <c r="A61" s="43">
        <v>1987</v>
      </c>
      <c r="B61" s="71">
        <v>5.8127216418218712E-2</v>
      </c>
      <c r="C61" s="71">
        <v>5.7750000000000003E-2</v>
      </c>
      <c r="D61" s="71">
        <v>-4.9605089379262279E-2</v>
      </c>
      <c r="E61" s="71">
        <v>2.289846084276681E-2</v>
      </c>
      <c r="F61" s="151">
        <v>19455.07851889441</v>
      </c>
      <c r="G61" s="151">
        <v>819.69908192044181</v>
      </c>
      <c r="H61" s="151">
        <v>1122.4747917679792</v>
      </c>
      <c r="I61" s="151">
        <v>3337.2030085026654</v>
      </c>
      <c r="J61" s="197">
        <v>3.7721641821870933E-4</v>
      </c>
      <c r="K61" s="197">
        <v>0.107732305797481</v>
      </c>
      <c r="L61" s="71">
        <v>3.5228755575451902E-2</v>
      </c>
      <c r="M61" s="71">
        <v>5.0693590437507208E-2</v>
      </c>
    </row>
    <row r="62" spans="1:13" ht="16">
      <c r="A62" s="43">
        <v>1988</v>
      </c>
      <c r="B62" s="71">
        <v>0.16537192812044688</v>
      </c>
      <c r="C62" s="71">
        <v>6.6674999999999998E-2</v>
      </c>
      <c r="D62" s="71">
        <v>8.2235958434841674E-2</v>
      </c>
      <c r="E62" s="71">
        <v>0.15115070067120029</v>
      </c>
      <c r="F62" s="151">
        <v>22672.402365298665</v>
      </c>
      <c r="G62" s="151">
        <v>874.35251820748726</v>
      </c>
      <c r="H62" s="151">
        <v>1214.7825820879684</v>
      </c>
      <c r="I62" s="151">
        <v>3841.6235815198806</v>
      </c>
      <c r="J62" s="197">
        <v>9.8696928120446878E-2</v>
      </c>
      <c r="K62" s="197">
        <v>8.3135969685605202E-2</v>
      </c>
      <c r="L62" s="71">
        <v>1.4221227449246587E-2</v>
      </c>
      <c r="M62" s="71">
        <v>5.1199933578993884E-2</v>
      </c>
    </row>
    <row r="63" spans="1:13" ht="16">
      <c r="A63" s="43">
        <v>1989</v>
      </c>
      <c r="B63" s="71">
        <v>0.31475183638196724</v>
      </c>
      <c r="C63" s="71">
        <v>8.111666666666667E-2</v>
      </c>
      <c r="D63" s="71">
        <v>0.17693647159446219</v>
      </c>
      <c r="E63" s="71">
        <v>0.15789666531437313</v>
      </c>
      <c r="F63" s="151">
        <v>29808.582644967279</v>
      </c>
      <c r="G63" s="151">
        <v>945.27707997608468</v>
      </c>
      <c r="H63" s="151">
        <v>1429.7219259170236</v>
      </c>
      <c r="I63" s="151">
        <v>4448.2031344349289</v>
      </c>
      <c r="J63" s="197">
        <v>0.23363516971530057</v>
      </c>
      <c r="K63" s="197">
        <v>0.13781536478750506</v>
      </c>
      <c r="L63" s="71">
        <v>0.15685517106759411</v>
      </c>
      <c r="M63" s="71">
        <v>5.240982169336883E-2</v>
      </c>
    </row>
    <row r="64" spans="1:13" ht="16">
      <c r="A64" s="43">
        <v>1990</v>
      </c>
      <c r="B64" s="71">
        <v>-3.0644516129032118E-2</v>
      </c>
      <c r="C64" s="71">
        <v>7.4933333333333338E-2</v>
      </c>
      <c r="D64" s="71">
        <v>6.2353753335533363E-2</v>
      </c>
      <c r="E64" s="71">
        <v>6.1400628860817041E-2</v>
      </c>
      <c r="F64" s="151">
        <v>28895.113053319994</v>
      </c>
      <c r="G64" s="151">
        <v>1016.1098425022926</v>
      </c>
      <c r="H64" s="151">
        <v>1518.8704542240573</v>
      </c>
      <c r="I64" s="151">
        <v>4721.3256041898912</v>
      </c>
      <c r="J64" s="197">
        <v>-0.10557784946236545</v>
      </c>
      <c r="K64" s="197">
        <v>-9.2998269464565478E-2</v>
      </c>
      <c r="L64" s="71">
        <v>-9.2045144989849156E-2</v>
      </c>
      <c r="M64" s="71">
        <v>4.9979953137364364E-2</v>
      </c>
    </row>
    <row r="65" spans="1:13" ht="16">
      <c r="A65" s="43">
        <v>1991</v>
      </c>
      <c r="B65" s="71">
        <v>0.30234843134879757</v>
      </c>
      <c r="C65" s="71">
        <v>5.3749999999999999E-2</v>
      </c>
      <c r="D65" s="71">
        <v>0.15004510019517303</v>
      </c>
      <c r="E65" s="71">
        <v>0.17853487146763175</v>
      </c>
      <c r="F65" s="151">
        <v>37631.505158637461</v>
      </c>
      <c r="G65" s="151">
        <v>1070.7257465367909</v>
      </c>
      <c r="H65" s="151">
        <v>1746.769523711594</v>
      </c>
      <c r="I65" s="151">
        <v>5564.2468640907728</v>
      </c>
      <c r="J65" s="197">
        <v>0.24859843134879758</v>
      </c>
      <c r="K65" s="197">
        <v>0.15230333115362454</v>
      </c>
      <c r="L65" s="71">
        <v>0.12381355988116582</v>
      </c>
      <c r="M65" s="71">
        <v>5.13850639844049E-2</v>
      </c>
    </row>
    <row r="66" spans="1:13" ht="16">
      <c r="A66" s="43">
        <v>1992</v>
      </c>
      <c r="B66" s="71">
        <v>7.493727972380064E-2</v>
      </c>
      <c r="C66" s="71">
        <v>3.4316666666666669E-2</v>
      </c>
      <c r="D66" s="71">
        <v>9.3616373162079422E-2</v>
      </c>
      <c r="E66" s="71">
        <v>0.12172255869896652</v>
      </c>
      <c r="F66" s="151">
        <v>40451.507787137925</v>
      </c>
      <c r="G66" s="151">
        <v>1107.4694850721119</v>
      </c>
      <c r="H66" s="151">
        <v>1910.2957512715263</v>
      </c>
      <c r="I66" s="151">
        <v>6241.5412296206023</v>
      </c>
      <c r="J66" s="197">
        <v>4.0620613057133971E-2</v>
      </c>
      <c r="K66" s="197">
        <v>-1.8679093438278782E-2</v>
      </c>
      <c r="L66" s="71">
        <v>-4.6785278975165878E-2</v>
      </c>
      <c r="M66" s="71">
        <v>5.0319857010869606E-2</v>
      </c>
    </row>
    <row r="67" spans="1:13" ht="16">
      <c r="A67" s="43">
        <v>1993</v>
      </c>
      <c r="B67" s="71">
        <v>9.96705147919488E-2</v>
      </c>
      <c r="C67" s="71">
        <v>2.9975000000000002E-2</v>
      </c>
      <c r="D67" s="71">
        <v>0.14210957589263107</v>
      </c>
      <c r="E67" s="71">
        <v>0.16431517219561104</v>
      </c>
      <c r="F67" s="151">
        <v>44483.33039239249</v>
      </c>
      <c r="G67" s="151">
        <v>1140.6658828871484</v>
      </c>
      <c r="H67" s="151">
        <v>2181.7670703142176</v>
      </c>
      <c r="I67" s="151">
        <v>7267.1211515317182</v>
      </c>
      <c r="J67" s="197">
        <v>6.9695514791948798E-2</v>
      </c>
      <c r="K67" s="197">
        <v>-4.2439061100682268E-2</v>
      </c>
      <c r="L67" s="71">
        <v>-6.4644657403662237E-2</v>
      </c>
      <c r="M67" s="71">
        <v>4.8975937931758473E-2</v>
      </c>
    </row>
    <row r="68" spans="1:13" ht="16">
      <c r="A68" s="43">
        <v>1994</v>
      </c>
      <c r="B68" s="71">
        <v>1.3259206774573897E-2</v>
      </c>
      <c r="C68" s="71">
        <v>4.2466666666666673E-2</v>
      </c>
      <c r="D68" s="71">
        <v>-8.0366555509985921E-2</v>
      </c>
      <c r="E68" s="71">
        <v>-1.3192033475710699E-2</v>
      </c>
      <c r="F68" s="151">
        <v>45073.144068086905</v>
      </c>
      <c r="G68" s="151">
        <v>1189.106160713756</v>
      </c>
      <c r="H68" s="151">
        <v>2006.4259659479505</v>
      </c>
      <c r="I68" s="151">
        <v>7171.2530460286662</v>
      </c>
      <c r="J68" s="197">
        <v>-2.9207459892092776E-2</v>
      </c>
      <c r="K68" s="197">
        <v>9.3625762284559821E-2</v>
      </c>
      <c r="L68" s="71">
        <v>2.6451240250284596E-2</v>
      </c>
      <c r="M68" s="71">
        <v>4.9718636171719899E-2</v>
      </c>
    </row>
    <row r="69" spans="1:13" ht="16">
      <c r="A69" s="43">
        <v>1995</v>
      </c>
      <c r="B69" s="71">
        <v>0.37195198902606308</v>
      </c>
      <c r="C69" s="71">
        <v>5.4900000000000004E-2</v>
      </c>
      <c r="D69" s="71">
        <v>0.23480780112538907</v>
      </c>
      <c r="E69" s="71">
        <v>0.20156218170640219</v>
      </c>
      <c r="F69" s="151">
        <v>61838.189655870119</v>
      </c>
      <c r="G69" s="151">
        <v>1254.3880889369411</v>
      </c>
      <c r="H69" s="151">
        <v>2477.5504351330737</v>
      </c>
      <c r="I69" s="151">
        <v>8616.7064555548859</v>
      </c>
      <c r="J69" s="197">
        <v>0.31705198902606307</v>
      </c>
      <c r="K69" s="197">
        <v>0.13714418790067401</v>
      </c>
      <c r="L69" s="71">
        <v>0.17038980731966089</v>
      </c>
      <c r="M69" s="71">
        <v>5.0791451119413633E-2</v>
      </c>
    </row>
    <row r="70" spans="1:13" ht="16">
      <c r="A70" s="43">
        <v>1996</v>
      </c>
      <c r="B70" s="71">
        <v>0.22680966018865789</v>
      </c>
      <c r="C70" s="71">
        <v>5.0058333333333337E-2</v>
      </c>
      <c r="D70" s="71">
        <v>1.428607793401844E-2</v>
      </c>
      <c r="E70" s="71">
        <v>4.79259941944115E-2</v>
      </c>
      <c r="F70" s="151">
        <v>75863.688438399797</v>
      </c>
      <c r="G70" s="151">
        <v>1317.1806660223094</v>
      </c>
      <c r="H70" s="151">
        <v>2512.9449137348461</v>
      </c>
      <c r="I70" s="151">
        <v>9029.6706791187571</v>
      </c>
      <c r="J70" s="197">
        <v>0.17675132685532455</v>
      </c>
      <c r="K70" s="197">
        <v>0.21252358225463946</v>
      </c>
      <c r="L70" s="71">
        <v>0.17888366599424638</v>
      </c>
      <c r="M70" s="71">
        <v>5.304503967737495E-2</v>
      </c>
    </row>
    <row r="71" spans="1:13" ht="16">
      <c r="A71" s="43">
        <v>1997</v>
      </c>
      <c r="B71" s="71">
        <v>0.33103653103653097</v>
      </c>
      <c r="C71" s="71">
        <v>5.0608333333333332E-2</v>
      </c>
      <c r="D71" s="71">
        <v>9.939130272977531E-2</v>
      </c>
      <c r="E71" s="71">
        <v>0.11834887244426365</v>
      </c>
      <c r="F71" s="151">
        <v>100977.34069068384</v>
      </c>
      <c r="G71" s="151">
        <v>1383.8409842285885</v>
      </c>
      <c r="H71" s="151">
        <v>2762.7097823991153</v>
      </c>
      <c r="I71" s="151">
        <v>10098.322022535491</v>
      </c>
      <c r="J71" s="197">
        <v>0.28042819770319766</v>
      </c>
      <c r="K71" s="197">
        <v>0.23164522830675566</v>
      </c>
      <c r="L71" s="71">
        <v>0.21268765859226732</v>
      </c>
      <c r="M71" s="71">
        <v>5.5315584903303572E-2</v>
      </c>
    </row>
    <row r="72" spans="1:13" ht="16">
      <c r="A72" s="43">
        <v>1998</v>
      </c>
      <c r="B72" s="71">
        <v>0.28337953278443584</v>
      </c>
      <c r="C72" s="71">
        <v>4.7766666666666666E-2</v>
      </c>
      <c r="D72" s="71">
        <v>0.14921431922606215</v>
      </c>
      <c r="E72" s="71">
        <v>7.9454561327070808E-2</v>
      </c>
      <c r="F72" s="151">
        <v>129592.25231742462</v>
      </c>
      <c r="G72" s="151">
        <v>1449.9424552419075</v>
      </c>
      <c r="H72" s="151">
        <v>3174.9456417989818</v>
      </c>
      <c r="I72" s="151">
        <v>10900.679768975546</v>
      </c>
      <c r="J72" s="197">
        <v>0.23561286611776916</v>
      </c>
      <c r="K72" s="197">
        <v>0.13416521355837369</v>
      </c>
      <c r="L72" s="71">
        <v>0.20392497145736505</v>
      </c>
      <c r="M72" s="71">
        <v>5.6306048135548625E-2</v>
      </c>
    </row>
    <row r="73" spans="1:13" ht="16">
      <c r="A73" s="43">
        <v>1999</v>
      </c>
      <c r="B73" s="71">
        <v>0.20885350992084475</v>
      </c>
      <c r="C73" s="71">
        <v>4.6383333333333339E-2</v>
      </c>
      <c r="D73" s="71">
        <v>-8.2542147962685761E-2</v>
      </c>
      <c r="E73" s="71">
        <v>8.4316347548218651E-3</v>
      </c>
      <c r="F73" s="151">
        <v>156658.0490724665</v>
      </c>
      <c r="G73" s="151">
        <v>1517.1956194575448</v>
      </c>
      <c r="H73" s="151">
        <v>2912.8788088601259</v>
      </c>
      <c r="I73" s="151">
        <v>10992.590319366824</v>
      </c>
      <c r="J73" s="197">
        <v>0.16247017658751142</v>
      </c>
      <c r="K73" s="197">
        <v>0.2913956578835305</v>
      </c>
      <c r="L73" s="71">
        <v>0.20042187516602289</v>
      </c>
      <c r="M73" s="71">
        <v>5.9634694818320177E-2</v>
      </c>
    </row>
    <row r="74" spans="1:13" ht="16">
      <c r="A74" s="43">
        <v>2000</v>
      </c>
      <c r="B74" s="71">
        <v>-9.0318189552492781E-2</v>
      </c>
      <c r="C74" s="71">
        <v>5.8166666666666665E-2</v>
      </c>
      <c r="D74" s="71">
        <v>0.16655267125397488</v>
      </c>
      <c r="E74" s="71">
        <v>9.3296855210372037E-2</v>
      </c>
      <c r="F74" s="151">
        <v>142508.97770141574</v>
      </c>
      <c r="G74" s="151">
        <v>1605.4458313226587</v>
      </c>
      <c r="H74" s="151">
        <v>3398.0265555148762</v>
      </c>
      <c r="I74" s="151">
        <v>12018.164426779729</v>
      </c>
      <c r="J74" s="197">
        <v>-0.14848485621915944</v>
      </c>
      <c r="K74" s="197">
        <v>-0.25687086080646765</v>
      </c>
      <c r="L74" s="71">
        <v>-0.18361504476286483</v>
      </c>
      <c r="M74" s="71">
        <v>5.5111895842923087E-2</v>
      </c>
    </row>
    <row r="75" spans="1:13" ht="16">
      <c r="A75" s="43">
        <v>2001</v>
      </c>
      <c r="B75" s="71">
        <v>-0.11849759142000185</v>
      </c>
      <c r="C75" s="71">
        <v>3.3883333333333335E-2</v>
      </c>
      <c r="D75" s="71">
        <v>5.5721811892492555E-2</v>
      </c>
      <c r="E75" s="71">
        <v>7.8191507542878236E-2</v>
      </c>
      <c r="F75" s="151">
        <v>125622.00708807123</v>
      </c>
      <c r="G75" s="151">
        <v>1659.8436875739746</v>
      </c>
      <c r="H75" s="151">
        <v>3587.3707520469702</v>
      </c>
      <c r="I75" s="151">
        <v>12957.882821207828</v>
      </c>
      <c r="J75" s="197">
        <v>-0.1523809247533352</v>
      </c>
      <c r="K75" s="197">
        <v>-0.17421940331249441</v>
      </c>
      <c r="L75" s="71">
        <v>-0.19668909896288009</v>
      </c>
      <c r="M75" s="71">
        <v>5.1665345512908356E-2</v>
      </c>
    </row>
    <row r="76" spans="1:13" ht="16">
      <c r="A76" s="43">
        <v>2002</v>
      </c>
      <c r="B76" s="71">
        <v>-0.21966047957912699</v>
      </c>
      <c r="C76" s="71">
        <v>1.6025000000000001E-2</v>
      </c>
      <c r="D76" s="71">
        <v>0.15116400378109285</v>
      </c>
      <c r="E76" s="71">
        <v>0.12177867693975485</v>
      </c>
      <c r="F76" s="151">
        <v>98027.816765413008</v>
      </c>
      <c r="G76" s="151">
        <v>1686.4426826673475</v>
      </c>
      <c r="H76" s="151">
        <v>4129.6520779735802</v>
      </c>
      <c r="I76" s="151">
        <v>14535.876647114896</v>
      </c>
      <c r="J76" s="197">
        <v>-0.235685479579127</v>
      </c>
      <c r="K76" s="197">
        <v>-0.37082448336021984</v>
      </c>
      <c r="L76" s="71">
        <v>-0.34143915651888185</v>
      </c>
      <c r="M76" s="71">
        <v>4.5325449773477855E-2</v>
      </c>
    </row>
    <row r="77" spans="1:13" ht="16">
      <c r="A77" s="43">
        <v>2003</v>
      </c>
      <c r="B77" s="71">
        <v>0.28355800050010233</v>
      </c>
      <c r="C77" s="71">
        <v>1.0108333333333332E-2</v>
      </c>
      <c r="D77" s="71">
        <v>3.7531858817758529E-3</v>
      </c>
      <c r="E77" s="71">
        <v>0.13532012096857571</v>
      </c>
      <c r="F77" s="151">
        <v>125824.38848080393</v>
      </c>
      <c r="G77" s="151">
        <v>1703.4898074513101</v>
      </c>
      <c r="H77" s="151">
        <v>4145.1514298492766</v>
      </c>
      <c r="I77" s="151">
        <v>16502.873233386777</v>
      </c>
      <c r="J77" s="197">
        <v>0.27344966716676899</v>
      </c>
      <c r="K77" s="197">
        <v>0.27980481461832646</v>
      </c>
      <c r="L77" s="71">
        <v>0.14823787953152662</v>
      </c>
      <c r="M77" s="71">
        <v>4.8237796117156506E-2</v>
      </c>
    </row>
    <row r="78" spans="1:13" ht="16">
      <c r="A78" s="43">
        <v>2004</v>
      </c>
      <c r="B78" s="71">
        <v>0.10742775944096193</v>
      </c>
      <c r="C78" s="71">
        <v>1.3716666666666665E-2</v>
      </c>
      <c r="D78" s="71">
        <v>4.490683702274547E-2</v>
      </c>
      <c r="E78" s="71">
        <v>9.888628408721839E-2</v>
      </c>
      <c r="F78" s="151">
        <v>139341.42061832585</v>
      </c>
      <c r="G78" s="151">
        <v>1726.8560093101837</v>
      </c>
      <c r="H78" s="151">
        <v>4331.2970695441181</v>
      </c>
      <c r="I78" s="151">
        <v>18134.781044198815</v>
      </c>
      <c r="J78" s="197">
        <v>9.3711092774295263E-2</v>
      </c>
      <c r="K78" s="197">
        <v>6.2520922418216468E-2</v>
      </c>
      <c r="L78" s="71">
        <v>8.5414753537435412E-3</v>
      </c>
      <c r="M78" s="71">
        <v>4.842299846885445E-2</v>
      </c>
    </row>
    <row r="79" spans="1:13" ht="16">
      <c r="A79" s="43">
        <v>2005</v>
      </c>
      <c r="B79" s="71">
        <v>4.8344775232688535E-2</v>
      </c>
      <c r="C79" s="71">
        <v>3.1466666666666664E-2</v>
      </c>
      <c r="D79" s="71">
        <v>2.8675329597779506E-2</v>
      </c>
      <c r="E79" s="71">
        <v>4.9175379871695298E-2</v>
      </c>
      <c r="F79" s="151">
        <v>146077.8502787223</v>
      </c>
      <c r="G79" s="151">
        <v>1781.1944117364776</v>
      </c>
      <c r="H79" s="151">
        <v>4455.4984405991927</v>
      </c>
      <c r="I79" s="151">
        <v>19026.565790937311</v>
      </c>
      <c r="J79" s="197">
        <v>1.6878108566021871E-2</v>
      </c>
      <c r="K79" s="197">
        <v>1.9669445634909029E-2</v>
      </c>
      <c r="L79" s="71">
        <v>-8.3060463900676285E-4</v>
      </c>
      <c r="M79" s="71">
        <v>4.8042189402255131E-2</v>
      </c>
    </row>
    <row r="80" spans="1:13" ht="16">
      <c r="A80" s="43">
        <v>2006</v>
      </c>
      <c r="B80" s="71">
        <v>0.15612557979315703</v>
      </c>
      <c r="C80" s="71">
        <v>4.7266666666666665E-2</v>
      </c>
      <c r="D80" s="71">
        <v>1.9610012417568386E-2</v>
      </c>
      <c r="E80" s="71">
        <v>7.048397662889147E-2</v>
      </c>
      <c r="F80" s="151">
        <v>168884.33934842583</v>
      </c>
      <c r="G80" s="151">
        <v>1865.385534264555</v>
      </c>
      <c r="H80" s="151">
        <v>4542.8708203458</v>
      </c>
      <c r="I80" s="151">
        <v>20367.633809473802</v>
      </c>
      <c r="J80" s="197">
        <v>0.10885891312649036</v>
      </c>
      <c r="K80" s="197">
        <v>0.13651556737558865</v>
      </c>
      <c r="L80" s="71">
        <v>8.5641603164265556E-2</v>
      </c>
      <c r="M80" s="71">
        <v>4.9149036004805913E-2</v>
      </c>
    </row>
    <row r="81" spans="1:13" ht="16">
      <c r="A81" s="43">
        <v>2007</v>
      </c>
      <c r="B81" s="71">
        <v>5.4847352464217694E-2</v>
      </c>
      <c r="C81" s="71">
        <v>4.3533333333333334E-2</v>
      </c>
      <c r="D81" s="71">
        <v>0.10209921930012807</v>
      </c>
      <c r="E81" s="71">
        <v>3.1503861528055586E-2</v>
      </c>
      <c r="F81" s="151">
        <v>178147.19823435548</v>
      </c>
      <c r="G81" s="151">
        <v>1946.5919845228721</v>
      </c>
      <c r="H81" s="151">
        <v>5006.6943844844382</v>
      </c>
      <c r="I81" s="151">
        <v>21009.292924661608</v>
      </c>
      <c r="J81" s="197">
        <v>1.131401913088436E-2</v>
      </c>
      <c r="K81" s="197">
        <v>-4.7251866835910372E-2</v>
      </c>
      <c r="L81" s="71">
        <v>2.3343490936162108E-2</v>
      </c>
      <c r="M81" s="71">
        <v>4.7948712238125024E-2</v>
      </c>
    </row>
    <row r="82" spans="1:13" ht="16">
      <c r="A82" s="43">
        <v>2008</v>
      </c>
      <c r="B82" s="71">
        <v>-0.36552344111798191</v>
      </c>
      <c r="C82" s="71">
        <v>1.3650000000000001E-2</v>
      </c>
      <c r="D82" s="71">
        <v>0.20101279926977011</v>
      </c>
      <c r="E82" s="71">
        <v>-5.0657146287488741E-2</v>
      </c>
      <c r="F82" s="151">
        <v>113030.22131020659</v>
      </c>
      <c r="G82" s="151">
        <v>1973.1629651116091</v>
      </c>
      <c r="H82" s="151">
        <v>6013.1040377978934</v>
      </c>
      <c r="I82" s="151">
        <v>19945.022099580321</v>
      </c>
      <c r="J82" s="197">
        <v>-0.3791734411179819</v>
      </c>
      <c r="K82" s="197">
        <v>-0.56653624038775208</v>
      </c>
      <c r="L82" s="71">
        <v>-0.31486629483049317</v>
      </c>
      <c r="M82" s="71">
        <v>3.8795868868689798E-2</v>
      </c>
    </row>
    <row r="83" spans="1:13" ht="16">
      <c r="A83" s="43">
        <v>2009</v>
      </c>
      <c r="B83" s="71">
        <v>0.25935233877663982</v>
      </c>
      <c r="C83" s="71">
        <v>1.5E-3</v>
      </c>
      <c r="D83" s="71">
        <v>-0.11116695313259162</v>
      </c>
      <c r="E83" s="71">
        <v>0.23329502491661896</v>
      </c>
      <c r="F83" s="151">
        <v>142344.87355944986</v>
      </c>
      <c r="G83" s="151">
        <v>1976.1227095592767</v>
      </c>
      <c r="H83" s="151">
        <v>5344.6455830466175</v>
      </c>
      <c r="I83" s="151">
        <v>24598.096527264428</v>
      </c>
      <c r="J83" s="197">
        <v>0.25785233877663982</v>
      </c>
      <c r="K83" s="197">
        <v>0.37051929190923144</v>
      </c>
      <c r="L83" s="71">
        <v>2.6057313860020859E-2</v>
      </c>
      <c r="M83" s="71">
        <v>4.2868506133348472E-2</v>
      </c>
    </row>
    <row r="84" spans="1:13" ht="16">
      <c r="A84" s="43">
        <v>2010</v>
      </c>
      <c r="B84" s="71">
        <v>0.14821092278719414</v>
      </c>
      <c r="C84" s="71">
        <v>1.3666666666666666E-3</v>
      </c>
      <c r="D84" s="71">
        <v>8.4629338803557719E-2</v>
      </c>
      <c r="E84" s="71">
        <v>8.3478423659066131E-2</v>
      </c>
      <c r="F84" s="151">
        <v>163441.93862372241</v>
      </c>
      <c r="G84" s="151">
        <v>1978.8234105956744</v>
      </c>
      <c r="H84" s="151">
        <v>5796.9594048792078</v>
      </c>
      <c r="I84" s="151">
        <v>26651.506850374015</v>
      </c>
      <c r="J84" s="197">
        <v>0.14684425612052748</v>
      </c>
      <c r="K84" s="197">
        <v>6.3581583983636419E-2</v>
      </c>
      <c r="L84" s="71">
        <v>6.4732499128128007E-2</v>
      </c>
      <c r="M84" s="71">
        <v>4.3108516433475463E-2</v>
      </c>
    </row>
    <row r="85" spans="1:13" ht="16">
      <c r="A85" s="43">
        <v>2011</v>
      </c>
      <c r="B85" s="71">
        <v>2.09837473362805E-2</v>
      </c>
      <c r="C85" s="71">
        <v>5.2499999999999997E-4</v>
      </c>
      <c r="D85" s="71">
        <v>0.16035334999461354</v>
      </c>
      <c r="E85" s="71">
        <v>0.12584514401372299</v>
      </c>
      <c r="F85" s="151">
        <v>166871.56296795449</v>
      </c>
      <c r="G85" s="151">
        <v>1979.8622928862374</v>
      </c>
      <c r="H85" s="151">
        <v>6726.5212652343698</v>
      </c>
      <c r="I85" s="151">
        <v>30005.469568142056</v>
      </c>
      <c r="J85" s="197">
        <v>2.0458747336280499E-2</v>
      </c>
      <c r="K85" s="197">
        <v>-0.13936960265833304</v>
      </c>
      <c r="L85" s="71">
        <v>-0.10486139667744249</v>
      </c>
      <c r="M85" s="71">
        <v>4.0970429004248521E-2</v>
      </c>
    </row>
    <row r="86" spans="1:13" ht="16">
      <c r="A86" s="43">
        <v>2012</v>
      </c>
      <c r="B86" s="71">
        <v>0.15890585241730293</v>
      </c>
      <c r="C86" s="71">
        <v>8.5833333333333334E-4</v>
      </c>
      <c r="D86" s="71">
        <v>2.971571978018946E-2</v>
      </c>
      <c r="E86" s="71">
        <v>0.10124677875843502</v>
      </c>
      <c r="F86" s="151">
        <v>193388.43092558492</v>
      </c>
      <c r="G86" s="151">
        <v>1981.5616746876315</v>
      </c>
      <c r="H86" s="151">
        <v>6926.4046862475598</v>
      </c>
      <c r="I86" s="151">
        <v>33043.42670705069</v>
      </c>
      <c r="J86" s="197">
        <v>0.15804751908396961</v>
      </c>
      <c r="K86" s="197">
        <v>0.12919013263711346</v>
      </c>
      <c r="L86" s="71">
        <v>5.765907365886791E-2</v>
      </c>
      <c r="M86" s="71">
        <v>4.1988275684727405E-2</v>
      </c>
    </row>
    <row r="87" spans="1:13" ht="16">
      <c r="A87" s="43">
        <v>2013</v>
      </c>
      <c r="B87" s="71">
        <v>0.32145085858125483</v>
      </c>
      <c r="C87" s="71">
        <v>5.8333333333333338E-4</v>
      </c>
      <c r="D87" s="71">
        <v>-9.104568794347262E-2</v>
      </c>
      <c r="E87" s="71">
        <v>-1.0559012069494618E-2</v>
      </c>
      <c r="F87" s="151">
        <v>255553.30808629587</v>
      </c>
      <c r="G87" s="151">
        <v>1982.7175856645326</v>
      </c>
      <c r="H87" s="151">
        <v>6295.7854066132577</v>
      </c>
      <c r="I87" s="151">
        <v>32694.520765633482</v>
      </c>
      <c r="J87" s="197">
        <v>0.3208675252479215</v>
      </c>
      <c r="K87" s="197">
        <v>0.41249654652472745</v>
      </c>
      <c r="L87" s="71">
        <v>0.33200987065074944</v>
      </c>
      <c r="M87" s="71">
        <v>4.6176809418723153E-2</v>
      </c>
    </row>
    <row r="88" spans="1:13" ht="16">
      <c r="A88" s="43">
        <v>2014</v>
      </c>
      <c r="B88" s="71">
        <v>0.13524421649462237</v>
      </c>
      <c r="C88" s="71">
        <v>3.2499999999999999E-4</v>
      </c>
      <c r="D88" s="71">
        <v>0.10746180452004755</v>
      </c>
      <c r="E88" s="71">
        <v>0.10384907822030469</v>
      </c>
      <c r="F88" s="151">
        <v>290115.4150110358</v>
      </c>
      <c r="G88" s="151">
        <v>1983.3619688798735</v>
      </c>
      <c r="H88" s="151">
        <v>6972.3418672788994</v>
      </c>
      <c r="I88" s="151">
        <v>36089.816609999129</v>
      </c>
      <c r="J88" s="197">
        <v>0.13491921649462238</v>
      </c>
      <c r="K88" s="197">
        <v>2.7782411974574817E-2</v>
      </c>
      <c r="L88" s="71">
        <v>3.1395138274317683E-2</v>
      </c>
      <c r="M88" s="71">
        <v>4.5975029375833421E-2</v>
      </c>
    </row>
    <row r="89" spans="1:13" ht="16">
      <c r="A89" s="182">
        <v>2015</v>
      </c>
      <c r="B89" s="71">
        <v>1.3788916411676138E-2</v>
      </c>
      <c r="C89" s="71">
        <v>5.2499999999999997E-4</v>
      </c>
      <c r="D89" s="71">
        <v>1.2842996709792224E-2</v>
      </c>
      <c r="E89" s="71">
        <v>-6.9751836790324859E-3</v>
      </c>
      <c r="F89" s="151">
        <v>294115.79221836175</v>
      </c>
      <c r="G89" s="151">
        <v>1984.4032339135356</v>
      </c>
      <c r="H89" s="151">
        <v>7061.8876309399093</v>
      </c>
      <c r="I89" s="151">
        <v>35838.083510201788</v>
      </c>
      <c r="J89" s="197">
        <v>1.3263916411676138E-2</v>
      </c>
      <c r="K89" s="197">
        <v>9.4591970188391376E-4</v>
      </c>
      <c r="L89" s="71">
        <v>2.0764100090708622E-2</v>
      </c>
      <c r="M89" s="71">
        <v>4.5434457313765497E-2</v>
      </c>
    </row>
    <row r="90" spans="1:13" ht="16">
      <c r="A90" s="183">
        <v>2016</v>
      </c>
      <c r="B90" s="71">
        <v>0.11773080874798171</v>
      </c>
      <c r="C90" s="71">
        <v>3.1749999999999999E-3</v>
      </c>
      <c r="D90" s="71">
        <v>6.9055046987477921E-3</v>
      </c>
      <c r="E90" s="71">
        <v>0.10365105821793222</v>
      </c>
      <c r="F90" s="151">
        <v>328742.28230178286</v>
      </c>
      <c r="G90" s="151">
        <v>1990.7037141812109</v>
      </c>
      <c r="H90" s="151">
        <v>7110.6535291573937</v>
      </c>
      <c r="I90" s="151">
        <v>39552.73879053683</v>
      </c>
      <c r="J90" s="197">
        <v>0.11455580874798171</v>
      </c>
      <c r="K90" s="197">
        <v>0.11082530404923392</v>
      </c>
      <c r="L90" s="71">
        <v>1.4079750530049492E-2</v>
      </c>
      <c r="M90" s="71">
        <v>4.6176501247687796E-2</v>
      </c>
    </row>
    <row r="91" spans="1:13" ht="16">
      <c r="A91" s="183">
        <v>2017</v>
      </c>
      <c r="B91" s="71">
        <v>0.2160548143449928</v>
      </c>
      <c r="C91" s="71">
        <v>9.3083333333333334E-3</v>
      </c>
      <c r="D91" s="71">
        <v>2.8017162707789457E-2</v>
      </c>
      <c r="E91" s="71">
        <v>9.7239019462488363E-2</v>
      </c>
      <c r="F91" s="151">
        <v>399768.63507184375</v>
      </c>
      <c r="G91" s="151">
        <v>2009.2338479207142</v>
      </c>
      <c r="H91" s="151">
        <v>7309.8738660425133</v>
      </c>
      <c r="I91" s="151">
        <v>43398.808327584557</v>
      </c>
      <c r="J91" s="197">
        <v>0.20674648101165946</v>
      </c>
      <c r="K91" s="197">
        <v>0.18803765163720335</v>
      </c>
      <c r="L91" s="71">
        <v>0.11881579488250443</v>
      </c>
      <c r="M91" s="71">
        <v>4.7686840373502015E-2</v>
      </c>
    </row>
    <row r="92" spans="1:13" ht="16">
      <c r="A92" s="183">
        <v>2018</v>
      </c>
      <c r="B92" s="71">
        <v>-4.2268692890885438E-2</v>
      </c>
      <c r="C92" s="71">
        <v>1.9391666666666668E-2</v>
      </c>
      <c r="D92" s="71">
        <v>-1.6692385713402633E-4</v>
      </c>
      <c r="E92" s="71">
        <v>-2.7626282217172247E-2</v>
      </c>
      <c r="F92" s="151">
        <v>382870.93740858353</v>
      </c>
      <c r="G92" s="151">
        <v>2048.1962409549769</v>
      </c>
      <c r="H92" s="151">
        <v>7308.6536737016304</v>
      </c>
      <c r="I92" s="151">
        <v>42199.860600837739</v>
      </c>
      <c r="J92" s="197">
        <v>-6.1660359557552107E-2</v>
      </c>
      <c r="K92" s="197">
        <v>-4.2101769033751416E-2</v>
      </c>
      <c r="L92" s="71">
        <v>-1.4642410673713191E-2</v>
      </c>
      <c r="M92" s="71">
        <v>4.6608669094632571E-2</v>
      </c>
    </row>
    <row r="93" spans="1:13" ht="16">
      <c r="A93" s="43">
        <v>2019</v>
      </c>
      <c r="B93" s="71">
        <v>0.31211679996808755</v>
      </c>
      <c r="C93" s="71">
        <v>1.55E-2</v>
      </c>
      <c r="D93" s="71">
        <v>9.6356307415483927E-2</v>
      </c>
      <c r="E93" s="71">
        <v>0.15329457562368487</v>
      </c>
      <c r="F93" s="151">
        <v>502371.38919333258</v>
      </c>
      <c r="G93" s="151">
        <v>2079.9432826897792</v>
      </c>
      <c r="H93" s="151">
        <v>8012.8885538781296</v>
      </c>
      <c r="I93" s="151">
        <v>48668.870323021823</v>
      </c>
      <c r="J93" s="197">
        <v>0.29661679996808754</v>
      </c>
      <c r="K93" s="197">
        <v>0.21576049255260363</v>
      </c>
      <c r="L93" s="71">
        <v>0.15882222434440268</v>
      </c>
      <c r="M93" s="71">
        <v>4.8253684406804442E-2</v>
      </c>
    </row>
    <row r="94" spans="1:13" s="77" customFormat="1" ht="16">
      <c r="A94" s="183">
        <v>2020</v>
      </c>
      <c r="B94" s="71">
        <v>0.18023201827422478</v>
      </c>
      <c r="C94" s="184">
        <v>8.9999999999999998E-4</v>
      </c>
      <c r="D94" s="184">
        <v>0.1133189764661412</v>
      </c>
      <c r="E94" s="184">
        <v>0.10411537157111345</v>
      </c>
      <c r="F94" s="151">
        <v>592914.79859087302</v>
      </c>
      <c r="G94" s="151">
        <v>2081.8152316441997</v>
      </c>
      <c r="H94" s="151">
        <v>8920.9008833408589</v>
      </c>
      <c r="I94" s="151">
        <v>53736.047840649575</v>
      </c>
      <c r="J94" s="197">
        <v>0.17933201827422476</v>
      </c>
      <c r="K94" s="197">
        <v>6.6913041808083579E-2</v>
      </c>
      <c r="L94" s="71">
        <v>7.6116646703111329E-2</v>
      </c>
      <c r="M94" s="71">
        <v>4.8442663414424603E-2</v>
      </c>
    </row>
    <row r="95" spans="1:13" ht="16">
      <c r="A95" s="183">
        <v>2021</v>
      </c>
      <c r="B95" s="71">
        <v>0.28468851751964158</v>
      </c>
      <c r="C95" s="184">
        <v>5.9999999999999995E-4</v>
      </c>
      <c r="D95" s="184">
        <v>-4.416034448604475E-2</v>
      </c>
      <c r="E95" s="184">
        <v>9.3344457198752777E-3</v>
      </c>
      <c r="F95" s="151">
        <v>761710.83361716557</v>
      </c>
      <c r="G95" s="151">
        <v>2083.0643207831858</v>
      </c>
      <c r="H95" s="151">
        <v>8526.9508272066651</v>
      </c>
      <c r="I95" s="151">
        <v>54237.644062418738</v>
      </c>
      <c r="J95" s="197">
        <v>0.28408851751964159</v>
      </c>
      <c r="K95" s="197">
        <v>0.3288488620056863</v>
      </c>
      <c r="L95" s="71">
        <v>0.27535407179976629</v>
      </c>
      <c r="M95" s="71">
        <v>5.1322006296357525E-2</v>
      </c>
    </row>
    <row r="96" spans="1:13" ht="16">
      <c r="A96" s="183">
        <v>2022</v>
      </c>
      <c r="B96" s="184">
        <v>-0.18008971545346592</v>
      </c>
      <c r="C96" s="184">
        <v>4.4200000000000003E-2</v>
      </c>
      <c r="D96" s="184">
        <v>-0.1782817153825067</v>
      </c>
      <c r="E96" s="196">
        <v>-0.14488298214231426</v>
      </c>
      <c r="F96" s="151">
        <v>624534.54633322789</v>
      </c>
      <c r="G96" s="151">
        <v>2175.1357637618025</v>
      </c>
      <c r="H96" s="151">
        <v>7006.751406749976</v>
      </c>
      <c r="I96" s="151">
        <v>46379.532446282123</v>
      </c>
      <c r="J96" s="184">
        <v>-0.22428971545346593</v>
      </c>
      <c r="K96" s="199">
        <v>-1.8080000709592148E-3</v>
      </c>
      <c r="L96" s="199">
        <v>-3.520673331115165E-2</v>
      </c>
      <c r="M96" s="200">
        <v>5.0613437213325563E-2</v>
      </c>
    </row>
  </sheetData>
  <phoneticPr fontId="41"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99"/>
  <sheetViews>
    <sheetView topLeftCell="A60" workbookViewId="0">
      <selection activeCell="G99" sqref="G99"/>
    </sheetView>
  </sheetViews>
  <sheetFormatPr baseColWidth="10" defaultRowHeight="14"/>
  <cols>
    <col min="1" max="1" width="21" customWidth="1"/>
    <col min="2" max="2" width="13.42578125" customWidth="1"/>
    <col min="3" max="3" width="14.28515625" bestFit="1" customWidth="1"/>
    <col min="4" max="7" width="13.7109375" bestFit="1" customWidth="1"/>
    <col min="8" max="8" width="20" customWidth="1"/>
    <col min="9" max="9" width="15.7109375" customWidth="1"/>
    <col min="10" max="10" width="12.85546875" bestFit="1" customWidth="1"/>
    <col min="11" max="11" width="14.140625" bestFit="1" customWidth="1"/>
    <col min="12" max="13" width="10.85546875" bestFit="1" customWidth="1"/>
    <col min="14" max="14" width="12.85546875" customWidth="1"/>
    <col min="15" max="15" width="14.42578125" customWidth="1"/>
    <col min="16" max="16" width="12.5703125" customWidth="1"/>
    <col min="17" max="17" width="15.5703125" customWidth="1"/>
    <col min="18" max="18" width="12.140625" customWidth="1"/>
    <col min="19" max="19" width="13" customWidth="1"/>
    <col min="20" max="20" width="20.5703125" customWidth="1"/>
    <col min="21" max="21" width="23.5703125" customWidth="1"/>
  </cols>
  <sheetData>
    <row r="1" spans="1:21">
      <c r="A1" s="89" t="s">
        <v>148</v>
      </c>
    </row>
    <row r="2" spans="1:21">
      <c r="C2" s="215" t="s">
        <v>142</v>
      </c>
      <c r="D2" s="215"/>
      <c r="E2" s="215"/>
      <c r="F2" s="215"/>
      <c r="G2" s="215"/>
      <c r="H2" s="215"/>
      <c r="I2" s="215"/>
      <c r="K2" s="215" t="s">
        <v>144</v>
      </c>
      <c r="L2" s="215"/>
      <c r="M2" s="215"/>
      <c r="N2" s="215"/>
      <c r="O2" s="215"/>
      <c r="P2" s="215"/>
      <c r="Q2" s="215"/>
    </row>
    <row r="3" spans="1:21" ht="15">
      <c r="A3" s="76" t="s">
        <v>154</v>
      </c>
      <c r="B3" t="s">
        <v>137</v>
      </c>
      <c r="C3" t="s">
        <v>35</v>
      </c>
      <c r="D3" t="s">
        <v>18</v>
      </c>
      <c r="E3" t="s">
        <v>19</v>
      </c>
      <c r="F3" t="s">
        <v>138</v>
      </c>
      <c r="G3" t="s">
        <v>141</v>
      </c>
      <c r="H3" t="s">
        <v>139</v>
      </c>
      <c r="I3" t="s">
        <v>140</v>
      </c>
      <c r="J3" t="s">
        <v>143</v>
      </c>
      <c r="K3" t="s">
        <v>242</v>
      </c>
      <c r="L3" t="s">
        <v>243</v>
      </c>
      <c r="M3" t="s">
        <v>244</v>
      </c>
      <c r="N3" t="s">
        <v>245</v>
      </c>
      <c r="O3" t="s">
        <v>246</v>
      </c>
      <c r="P3" t="s">
        <v>247</v>
      </c>
      <c r="Q3" t="s">
        <v>248</v>
      </c>
      <c r="R3" t="s">
        <v>145</v>
      </c>
      <c r="S3" t="s">
        <v>5</v>
      </c>
      <c r="T3" t="s">
        <v>146</v>
      </c>
      <c r="U3" t="s">
        <v>147</v>
      </c>
    </row>
    <row r="4" spans="1:21" s="91" customFormat="1" ht="16">
      <c r="A4" s="90">
        <v>40755</v>
      </c>
      <c r="B4" s="91">
        <v>2103.84</v>
      </c>
      <c r="C4" s="92">
        <v>19712475</v>
      </c>
      <c r="D4" s="92">
        <f>261181+2627</f>
        <v>263808</v>
      </c>
      <c r="E4" s="92">
        <v>423600</v>
      </c>
      <c r="F4" s="92">
        <v>75426</v>
      </c>
      <c r="G4" s="92">
        <v>923972</v>
      </c>
      <c r="H4" s="92">
        <f t="shared" ref="H4:H20" si="0">D4+E4</f>
        <v>687408</v>
      </c>
      <c r="I4" s="93">
        <f>D4+E4-F4</f>
        <v>611982</v>
      </c>
      <c r="J4" s="94">
        <f t="shared" ref="J4:J9" si="1">B4/C4</f>
        <v>1.0672632432000548E-4</v>
      </c>
      <c r="K4" s="95">
        <f t="shared" ref="K4:K20" si="2">$J4*C4</f>
        <v>2103.84</v>
      </c>
      <c r="L4" s="96">
        <f t="shared" ref="L4:L20" si="3">$J4*D4</f>
        <v>28.155258166212008</v>
      </c>
      <c r="M4" s="96">
        <f t="shared" ref="M4:M20" si="4">$J4*E4</f>
        <v>45.209270981954326</v>
      </c>
      <c r="N4" s="96">
        <f t="shared" ref="N4:N20" si="5">$J4*F4</f>
        <v>8.0499397381607345</v>
      </c>
      <c r="O4" s="96">
        <f t="shared" ref="O4:O20" si="6">$J4*G4</f>
        <v>98.612135334604105</v>
      </c>
      <c r="P4" s="96">
        <f t="shared" ref="P4:P20" si="7">$J4*H4</f>
        <v>73.364529148166326</v>
      </c>
      <c r="Q4" s="96">
        <f t="shared" ref="Q4:Q20" si="8">$J4*I4</f>
        <v>65.314589410005595</v>
      </c>
      <c r="R4" s="97">
        <f t="shared" ref="R4:R9" si="9">L4/O4</f>
        <v>0.28551514548059898</v>
      </c>
      <c r="S4" s="97">
        <f t="shared" ref="S4:S9" si="10">L4/K4</f>
        <v>1.3382794397963726E-2</v>
      </c>
      <c r="T4" s="97">
        <f t="shared" ref="T4:T9" si="11">P4/O4</f>
        <v>0.74397059651158259</v>
      </c>
      <c r="U4" s="97">
        <f t="shared" ref="U4:U9" si="12">Q4/O4</f>
        <v>0.66233825267432345</v>
      </c>
    </row>
    <row r="5" spans="1:21" s="91" customFormat="1" ht="16">
      <c r="A5" s="90">
        <v>40816</v>
      </c>
      <c r="B5" s="91">
        <v>1920.03</v>
      </c>
      <c r="C5" s="92">
        <v>17981669</v>
      </c>
      <c r="D5" s="92">
        <v>357140</v>
      </c>
      <c r="E5" s="92">
        <v>558052</v>
      </c>
      <c r="F5" s="92">
        <v>99552</v>
      </c>
      <c r="G5" s="92">
        <v>907379</v>
      </c>
      <c r="H5" s="92">
        <f t="shared" si="0"/>
        <v>915192</v>
      </c>
      <c r="I5" s="93">
        <f t="shared" ref="I5:I55" si="13">D5+E5-F5</f>
        <v>815640</v>
      </c>
      <c r="J5" s="94">
        <f t="shared" si="1"/>
        <v>1.0677707391900052E-4</v>
      </c>
      <c r="K5" s="95">
        <f t="shared" si="2"/>
        <v>1920.0300000000002</v>
      </c>
      <c r="L5" s="96">
        <f t="shared" si="3"/>
        <v>38.134364179431842</v>
      </c>
      <c r="M5" s="96">
        <f t="shared" si="4"/>
        <v>59.587159654646079</v>
      </c>
      <c r="N5" s="96">
        <f t="shared" si="5"/>
        <v>10.62987126278434</v>
      </c>
      <c r="O5" s="96">
        <f t="shared" si="6"/>
        <v>96.887274555548771</v>
      </c>
      <c r="P5" s="96">
        <f t="shared" si="7"/>
        <v>97.721523834077914</v>
      </c>
      <c r="Q5" s="96">
        <f t="shared" si="8"/>
        <v>87.091652571293579</v>
      </c>
      <c r="R5" s="97">
        <f t="shared" si="9"/>
        <v>0.39359517908172875</v>
      </c>
      <c r="S5" s="97">
        <f t="shared" si="10"/>
        <v>1.9861337676719552E-2</v>
      </c>
      <c r="T5" s="97">
        <f t="shared" si="11"/>
        <v>1.0086105144597792</v>
      </c>
      <c r="U5" s="97">
        <f t="shared" si="12"/>
        <v>0.89889671239911872</v>
      </c>
    </row>
    <row r="6" spans="1:21" s="91" customFormat="1" ht="16">
      <c r="A6" s="90">
        <v>40847</v>
      </c>
      <c r="B6" s="91">
        <v>2079.36</v>
      </c>
      <c r="C6" s="92">
        <v>19353109.5</v>
      </c>
      <c r="D6" s="92">
        <f>243638+8431</f>
        <v>252069</v>
      </c>
      <c r="E6" s="92">
        <v>416930</v>
      </c>
      <c r="F6" s="92">
        <v>83536</v>
      </c>
      <c r="G6" s="92">
        <v>882624</v>
      </c>
      <c r="H6" s="92">
        <f t="shared" si="0"/>
        <v>668999</v>
      </c>
      <c r="I6" s="93">
        <f t="shared" si="13"/>
        <v>585463</v>
      </c>
      <c r="J6" s="94">
        <f t="shared" si="1"/>
        <v>1.0744319924402847E-4</v>
      </c>
      <c r="K6" s="95">
        <f t="shared" si="2"/>
        <v>2079.36</v>
      </c>
      <c r="L6" s="96">
        <f t="shared" si="3"/>
        <v>27.083099790243011</v>
      </c>
      <c r="M6" s="96">
        <f t="shared" si="4"/>
        <v>44.796293060812793</v>
      </c>
      <c r="N6" s="96">
        <f t="shared" si="5"/>
        <v>8.9753750920491626</v>
      </c>
      <c r="O6" s="96">
        <f t="shared" si="6"/>
        <v>94.831946289561387</v>
      </c>
      <c r="P6" s="96">
        <f t="shared" si="7"/>
        <v>71.879392851055798</v>
      </c>
      <c r="Q6" s="96">
        <f t="shared" si="8"/>
        <v>62.904017759006642</v>
      </c>
      <c r="R6" s="97">
        <f t="shared" si="9"/>
        <v>0.28559046660865778</v>
      </c>
      <c r="S6" s="97">
        <f t="shared" si="10"/>
        <v>1.3024728661820469E-2</v>
      </c>
      <c r="T6" s="97">
        <f t="shared" si="11"/>
        <v>0.75796601950547449</v>
      </c>
      <c r="U6" s="97">
        <f t="shared" si="12"/>
        <v>0.66332096113407291</v>
      </c>
    </row>
    <row r="7" spans="1:21" s="91" customFormat="1" ht="16">
      <c r="A7" s="90">
        <v>40877</v>
      </c>
      <c r="B7" s="91">
        <v>2080.41</v>
      </c>
      <c r="C7" s="98">
        <v>19361440</v>
      </c>
      <c r="D7" s="99">
        <f>364445+9295</f>
        <v>373740</v>
      </c>
      <c r="E7" s="99">
        <v>567962</v>
      </c>
      <c r="F7" s="99">
        <v>110058</v>
      </c>
      <c r="G7" s="99">
        <v>881259</v>
      </c>
      <c r="H7" s="92">
        <f t="shared" si="0"/>
        <v>941702</v>
      </c>
      <c r="I7" s="93">
        <f t="shared" si="13"/>
        <v>831644</v>
      </c>
      <c r="J7" s="94">
        <f t="shared" si="1"/>
        <v>1.0745120197671247E-4</v>
      </c>
      <c r="K7" s="95">
        <f t="shared" si="2"/>
        <v>2080.41</v>
      </c>
      <c r="L7" s="96">
        <f t="shared" si="3"/>
        <v>40.158812226776519</v>
      </c>
      <c r="M7" s="96">
        <f t="shared" si="4"/>
        <v>61.028199577097567</v>
      </c>
      <c r="N7" s="96">
        <f t="shared" si="5"/>
        <v>11.82586438715302</v>
      </c>
      <c r="O7" s="96">
        <f t="shared" si="6"/>
        <v>94.692338802795646</v>
      </c>
      <c r="P7" s="96">
        <f t="shared" si="7"/>
        <v>101.18701180387409</v>
      </c>
      <c r="Q7" s="96">
        <f t="shared" si="8"/>
        <v>89.361147416721067</v>
      </c>
      <c r="R7" s="97">
        <f t="shared" si="9"/>
        <v>0.4240977964480363</v>
      </c>
      <c r="S7" s="97">
        <f t="shared" si="10"/>
        <v>1.9303316282259998E-2</v>
      </c>
      <c r="T7" s="97">
        <f t="shared" si="11"/>
        <v>1.0685871009544301</v>
      </c>
      <c r="U7" s="97">
        <f t="shared" si="12"/>
        <v>0.94369986576023634</v>
      </c>
    </row>
    <row r="8" spans="1:21" ht="16">
      <c r="A8" s="59">
        <v>40908</v>
      </c>
      <c r="B8" s="91">
        <v>2043.94</v>
      </c>
      <c r="C8" s="103">
        <v>19205382.699999999</v>
      </c>
      <c r="D8">
        <f>363367.4+10105.5</f>
        <v>373472.9</v>
      </c>
      <c r="E8" s="92">
        <v>569620</v>
      </c>
      <c r="F8" s="92">
        <v>108973</v>
      </c>
      <c r="G8" s="92">
        <v>882415</v>
      </c>
      <c r="H8" s="92">
        <f t="shared" si="0"/>
        <v>943092.9</v>
      </c>
      <c r="I8" s="93">
        <f t="shared" si="13"/>
        <v>834119.9</v>
      </c>
      <c r="J8" s="94">
        <f t="shared" si="1"/>
        <v>1.0642537209112736E-4</v>
      </c>
      <c r="K8" s="95">
        <f t="shared" si="2"/>
        <v>2043.94</v>
      </c>
      <c r="L8" s="96">
        <f t="shared" si="3"/>
        <v>39.746992348452402</v>
      </c>
      <c r="M8" s="96">
        <f t="shared" si="4"/>
        <v>60.622020450547964</v>
      </c>
      <c r="N8" s="96">
        <f t="shared" si="5"/>
        <v>11.597492072886421</v>
      </c>
      <c r="O8" s="96">
        <f t="shared" si="6"/>
        <v>93.911344713792147</v>
      </c>
      <c r="P8" s="96">
        <f t="shared" si="7"/>
        <v>100.36901279900037</v>
      </c>
      <c r="Q8" s="96">
        <f t="shared" si="8"/>
        <v>88.771520726113948</v>
      </c>
      <c r="R8" s="97">
        <f t="shared" si="9"/>
        <v>0.42323951882050964</v>
      </c>
      <c r="S8" s="97">
        <f t="shared" si="10"/>
        <v>1.9446261802426881E-2</v>
      </c>
      <c r="T8" s="97">
        <f t="shared" si="11"/>
        <v>1.0687634503039953</v>
      </c>
      <c r="U8" s="97">
        <f t="shared" si="12"/>
        <v>0.94526940271867554</v>
      </c>
    </row>
    <row r="9" spans="1:21" ht="16">
      <c r="A9" s="59">
        <v>40939</v>
      </c>
      <c r="B9" s="91">
        <v>1940.24</v>
      </c>
      <c r="C9">
        <v>17972170.600000001</v>
      </c>
      <c r="D9">
        <f>267942+9991</f>
        <v>277933</v>
      </c>
      <c r="E9" s="92">
        <v>459600</v>
      </c>
      <c r="F9" s="92">
        <v>84612</v>
      </c>
      <c r="G9" s="92">
        <v>827436</v>
      </c>
      <c r="H9" s="92">
        <f t="shared" si="0"/>
        <v>737533</v>
      </c>
      <c r="I9" s="93">
        <f t="shared" si="13"/>
        <v>652921</v>
      </c>
      <c r="J9" s="94">
        <f t="shared" si="1"/>
        <v>1.079580226108025E-4</v>
      </c>
      <c r="K9" s="95">
        <f t="shared" si="2"/>
        <v>1940.24</v>
      </c>
      <c r="L9" s="96">
        <f t="shared" si="3"/>
        <v>30.005097098288172</v>
      </c>
      <c r="M9" s="96">
        <f t="shared" si="4"/>
        <v>49.61750719192483</v>
      </c>
      <c r="N9" s="96">
        <f t="shared" si="5"/>
        <v>9.1345442091452203</v>
      </c>
      <c r="O9" s="96">
        <f t="shared" si="6"/>
        <v>89.328354396991969</v>
      </c>
      <c r="P9" s="96">
        <f t="shared" si="7"/>
        <v>79.622604290213005</v>
      </c>
      <c r="Q9" s="96">
        <f t="shared" si="8"/>
        <v>70.488060081067772</v>
      </c>
      <c r="R9" s="97">
        <f t="shared" si="9"/>
        <v>0.33589667357958808</v>
      </c>
      <c r="S9" s="97">
        <f t="shared" si="10"/>
        <v>1.5464631745705774E-2</v>
      </c>
      <c r="T9" s="97">
        <f t="shared" si="11"/>
        <v>0.89134748790238771</v>
      </c>
      <c r="U9" s="97">
        <f t="shared" si="12"/>
        <v>0.78908942806452709</v>
      </c>
    </row>
    <row r="10" spans="1:21" ht="16">
      <c r="A10" s="59">
        <v>40968</v>
      </c>
      <c r="B10" s="91">
        <v>1932.23</v>
      </c>
      <c r="C10">
        <v>17910494</v>
      </c>
      <c r="D10">
        <v>345472</v>
      </c>
      <c r="E10" s="92">
        <v>552312</v>
      </c>
      <c r="F10" s="92">
        <v>86105</v>
      </c>
      <c r="G10" s="92">
        <v>842836</v>
      </c>
      <c r="H10" s="92">
        <f t="shared" si="0"/>
        <v>897784</v>
      </c>
      <c r="I10" s="93">
        <f t="shared" si="13"/>
        <v>811679</v>
      </c>
      <c r="J10" s="94">
        <f t="shared" ref="J10:J17" si="14">B10/C10</f>
        <v>1.0788256314984947E-4</v>
      </c>
      <c r="K10" s="95">
        <f t="shared" si="2"/>
        <v>1932.23</v>
      </c>
      <c r="L10" s="96">
        <f t="shared" si="3"/>
        <v>37.270404856504797</v>
      </c>
      <c r="M10" s="96">
        <f t="shared" si="4"/>
        <v>59.584834218419665</v>
      </c>
      <c r="N10" s="96">
        <f t="shared" si="5"/>
        <v>9.2892281000177892</v>
      </c>
      <c r="O10" s="96">
        <f t="shared" si="6"/>
        <v>90.927307994966526</v>
      </c>
      <c r="P10" s="96">
        <f t="shared" si="7"/>
        <v>96.855239074924455</v>
      </c>
      <c r="Q10" s="96">
        <f t="shared" si="8"/>
        <v>87.566010974906675</v>
      </c>
      <c r="R10" s="97">
        <f t="shared" ref="R10:R15" si="15">L10/O10</f>
        <v>0.40989231594284065</v>
      </c>
      <c r="S10" s="97">
        <f t="shared" ref="S10:S15" si="16">L10/K10</f>
        <v>1.9288803536072204E-2</v>
      </c>
      <c r="T10" s="97">
        <f t="shared" ref="T10:T15" si="17">P10/O10</f>
        <v>1.0651941777522556</v>
      </c>
      <c r="U10" s="97">
        <f t="shared" ref="U10:U15" si="18">Q10/O10</f>
        <v>0.9630331404923379</v>
      </c>
    </row>
    <row r="11" spans="1:21" ht="16">
      <c r="A11" s="59">
        <v>40999</v>
      </c>
      <c r="B11" s="123">
        <v>2059.7399999999998</v>
      </c>
      <c r="C11">
        <v>19126109.5</v>
      </c>
      <c r="D11">
        <f>361900+9305</f>
        <v>371205</v>
      </c>
      <c r="E11" s="92">
        <v>578442</v>
      </c>
      <c r="F11" s="92">
        <v>101550</v>
      </c>
      <c r="G11" s="92">
        <v>845698</v>
      </c>
      <c r="H11" s="92">
        <f t="shared" si="0"/>
        <v>949647</v>
      </c>
      <c r="I11" s="93">
        <f t="shared" si="13"/>
        <v>848097</v>
      </c>
      <c r="J11" s="94">
        <f t="shared" si="14"/>
        <v>1.0769257595226044E-4</v>
      </c>
      <c r="K11" s="95">
        <f t="shared" si="2"/>
        <v>2059.7399999999998</v>
      </c>
      <c r="L11" s="96">
        <f t="shared" si="3"/>
        <v>39.976022656358836</v>
      </c>
      <c r="M11" s="96">
        <f t="shared" si="4"/>
        <v>62.29390901897743</v>
      </c>
      <c r="N11" s="96">
        <f t="shared" si="5"/>
        <v>10.936181087952047</v>
      </c>
      <c r="O11" s="96">
        <f t="shared" si="6"/>
        <v>91.075396097674741</v>
      </c>
      <c r="P11" s="96">
        <f t="shared" si="7"/>
        <v>102.26993167533627</v>
      </c>
      <c r="Q11" s="96">
        <f t="shared" si="8"/>
        <v>91.333750587384216</v>
      </c>
      <c r="R11" s="97">
        <f t="shared" si="15"/>
        <v>0.43893328351255417</v>
      </c>
      <c r="S11" s="97">
        <f t="shared" si="16"/>
        <v>1.9408285830424636E-2</v>
      </c>
      <c r="T11" s="97">
        <f t="shared" si="17"/>
        <v>1.1229150358638664</v>
      </c>
      <c r="U11" s="97">
        <f t="shared" si="18"/>
        <v>1.0028367100312405</v>
      </c>
    </row>
    <row r="12" spans="1:21" ht="16">
      <c r="A12" s="59">
        <v>41029</v>
      </c>
      <c r="B12" s="91">
        <v>2065.3000000000002</v>
      </c>
      <c r="C12">
        <v>19123581</v>
      </c>
      <c r="D12">
        <f>278138+8169</f>
        <v>286307</v>
      </c>
      <c r="E12" s="92">
        <v>470983</v>
      </c>
      <c r="F12" s="92">
        <v>86635</v>
      </c>
      <c r="G12" s="92">
        <v>835997</v>
      </c>
      <c r="H12" s="92">
        <f t="shared" si="0"/>
        <v>757290</v>
      </c>
      <c r="I12" s="93">
        <f t="shared" si="13"/>
        <v>670655</v>
      </c>
      <c r="J12" s="94">
        <f t="shared" si="14"/>
        <v>1.0799755547875684E-4</v>
      </c>
      <c r="K12" s="95">
        <f t="shared" si="2"/>
        <v>2065.3000000000002</v>
      </c>
      <c r="L12" s="96">
        <f t="shared" si="3"/>
        <v>30.920456116456435</v>
      </c>
      <c r="M12" s="96">
        <f t="shared" si="4"/>
        <v>50.865012672051336</v>
      </c>
      <c r="N12" s="96">
        <f t="shared" si="5"/>
        <v>9.356368218902098</v>
      </c>
      <c r="O12" s="96">
        <f t="shared" si="6"/>
        <v>90.285632387574282</v>
      </c>
      <c r="P12" s="96">
        <f t="shared" si="7"/>
        <v>81.785468788507771</v>
      </c>
      <c r="Q12" s="96">
        <f t="shared" si="8"/>
        <v>72.429100569605666</v>
      </c>
      <c r="R12" s="97">
        <f t="shared" si="15"/>
        <v>0.3424737170109462</v>
      </c>
      <c r="S12" s="97">
        <f t="shared" si="16"/>
        <v>1.4971411473614697E-2</v>
      </c>
      <c r="T12" s="97">
        <f t="shared" si="17"/>
        <v>0.9058525329636351</v>
      </c>
      <c r="U12" s="97">
        <f t="shared" si="18"/>
        <v>0.80222177830781682</v>
      </c>
    </row>
    <row r="13" spans="1:21" ht="16">
      <c r="A13" s="59">
        <v>41060</v>
      </c>
      <c r="B13" s="91">
        <v>2096.96</v>
      </c>
      <c r="C13">
        <v>19336209</v>
      </c>
      <c r="D13">
        <f>359632+11617</f>
        <v>371249</v>
      </c>
      <c r="E13" s="92">
        <v>594591</v>
      </c>
      <c r="F13" s="92">
        <v>96361</v>
      </c>
      <c r="G13" s="92">
        <v>848108</v>
      </c>
      <c r="H13" s="92">
        <f t="shared" si="0"/>
        <v>965840</v>
      </c>
      <c r="I13" s="93">
        <f t="shared" si="13"/>
        <v>869479</v>
      </c>
      <c r="J13" s="94">
        <f t="shared" si="14"/>
        <v>1.0844731767224899E-4</v>
      </c>
      <c r="K13" s="95">
        <f t="shared" si="2"/>
        <v>2096.96</v>
      </c>
      <c r="L13" s="96">
        <f t="shared" si="3"/>
        <v>40.26095823850477</v>
      </c>
      <c r="M13" s="96">
        <f t="shared" si="4"/>
        <v>64.481799062060205</v>
      </c>
      <c r="N13" s="96">
        <f t="shared" si="5"/>
        <v>10.450091978215585</v>
      </c>
      <c r="O13" s="96">
        <f t="shared" si="6"/>
        <v>91.97503769637575</v>
      </c>
      <c r="P13" s="96">
        <f t="shared" si="7"/>
        <v>104.74275730056497</v>
      </c>
      <c r="Q13" s="96">
        <f t="shared" si="8"/>
        <v>94.292665322349379</v>
      </c>
      <c r="R13" s="97">
        <f t="shared" si="15"/>
        <v>0.43773788243950068</v>
      </c>
      <c r="S13" s="97">
        <f t="shared" si="16"/>
        <v>1.9199678696067052E-2</v>
      </c>
      <c r="T13" s="97">
        <f t="shared" si="17"/>
        <v>1.1388172261079959</v>
      </c>
      <c r="U13" s="97">
        <f t="shared" si="18"/>
        <v>1.0251984417078956</v>
      </c>
    </row>
    <row r="14" spans="1:21" ht="16">
      <c r="A14" s="59">
        <v>41090</v>
      </c>
      <c r="B14" s="91">
        <v>2098.96</v>
      </c>
      <c r="C14">
        <v>19075239</v>
      </c>
      <c r="D14">
        <f>359313+14394</f>
        <v>373707</v>
      </c>
      <c r="E14" s="92">
        <v>597633</v>
      </c>
      <c r="F14" s="92">
        <v>95895</v>
      </c>
      <c r="G14" s="92">
        <v>848045</v>
      </c>
      <c r="H14" s="92">
        <f t="shared" si="0"/>
        <v>971340</v>
      </c>
      <c r="I14" s="93">
        <f t="shared" si="13"/>
        <v>875445</v>
      </c>
      <c r="J14" s="94">
        <f t="shared" si="14"/>
        <v>1.1003584280123567E-4</v>
      </c>
      <c r="K14" s="95">
        <f t="shared" si="2"/>
        <v>2098.96</v>
      </c>
      <c r="L14" s="96">
        <f t="shared" si="3"/>
        <v>41.121164705721377</v>
      </c>
      <c r="M14" s="96">
        <f t="shared" si="4"/>
        <v>65.761050840830876</v>
      </c>
      <c r="N14" s="96">
        <f t="shared" si="5"/>
        <v>10.551887145424494</v>
      </c>
      <c r="O14" s="96">
        <f t="shared" si="6"/>
        <v>93.315346308373904</v>
      </c>
      <c r="P14" s="96">
        <f t="shared" si="7"/>
        <v>106.88221554655226</v>
      </c>
      <c r="Q14" s="96">
        <f t="shared" si="8"/>
        <v>96.330328401127758</v>
      </c>
      <c r="R14" s="97">
        <f t="shared" si="15"/>
        <v>0.4406688324322412</v>
      </c>
      <c r="S14" s="97">
        <f t="shared" si="16"/>
        <v>1.9591209315909488E-2</v>
      </c>
      <c r="T14" s="97">
        <f t="shared" si="17"/>
        <v>1.1453873320401631</v>
      </c>
      <c r="U14" s="97">
        <f t="shared" si="18"/>
        <v>1.0323096062119346</v>
      </c>
    </row>
    <row r="15" spans="1:21" ht="16">
      <c r="A15" s="59">
        <v>41152</v>
      </c>
      <c r="B15" s="91">
        <v>2170.9499999999998</v>
      </c>
      <c r="C15">
        <v>19933639</v>
      </c>
      <c r="D15">
        <f>369218+12150</f>
        <v>381368</v>
      </c>
      <c r="E15">
        <v>593239.9</v>
      </c>
      <c r="F15" s="92">
        <v>85132</v>
      </c>
      <c r="G15" s="92">
        <v>843244</v>
      </c>
      <c r="H15" s="92">
        <f t="shared" si="0"/>
        <v>974607.9</v>
      </c>
      <c r="I15" s="93">
        <f t="shared" si="13"/>
        <v>889475.9</v>
      </c>
      <c r="J15" s="94">
        <f t="shared" si="14"/>
        <v>1.0890886505971137E-4</v>
      </c>
      <c r="K15" s="95">
        <f t="shared" si="2"/>
        <v>2170.9499999999998</v>
      </c>
      <c r="L15" s="96">
        <f t="shared" si="3"/>
        <v>41.534356050092008</v>
      </c>
      <c r="M15" s="96">
        <f t="shared" si="4"/>
        <v>64.609084217136669</v>
      </c>
      <c r="N15" s="96">
        <f t="shared" si="5"/>
        <v>9.271629500263348</v>
      </c>
      <c r="O15" s="96">
        <f t="shared" si="6"/>
        <v>91.836747008411251</v>
      </c>
      <c r="P15" s="96">
        <f t="shared" si="7"/>
        <v>106.14344026722868</v>
      </c>
      <c r="Q15" s="96">
        <f t="shared" si="8"/>
        <v>96.871810766965325</v>
      </c>
      <c r="R15" s="97">
        <f t="shared" si="15"/>
        <v>0.45226292745634722</v>
      </c>
      <c r="S15" s="97">
        <f t="shared" si="16"/>
        <v>1.9131880536213185E-2</v>
      </c>
      <c r="T15" s="97">
        <f t="shared" si="17"/>
        <v>1.1557839723733583</v>
      </c>
      <c r="U15" s="97">
        <f t="shared" si="18"/>
        <v>1.0548262424636285</v>
      </c>
    </row>
    <row r="16" spans="1:21" ht="16">
      <c r="A16" s="59">
        <v>41182</v>
      </c>
      <c r="B16" s="91">
        <v>2168.27</v>
      </c>
      <c r="C16">
        <v>19917170</v>
      </c>
      <c r="D16">
        <v>367339</v>
      </c>
      <c r="E16" s="92">
        <v>588442</v>
      </c>
      <c r="F16" s="92">
        <v>89369</v>
      </c>
      <c r="G16" s="92">
        <v>847378</v>
      </c>
      <c r="H16" s="92">
        <f t="shared" si="0"/>
        <v>955781</v>
      </c>
      <c r="I16" s="93">
        <f t="shared" si="13"/>
        <v>866412</v>
      </c>
      <c r="J16" s="94">
        <f t="shared" si="14"/>
        <v>1.0886436175420504E-4</v>
      </c>
      <c r="K16" s="95">
        <f t="shared" si="2"/>
        <v>2168.27</v>
      </c>
      <c r="L16" s="96">
        <f t="shared" si="3"/>
        <v>39.990125782427924</v>
      </c>
      <c r="M16" s="96">
        <f t="shared" si="4"/>
        <v>64.060362759367919</v>
      </c>
      <c r="N16" s="96">
        <f t="shared" si="5"/>
        <v>9.7290991456115492</v>
      </c>
      <c r="O16" s="96">
        <f t="shared" si="6"/>
        <v>92.249265134554761</v>
      </c>
      <c r="P16" s="96">
        <f t="shared" si="7"/>
        <v>104.05048854179584</v>
      </c>
      <c r="Q16" s="96">
        <f t="shared" si="8"/>
        <v>94.321389396184287</v>
      </c>
      <c r="R16" s="97">
        <f>L16/O16</f>
        <v>0.43350075173063257</v>
      </c>
      <c r="S16" s="97">
        <f>L16/K16</f>
        <v>1.8443333063884074E-2</v>
      </c>
      <c r="T16" s="97">
        <f>P16/O16</f>
        <v>1.1279275600735443</v>
      </c>
      <c r="U16" s="97">
        <f>Q16/O16</f>
        <v>1.0224622305511823</v>
      </c>
    </row>
    <row r="17" spans="1:21" ht="16">
      <c r="A17" s="59">
        <v>41213</v>
      </c>
      <c r="B17" s="91">
        <v>2126.41</v>
      </c>
      <c r="C17">
        <v>19516057</v>
      </c>
      <c r="D17">
        <v>277522</v>
      </c>
      <c r="E17" s="92">
        <v>451147</v>
      </c>
      <c r="F17" s="92">
        <v>78524</v>
      </c>
      <c r="G17" s="92">
        <v>846267</v>
      </c>
      <c r="H17" s="92">
        <f t="shared" si="0"/>
        <v>728669</v>
      </c>
      <c r="I17" s="93">
        <f t="shared" si="13"/>
        <v>650145</v>
      </c>
      <c r="J17" s="94">
        <f t="shared" si="14"/>
        <v>1.0895694760473388E-4</v>
      </c>
      <c r="K17" s="95">
        <f t="shared" si="2"/>
        <v>2126.41</v>
      </c>
      <c r="L17" s="96">
        <f t="shared" si="3"/>
        <v>30.237950013160955</v>
      </c>
      <c r="M17" s="96">
        <f t="shared" si="4"/>
        <v>49.155600041032876</v>
      </c>
      <c r="N17" s="96">
        <f t="shared" si="5"/>
        <v>8.5557353537141232</v>
      </c>
      <c r="O17" s="96">
        <f t="shared" si="6"/>
        <v>92.206669178615329</v>
      </c>
      <c r="P17" s="96">
        <f t="shared" si="7"/>
        <v>79.393550054193824</v>
      </c>
      <c r="Q17" s="96">
        <f t="shared" si="8"/>
        <v>70.837814700479711</v>
      </c>
      <c r="R17" s="97">
        <f>L17/O17</f>
        <v>0.32793669137518061</v>
      </c>
      <c r="S17" s="97">
        <f>L17/K17</f>
        <v>1.4220188022611329E-2</v>
      </c>
      <c r="T17" s="97">
        <f>P17/O17</f>
        <v>0.86103912831293183</v>
      </c>
      <c r="U17" s="97">
        <f>Q17/O17</f>
        <v>0.76825044578129598</v>
      </c>
    </row>
    <row r="18" spans="1:21" ht="16">
      <c r="A18" s="59">
        <v>41243</v>
      </c>
      <c r="B18" s="91">
        <v>2198.81</v>
      </c>
      <c r="C18">
        <v>20107276</v>
      </c>
      <c r="D18">
        <f>360726.5+8696</f>
        <v>369422.5</v>
      </c>
      <c r="E18">
        <v>554869.30000000005</v>
      </c>
      <c r="F18" s="92">
        <v>86206</v>
      </c>
      <c r="G18" s="92">
        <v>872851</v>
      </c>
      <c r="H18" s="92">
        <f t="shared" si="0"/>
        <v>924291.8</v>
      </c>
      <c r="I18" s="93">
        <f t="shared" si="13"/>
        <v>838085.8</v>
      </c>
      <c r="J18" s="94">
        <f>B18/C18</f>
        <v>1.0935394729748574E-4</v>
      </c>
      <c r="K18" s="95">
        <f t="shared" si="2"/>
        <v>2198.81</v>
      </c>
      <c r="L18" s="96">
        <f t="shared" si="3"/>
        <v>40.397808595505424</v>
      </c>
      <c r="M18" s="96">
        <f t="shared" si="4"/>
        <v>60.677148189192813</v>
      </c>
      <c r="N18" s="96">
        <f t="shared" si="5"/>
        <v>9.4269663807270554</v>
      </c>
      <c r="O18" s="96">
        <f t="shared" si="6"/>
        <v>95.449702252557728</v>
      </c>
      <c r="P18" s="96">
        <f t="shared" si="7"/>
        <v>101.07495678469823</v>
      </c>
      <c r="Q18" s="96">
        <f t="shared" si="8"/>
        <v>91.647990403971178</v>
      </c>
      <c r="R18" s="97">
        <f>L18/O18</f>
        <v>0.42323661197615625</v>
      </c>
      <c r="S18" s="97">
        <f>L18/K18</f>
        <v>1.83725781652373E-2</v>
      </c>
      <c r="T18" s="97">
        <f>P18/O18</f>
        <v>1.0589342281786926</v>
      </c>
      <c r="U18" s="97">
        <f>Q18/O18</f>
        <v>0.96017052165833572</v>
      </c>
    </row>
    <row r="19" spans="1:21" ht="16">
      <c r="A19" s="59">
        <v>41274</v>
      </c>
      <c r="B19" s="91">
        <v>2238.83</v>
      </c>
      <c r="C19">
        <v>20443576.600000001</v>
      </c>
      <c r="D19">
        <f>359942+9238</f>
        <v>369180</v>
      </c>
      <c r="E19" s="92">
        <v>543217</v>
      </c>
      <c r="F19" s="92">
        <v>85882</v>
      </c>
      <c r="G19" s="92">
        <v>872102</v>
      </c>
      <c r="H19" s="92">
        <f t="shared" si="0"/>
        <v>912397</v>
      </c>
      <c r="I19" s="93">
        <f t="shared" si="13"/>
        <v>826515</v>
      </c>
      <c r="J19" s="94">
        <f>B19/C19</f>
        <v>1.0951263782287487E-4</v>
      </c>
      <c r="K19" s="95">
        <f t="shared" si="2"/>
        <v>2238.83</v>
      </c>
      <c r="L19" s="96">
        <f t="shared" si="3"/>
        <v>40.429875631448944</v>
      </c>
      <c r="M19" s="96">
        <f t="shared" si="4"/>
        <v>59.489126580228621</v>
      </c>
      <c r="N19" s="96">
        <f t="shared" si="5"/>
        <v>9.4051643615041396</v>
      </c>
      <c r="O19" s="96">
        <f t="shared" si="6"/>
        <v>95.506190470604821</v>
      </c>
      <c r="P19" s="96">
        <f t="shared" si="7"/>
        <v>99.919002211677565</v>
      </c>
      <c r="Q19" s="96">
        <f t="shared" si="8"/>
        <v>90.513837850173417</v>
      </c>
      <c r="R19" s="97">
        <f>L19/O19</f>
        <v>0.42332204260510808</v>
      </c>
      <c r="S19" s="97">
        <f>L19/K19</f>
        <v>1.8058483954319419E-2</v>
      </c>
      <c r="T19" s="97">
        <f>P19/O19</f>
        <v>1.0462044577354483</v>
      </c>
      <c r="U19" s="97">
        <f>Q19/O19</f>
        <v>0.94772744472550219</v>
      </c>
    </row>
    <row r="20" spans="1:21" ht="16">
      <c r="A20" s="59">
        <v>41305</v>
      </c>
      <c r="B20" s="91">
        <v>2278.87</v>
      </c>
      <c r="C20">
        <v>20818728.300000001</v>
      </c>
      <c r="D20">
        <f>247097+5399</f>
        <v>252496</v>
      </c>
      <c r="E20" s="92">
        <v>372491</v>
      </c>
      <c r="F20" s="92">
        <v>87186</v>
      </c>
      <c r="G20" s="92">
        <v>906789</v>
      </c>
      <c r="H20" s="92">
        <f t="shared" si="0"/>
        <v>624987</v>
      </c>
      <c r="I20" s="93">
        <f t="shared" si="13"/>
        <v>537801</v>
      </c>
      <c r="J20" s="94">
        <f>B20/C20</f>
        <v>1.0946249776457286E-4</v>
      </c>
      <c r="K20" s="95">
        <f t="shared" si="2"/>
        <v>2278.87</v>
      </c>
      <c r="L20" s="96">
        <f t="shared" si="3"/>
        <v>27.63884283556359</v>
      </c>
      <c r="M20" s="96">
        <f t="shared" si="4"/>
        <v>40.773795254823511</v>
      </c>
      <c r="N20" s="96">
        <f t="shared" si="5"/>
        <v>9.5435973301020489</v>
      </c>
      <c r="O20" s="96">
        <f t="shared" si="6"/>
        <v>99.259388885439265</v>
      </c>
      <c r="P20" s="96">
        <f t="shared" si="7"/>
        <v>68.412638090387105</v>
      </c>
      <c r="Q20" s="96">
        <f t="shared" si="8"/>
        <v>58.869040760285053</v>
      </c>
      <c r="R20" s="97">
        <f>L20/O20</f>
        <v>0.27845066492866588</v>
      </c>
      <c r="S20" s="97">
        <f>L20/K20</f>
        <v>1.212831045016328E-2</v>
      </c>
      <c r="T20" s="97">
        <f>P20/O20</f>
        <v>0.68923090156585498</v>
      </c>
      <c r="U20" s="97">
        <f>Q20/O20</f>
        <v>0.59308284507200681</v>
      </c>
    </row>
    <row r="21" spans="1:21" ht="16">
      <c r="A21" s="59">
        <v>41333</v>
      </c>
      <c r="I21" s="93">
        <f t="shared" si="13"/>
        <v>0</v>
      </c>
    </row>
    <row r="22" spans="1:21" ht="16">
      <c r="A22" s="59">
        <v>41364</v>
      </c>
      <c r="B22" s="91">
        <v>2362.7199999999998</v>
      </c>
      <c r="C22">
        <v>21572562.300000001</v>
      </c>
      <c r="D22">
        <f>363825.1+10190</f>
        <v>374015.1</v>
      </c>
      <c r="E22" s="92">
        <v>537011</v>
      </c>
      <c r="F22" s="92">
        <v>89251</v>
      </c>
      <c r="G22" s="92">
        <v>926091</v>
      </c>
      <c r="H22" s="92">
        <f>D22+E22</f>
        <v>911026.1</v>
      </c>
      <c r="I22" s="93">
        <f t="shared" si="13"/>
        <v>821775.1</v>
      </c>
      <c r="J22" s="94">
        <f>B22/C22</f>
        <v>1.0952430996108421E-4</v>
      </c>
      <c r="K22" s="95">
        <f t="shared" ref="K22:Q22" si="19">$J22*C22</f>
        <v>2362.7199999999998</v>
      </c>
      <c r="L22" s="96">
        <f t="shared" si="19"/>
        <v>40.963745742525909</v>
      </c>
      <c r="M22" s="96">
        <f t="shared" si="19"/>
        <v>58.815759216511793</v>
      </c>
      <c r="N22" s="96">
        <f t="shared" si="19"/>
        <v>9.7751541883367281</v>
      </c>
      <c r="O22" s="96">
        <f t="shared" si="19"/>
        <v>101.42947773617044</v>
      </c>
      <c r="P22" s="96">
        <f t="shared" si="19"/>
        <v>99.779504959037695</v>
      </c>
      <c r="Q22" s="96">
        <f t="shared" si="19"/>
        <v>90.004350770700981</v>
      </c>
      <c r="R22" s="97">
        <f>L22/O22</f>
        <v>0.4038643070713353</v>
      </c>
      <c r="S22" s="97">
        <f>L22/K22</f>
        <v>1.7337537136235318E-2</v>
      </c>
      <c r="T22" s="97">
        <f>P22/O22</f>
        <v>0.98373280811496921</v>
      </c>
      <c r="U22" s="97">
        <f>Q22/O22</f>
        <v>0.88735890965358699</v>
      </c>
    </row>
    <row r="23" spans="1:21" ht="16">
      <c r="A23" s="59">
        <v>41394</v>
      </c>
      <c r="I23" s="93">
        <f t="shared" si="13"/>
        <v>0</v>
      </c>
    </row>
    <row r="24" spans="1:21" ht="16">
      <c r="A24" s="59">
        <v>41425</v>
      </c>
      <c r="B24" s="91">
        <v>2430.06</v>
      </c>
      <c r="C24">
        <v>22209214</v>
      </c>
      <c r="D24">
        <v>364899.1</v>
      </c>
      <c r="E24" s="92">
        <v>508712</v>
      </c>
      <c r="F24" s="92">
        <v>85032</v>
      </c>
      <c r="G24" s="92">
        <v>955904</v>
      </c>
      <c r="H24" s="92">
        <f t="shared" ref="H24:H27" si="20">D24+E24</f>
        <v>873611.1</v>
      </c>
      <c r="I24" s="93">
        <f t="shared" si="13"/>
        <v>788579.1</v>
      </c>
      <c r="J24" s="94">
        <f t="shared" ref="J24:J29" si="21">B24/C24</f>
        <v>1.0941674928252751E-4</v>
      </c>
      <c r="K24" s="95">
        <f t="shared" ref="K24:K40" si="22">$J24*C24</f>
        <v>2430.06</v>
      </c>
      <c r="L24" s="96">
        <f t="shared" ref="L24:L40" si="23">$J24*D24</f>
        <v>39.926073338119934</v>
      </c>
      <c r="M24" s="96">
        <f t="shared" ref="M24:M40" si="24">$J24*E24</f>
        <v>55.661613361013139</v>
      </c>
      <c r="N24" s="96">
        <f t="shared" ref="N24:N40" si="25">$J24*F24</f>
        <v>9.3039250249918801</v>
      </c>
      <c r="O24" s="96">
        <f t="shared" ref="O24:O40" si="26">$J24*G24</f>
        <v>104.59190830616518</v>
      </c>
      <c r="P24" s="96">
        <f t="shared" ref="P24:P40" si="27">$J24*H24</f>
        <v>95.587686699133073</v>
      </c>
      <c r="Q24" s="96">
        <f t="shared" ref="Q24:Q40" si="28">$J24*I24</f>
        <v>86.283761674141189</v>
      </c>
      <c r="R24" s="97">
        <f t="shared" ref="R24:R29" si="29">L24/O24</f>
        <v>0.38173195216256023</v>
      </c>
      <c r="S24" s="97">
        <f t="shared" ref="S24:S29" si="30">L24/K24</f>
        <v>1.6430077174275505E-2</v>
      </c>
      <c r="T24" s="97">
        <f t="shared" ref="T24:T29" si="31">P24/O24</f>
        <v>0.91391091574049277</v>
      </c>
      <c r="U24" s="97">
        <f t="shared" ref="U24:U29" si="32">Q24/O24</f>
        <v>0.82495637637252273</v>
      </c>
    </row>
    <row r="25" spans="1:21" ht="16">
      <c r="A25" s="59">
        <v>41455</v>
      </c>
      <c r="B25">
        <v>2423.41</v>
      </c>
      <c r="C25">
        <v>22121323.800000001</v>
      </c>
      <c r="D25">
        <f>362613+3282</f>
        <v>365895</v>
      </c>
      <c r="E25">
        <v>509083</v>
      </c>
      <c r="F25">
        <v>85031</v>
      </c>
      <c r="G25">
        <v>963795</v>
      </c>
      <c r="H25" s="92">
        <f t="shared" si="20"/>
        <v>874978</v>
      </c>
      <c r="I25" s="93">
        <f t="shared" si="13"/>
        <v>789947</v>
      </c>
      <c r="J25" s="94">
        <f t="shared" si="21"/>
        <v>1.0955085789214837E-4</v>
      </c>
      <c r="K25" s="95">
        <f t="shared" si="22"/>
        <v>2423.41</v>
      </c>
      <c r="L25" s="96">
        <f t="shared" si="23"/>
        <v>40.084111148447626</v>
      </c>
      <c r="M25" s="96">
        <f t="shared" si="24"/>
        <v>55.770479388308573</v>
      </c>
      <c r="N25" s="96">
        <f t="shared" si="25"/>
        <v>9.3152189974272677</v>
      </c>
      <c r="O25" s="96">
        <f t="shared" si="26"/>
        <v>105.58456908216314</v>
      </c>
      <c r="P25" s="96">
        <f t="shared" si="27"/>
        <v>95.854590536756206</v>
      </c>
      <c r="Q25" s="96">
        <f t="shared" si="28"/>
        <v>86.539371539328926</v>
      </c>
      <c r="R25" s="97">
        <f t="shared" si="29"/>
        <v>0.37963986117379728</v>
      </c>
      <c r="S25" s="97">
        <f t="shared" si="30"/>
        <v>1.6540375400137669E-2</v>
      </c>
      <c r="T25" s="97">
        <f t="shared" si="31"/>
        <v>0.90784658563283693</v>
      </c>
      <c r="U25" s="97">
        <f t="shared" si="32"/>
        <v>0.81962139251604327</v>
      </c>
    </row>
    <row r="26" spans="1:21" ht="16">
      <c r="A26" s="59">
        <v>41486</v>
      </c>
      <c r="B26" s="91">
        <v>2470.3000000000002</v>
      </c>
      <c r="C26">
        <v>22519701.199999999</v>
      </c>
      <c r="D26">
        <v>289134</v>
      </c>
      <c r="E26" s="92">
        <v>411244</v>
      </c>
      <c r="F26" s="92">
        <v>66289</v>
      </c>
      <c r="G26" s="92">
        <v>989342</v>
      </c>
      <c r="H26" s="92">
        <f t="shared" si="20"/>
        <v>700378</v>
      </c>
      <c r="I26" s="93">
        <f t="shared" si="13"/>
        <v>634089</v>
      </c>
      <c r="J26" s="94">
        <f t="shared" si="21"/>
        <v>1.0969506114050928E-4</v>
      </c>
      <c r="K26" s="95">
        <f t="shared" si="22"/>
        <v>2470.3000000000002</v>
      </c>
      <c r="L26" s="96">
        <f t="shared" si="23"/>
        <v>31.716571807800012</v>
      </c>
      <c r="M26" s="96">
        <f t="shared" si="24"/>
        <v>45.111435723667597</v>
      </c>
      <c r="N26" s="96">
        <f t="shared" si="25"/>
        <v>7.2715759079432196</v>
      </c>
      <c r="O26" s="96">
        <f t="shared" si="26"/>
        <v>108.52593117887373</v>
      </c>
      <c r="P26" s="96">
        <f t="shared" si="27"/>
        <v>76.828007531467605</v>
      </c>
      <c r="Q26" s="96">
        <f t="shared" si="28"/>
        <v>69.556431623524389</v>
      </c>
      <c r="R26" s="97">
        <f t="shared" si="29"/>
        <v>0.29224878757800643</v>
      </c>
      <c r="S26" s="97">
        <f t="shared" si="30"/>
        <v>1.2839157919200102E-2</v>
      </c>
      <c r="T26" s="97">
        <f t="shared" si="31"/>
        <v>0.70792304380082915</v>
      </c>
      <c r="U26" s="97">
        <f t="shared" si="32"/>
        <v>0.64091992455591695</v>
      </c>
    </row>
    <row r="27" spans="1:21" ht="16">
      <c r="A27" s="59">
        <v>41517</v>
      </c>
      <c r="B27">
        <v>2417.65</v>
      </c>
      <c r="C27">
        <v>22448306.600000001</v>
      </c>
      <c r="D27">
        <v>371495</v>
      </c>
      <c r="E27">
        <v>507930</v>
      </c>
      <c r="F27">
        <v>81741</v>
      </c>
      <c r="G27">
        <v>987268</v>
      </c>
      <c r="H27" s="92">
        <f t="shared" si="20"/>
        <v>879425</v>
      </c>
      <c r="I27" s="93">
        <f t="shared" si="13"/>
        <v>797684</v>
      </c>
      <c r="J27" s="94">
        <f t="shared" si="21"/>
        <v>1.0769854684718178E-4</v>
      </c>
      <c r="K27" s="95">
        <f t="shared" si="22"/>
        <v>2417.65</v>
      </c>
      <c r="L27" s="96">
        <f t="shared" si="23"/>
        <v>40.009471660993796</v>
      </c>
      <c r="M27" s="96">
        <f t="shared" si="24"/>
        <v>54.703322900089042</v>
      </c>
      <c r="N27" s="96">
        <f t="shared" si="25"/>
        <v>8.8033869178354855</v>
      </c>
      <c r="O27" s="96">
        <f t="shared" si="26"/>
        <v>106.32732894872346</v>
      </c>
      <c r="P27" s="96">
        <f t="shared" si="27"/>
        <v>94.712794561082831</v>
      </c>
      <c r="Q27" s="96">
        <f t="shared" si="28"/>
        <v>85.909407643247349</v>
      </c>
      <c r="R27" s="97">
        <f t="shared" si="29"/>
        <v>0.3762858717187228</v>
      </c>
      <c r="S27" s="97">
        <f t="shared" si="30"/>
        <v>1.6548909751615739E-2</v>
      </c>
      <c r="T27" s="97">
        <f t="shared" si="31"/>
        <v>0.8907662357130991</v>
      </c>
      <c r="U27" s="97">
        <f t="shared" si="32"/>
        <v>0.80797108789102856</v>
      </c>
    </row>
    <row r="28" spans="1:21" ht="16">
      <c r="A28" s="59">
        <v>41547</v>
      </c>
      <c r="B28" s="91">
        <v>2519.36</v>
      </c>
      <c r="C28">
        <v>22902823</v>
      </c>
      <c r="D28">
        <f>370671+3729</f>
        <v>374400</v>
      </c>
      <c r="E28" s="92">
        <v>501871</v>
      </c>
      <c r="F28" s="92">
        <v>82365</v>
      </c>
      <c r="G28" s="92">
        <v>989591</v>
      </c>
      <c r="H28" s="92">
        <f t="shared" ref="H28:H30" si="33">D28+E28</f>
        <v>876271</v>
      </c>
      <c r="I28" s="93">
        <f t="shared" si="13"/>
        <v>793906</v>
      </c>
      <c r="J28" s="94">
        <f t="shared" si="21"/>
        <v>1.1000215999573503E-4</v>
      </c>
      <c r="K28" s="95">
        <f t="shared" si="22"/>
        <v>2519.36</v>
      </c>
      <c r="L28" s="96">
        <f t="shared" si="23"/>
        <v>41.184808702403195</v>
      </c>
      <c r="M28" s="96">
        <f t="shared" si="24"/>
        <v>55.206894039219534</v>
      </c>
      <c r="N28" s="96">
        <f t="shared" si="25"/>
        <v>9.0603279080487162</v>
      </c>
      <c r="O28" s="96">
        <f t="shared" si="26"/>
        <v>108.85714751233942</v>
      </c>
      <c r="P28" s="96">
        <f t="shared" si="27"/>
        <v>96.391702741622723</v>
      </c>
      <c r="Q28" s="96">
        <f t="shared" si="28"/>
        <v>87.331374833574017</v>
      </c>
      <c r="R28" s="97">
        <f t="shared" si="29"/>
        <v>0.37833812150676394</v>
      </c>
      <c r="S28" s="97">
        <f t="shared" si="30"/>
        <v>1.6347329759305217E-2</v>
      </c>
      <c r="T28" s="97">
        <f t="shared" si="31"/>
        <v>0.88548804506104029</v>
      </c>
      <c r="U28" s="97">
        <f t="shared" si="32"/>
        <v>0.80225668988501309</v>
      </c>
    </row>
    <row r="29" spans="1:21" ht="16">
      <c r="A29" s="59">
        <v>41578</v>
      </c>
      <c r="B29">
        <v>2575.2600000000002</v>
      </c>
      <c r="C29">
        <v>23369534.5</v>
      </c>
      <c r="D29">
        <f>285171+5528</f>
        <v>290699</v>
      </c>
      <c r="E29">
        <v>418418</v>
      </c>
      <c r="F29">
        <v>76878</v>
      </c>
      <c r="G29">
        <v>982449.5</v>
      </c>
      <c r="H29" s="92">
        <f t="shared" si="33"/>
        <v>709117</v>
      </c>
      <c r="I29" s="93">
        <f t="shared" si="13"/>
        <v>632239</v>
      </c>
      <c r="J29" s="94">
        <f t="shared" si="21"/>
        <v>1.1019731693842683E-4</v>
      </c>
      <c r="K29" s="95">
        <f t="shared" si="22"/>
        <v>2575.2600000000002</v>
      </c>
      <c r="L29" s="96">
        <f t="shared" si="23"/>
        <v>32.034249836683742</v>
      </c>
      <c r="M29" s="96">
        <f t="shared" si="24"/>
        <v>46.108540958742672</v>
      </c>
      <c r="N29" s="96">
        <f t="shared" si="25"/>
        <v>8.4717493315923775</v>
      </c>
      <c r="O29" s="96">
        <f t="shared" si="26"/>
        <v>108.26329892749897</v>
      </c>
      <c r="P29" s="96">
        <f t="shared" si="27"/>
        <v>78.142790795426421</v>
      </c>
      <c r="Q29" s="96">
        <f t="shared" si="28"/>
        <v>69.671041463834044</v>
      </c>
      <c r="R29" s="97">
        <f t="shared" si="29"/>
        <v>0.29589205348468295</v>
      </c>
      <c r="S29" s="97">
        <f t="shared" si="30"/>
        <v>1.243922937361033E-2</v>
      </c>
      <c r="T29" s="97">
        <f t="shared" si="31"/>
        <v>0.72178468206253865</v>
      </c>
      <c r="U29" s="97">
        <f t="shared" si="32"/>
        <v>0.64353333173867977</v>
      </c>
    </row>
    <row r="30" spans="1:21" ht="16">
      <c r="A30" s="59">
        <v>41608</v>
      </c>
      <c r="B30" s="91">
        <v>2647.58</v>
      </c>
      <c r="C30">
        <v>24029080</v>
      </c>
      <c r="D30">
        <v>374193.3</v>
      </c>
      <c r="E30" s="92">
        <v>523718</v>
      </c>
      <c r="F30" s="92">
        <v>87041</v>
      </c>
      <c r="G30" s="92">
        <v>988610</v>
      </c>
      <c r="H30" s="92">
        <f t="shared" si="33"/>
        <v>897911.3</v>
      </c>
      <c r="I30" s="93">
        <f t="shared" si="13"/>
        <v>810870.3</v>
      </c>
      <c r="J30" s="94">
        <f t="shared" ref="J30:J35" si="34">B30/C30</f>
        <v>1.101823290779339E-4</v>
      </c>
      <c r="K30" s="95">
        <f t="shared" si="22"/>
        <v>2647.58</v>
      </c>
      <c r="L30" s="96">
        <f t="shared" si="23"/>
        <v>41.229489319358045</v>
      </c>
      <c r="M30" s="96">
        <f t="shared" si="24"/>
        <v>57.704469020037386</v>
      </c>
      <c r="N30" s="96">
        <f t="shared" si="25"/>
        <v>9.5903801052724447</v>
      </c>
      <c r="O30" s="96">
        <f t="shared" si="26"/>
        <v>108.92735234973622</v>
      </c>
      <c r="P30" s="96">
        <f t="shared" si="27"/>
        <v>98.933958339395431</v>
      </c>
      <c r="Q30" s="96">
        <f t="shared" si="28"/>
        <v>89.343578234122987</v>
      </c>
      <c r="R30" s="97">
        <f t="shared" ref="R30:R35" si="35">L30/O30</f>
        <v>0.37850446586621622</v>
      </c>
      <c r="S30" s="97">
        <f t="shared" ref="S30:S35" si="36">L30/K30</f>
        <v>1.5572518798056356E-2</v>
      </c>
      <c r="T30" s="97">
        <f t="shared" ref="T30:T35" si="37">P30/O30</f>
        <v>0.90825633970928887</v>
      </c>
      <c r="U30" s="97">
        <f t="shared" ref="U30:U35" si="38">Q30/O30</f>
        <v>0.82021252060974503</v>
      </c>
    </row>
    <row r="31" spans="1:21" ht="16">
      <c r="A31" s="59">
        <v>41639</v>
      </c>
      <c r="B31">
        <v>2673.61</v>
      </c>
      <c r="C31">
        <v>24376166.800000001</v>
      </c>
      <c r="D31">
        <v>373252.7</v>
      </c>
      <c r="E31">
        <v>520226.1</v>
      </c>
      <c r="F31">
        <v>87910.6</v>
      </c>
      <c r="G31">
        <v>992869</v>
      </c>
      <c r="H31" s="92">
        <f t="shared" ref="H31:H35" si="39">D31+E31</f>
        <v>893478.8</v>
      </c>
      <c r="I31" s="93">
        <f t="shared" si="13"/>
        <v>805568.20000000007</v>
      </c>
      <c r="J31" s="94">
        <f t="shared" si="34"/>
        <v>1.0968131379868962E-4</v>
      </c>
      <c r="K31" s="95">
        <f t="shared" si="22"/>
        <v>2673.61</v>
      </c>
      <c r="L31" s="96">
        <f t="shared" si="23"/>
        <v>40.938846514908157</v>
      </c>
      <c r="M31" s="96">
        <f t="shared" si="24"/>
        <v>57.059082120368487</v>
      </c>
      <c r="N31" s="96">
        <f t="shared" si="25"/>
        <v>9.6421501048310851</v>
      </c>
      <c r="O31" s="96">
        <f t="shared" si="26"/>
        <v>108.89917634999117</v>
      </c>
      <c r="P31" s="96">
        <f t="shared" si="27"/>
        <v>97.997928635276651</v>
      </c>
      <c r="Q31" s="96">
        <f t="shared" si="28"/>
        <v>88.355778530445576</v>
      </c>
      <c r="R31" s="97">
        <f t="shared" si="35"/>
        <v>0.37593348165770107</v>
      </c>
      <c r="S31" s="97">
        <f t="shared" si="36"/>
        <v>1.5312198306749359E-2</v>
      </c>
      <c r="T31" s="97">
        <f t="shared" si="37"/>
        <v>0.89989595807704748</v>
      </c>
      <c r="U31" s="97">
        <f t="shared" si="38"/>
        <v>0.81135396512530877</v>
      </c>
    </row>
    <row r="32" spans="1:21" ht="16">
      <c r="A32" s="59">
        <v>41670</v>
      </c>
      <c r="B32" s="91">
        <v>2823.81</v>
      </c>
      <c r="C32">
        <v>25604673.899999999</v>
      </c>
      <c r="D32">
        <f>298624+5529</f>
        <v>304153</v>
      </c>
      <c r="E32" s="92">
        <v>383309</v>
      </c>
      <c r="F32" s="92">
        <v>72068</v>
      </c>
      <c r="G32" s="92">
        <v>918296</v>
      </c>
      <c r="H32" s="92">
        <f t="shared" si="39"/>
        <v>687462</v>
      </c>
      <c r="I32" s="93">
        <f t="shared" si="13"/>
        <v>615394</v>
      </c>
      <c r="J32" s="94">
        <f t="shared" si="34"/>
        <v>1.1028494293770326E-4</v>
      </c>
      <c r="K32" s="95">
        <f t="shared" si="22"/>
        <v>2823.81</v>
      </c>
      <c r="L32" s="96">
        <f t="shared" si="23"/>
        <v>33.543496249331263</v>
      </c>
      <c r="M32" s="96">
        <f t="shared" si="24"/>
        <v>42.2732111925081</v>
      </c>
      <c r="N32" s="96">
        <f t="shared" si="25"/>
        <v>7.9480152676343989</v>
      </c>
      <c r="O32" s="96">
        <f t="shared" si="26"/>
        <v>101.27422195992115</v>
      </c>
      <c r="P32" s="96">
        <f t="shared" si="27"/>
        <v>75.816707441839355</v>
      </c>
      <c r="Q32" s="96">
        <f t="shared" si="28"/>
        <v>67.868692174204966</v>
      </c>
      <c r="R32" s="97">
        <f t="shared" si="35"/>
        <v>0.33121455391289956</v>
      </c>
      <c r="S32" s="97">
        <f t="shared" si="36"/>
        <v>1.1878807798446519E-2</v>
      </c>
      <c r="T32" s="97">
        <f t="shared" si="37"/>
        <v>0.74862789340256297</v>
      </c>
      <c r="U32" s="97">
        <f t="shared" si="38"/>
        <v>0.67014775192312726</v>
      </c>
    </row>
    <row r="33" spans="1:21" ht="16">
      <c r="A33" s="59">
        <v>41698</v>
      </c>
      <c r="B33">
        <v>2713.83</v>
      </c>
      <c r="C33">
        <v>24543964.5</v>
      </c>
      <c r="D33">
        <f>329469.6+5103.5</f>
        <v>334573.09999999998</v>
      </c>
      <c r="E33">
        <v>456528</v>
      </c>
      <c r="F33">
        <v>80725</v>
      </c>
      <c r="G33">
        <v>1005336</v>
      </c>
      <c r="H33" s="92">
        <f t="shared" si="39"/>
        <v>791101.1</v>
      </c>
      <c r="I33" s="93">
        <f t="shared" si="13"/>
        <v>710376.1</v>
      </c>
      <c r="J33" s="94">
        <f t="shared" si="34"/>
        <v>1.105701566672328E-4</v>
      </c>
      <c r="K33" s="95">
        <f t="shared" si="22"/>
        <v>2713.83</v>
      </c>
      <c r="L33" s="96">
        <f t="shared" si="23"/>
        <v>36.993800083641744</v>
      </c>
      <c r="M33" s="96">
        <f t="shared" si="24"/>
        <v>50.478372482978457</v>
      </c>
      <c r="N33" s="96">
        <f t="shared" si="25"/>
        <v>8.9257758969623673</v>
      </c>
      <c r="O33" s="96">
        <f t="shared" si="26"/>
        <v>111.16015902320915</v>
      </c>
      <c r="P33" s="96">
        <f t="shared" si="27"/>
        <v>87.472172566620202</v>
      </c>
      <c r="Q33" s="96">
        <f t="shared" si="28"/>
        <v>78.546396669657824</v>
      </c>
      <c r="R33" s="97">
        <f t="shared" si="35"/>
        <v>0.33279729364113092</v>
      </c>
      <c r="S33" s="97">
        <f t="shared" si="36"/>
        <v>1.363158343877168E-2</v>
      </c>
      <c r="T33" s="97">
        <f t="shared" si="37"/>
        <v>0.78690218991461569</v>
      </c>
      <c r="U33" s="97">
        <f t="shared" si="38"/>
        <v>0.70660565223964922</v>
      </c>
    </row>
    <row r="34" spans="1:21" ht="16">
      <c r="A34" s="59">
        <v>41729</v>
      </c>
      <c r="B34" s="91">
        <v>2640.87</v>
      </c>
      <c r="C34">
        <v>23909563.899999999</v>
      </c>
      <c r="D34">
        <f>383383.3+5306.4</f>
        <v>388689.7</v>
      </c>
      <c r="E34" s="92">
        <v>521958</v>
      </c>
      <c r="F34" s="92">
        <v>85184</v>
      </c>
      <c r="G34" s="92">
        <v>1012082</v>
      </c>
      <c r="H34" s="92">
        <f t="shared" si="39"/>
        <v>910647.7</v>
      </c>
      <c r="I34" s="93">
        <f t="shared" si="13"/>
        <v>825463.7</v>
      </c>
      <c r="J34" s="94">
        <f t="shared" si="34"/>
        <v>1.1045245371455729E-4</v>
      </c>
      <c r="K34" s="95">
        <f t="shared" si="22"/>
        <v>2640.87</v>
      </c>
      <c r="L34" s="96">
        <f t="shared" si="23"/>
        <v>42.931731098575163</v>
      </c>
      <c r="M34" s="96">
        <f t="shared" si="24"/>
        <v>57.651541835942893</v>
      </c>
      <c r="N34" s="96">
        <f t="shared" si="25"/>
        <v>9.4087818172208486</v>
      </c>
      <c r="O34" s="96">
        <f t="shared" si="26"/>
        <v>111.78694026033658</v>
      </c>
      <c r="P34" s="96">
        <f t="shared" si="27"/>
        <v>100.58327293451805</v>
      </c>
      <c r="Q34" s="96">
        <f t="shared" si="28"/>
        <v>91.174491117297194</v>
      </c>
      <c r="R34" s="97">
        <f t="shared" si="35"/>
        <v>0.38404961258079878</v>
      </c>
      <c r="S34" s="97">
        <f t="shared" si="36"/>
        <v>1.6256662046437411E-2</v>
      </c>
      <c r="T34" s="97">
        <f t="shared" si="37"/>
        <v>0.89977659912931951</v>
      </c>
      <c r="U34" s="97">
        <f t="shared" si="38"/>
        <v>0.81560950594912252</v>
      </c>
    </row>
    <row r="35" spans="1:21" ht="16">
      <c r="A35" s="59">
        <v>41759</v>
      </c>
      <c r="B35">
        <v>2648.05</v>
      </c>
      <c r="C35">
        <v>23974382.300000001</v>
      </c>
      <c r="D35">
        <f>300590.7+4390.6</f>
        <v>304981.3</v>
      </c>
      <c r="E35">
        <v>428172.4</v>
      </c>
      <c r="F35">
        <v>73158</v>
      </c>
      <c r="G35">
        <v>1054625.8</v>
      </c>
      <c r="H35" s="92">
        <f t="shared" si="39"/>
        <v>733153.7</v>
      </c>
      <c r="I35" s="93">
        <f t="shared" si="13"/>
        <v>659995.69999999995</v>
      </c>
      <c r="J35" s="94">
        <f t="shared" si="34"/>
        <v>1.1045331499531482E-4</v>
      </c>
      <c r="K35" s="95">
        <f t="shared" si="22"/>
        <v>2648.05</v>
      </c>
      <c r="L35" s="96">
        <f t="shared" si="23"/>
        <v>33.686195596580603</v>
      </c>
      <c r="M35" s="96">
        <f t="shared" si="24"/>
        <v>47.29306096949994</v>
      </c>
      <c r="N35" s="96">
        <f t="shared" si="25"/>
        <v>8.0805436184272423</v>
      </c>
      <c r="O35" s="96">
        <f t="shared" si="26"/>
        <v>116.4869156895859</v>
      </c>
      <c r="P35" s="96">
        <f t="shared" si="27"/>
        <v>80.979256566080537</v>
      </c>
      <c r="Q35" s="96">
        <f t="shared" si="28"/>
        <v>72.898712947653294</v>
      </c>
      <c r="R35" s="97">
        <f t="shared" si="35"/>
        <v>0.28918437231480582</v>
      </c>
      <c r="S35" s="97">
        <f t="shared" si="36"/>
        <v>1.2721132756775968E-2</v>
      </c>
      <c r="T35" s="97">
        <f t="shared" si="37"/>
        <v>0.69517899144891004</v>
      </c>
      <c r="U35" s="97">
        <f t="shared" si="38"/>
        <v>0.62581031110750363</v>
      </c>
    </row>
    <row r="36" spans="1:21" ht="16">
      <c r="A36" s="59">
        <v>41790</v>
      </c>
      <c r="B36" s="91">
        <v>2705.27</v>
      </c>
      <c r="C36">
        <v>24386058.600000001</v>
      </c>
      <c r="D36">
        <f>395039.2+2809.3</f>
        <v>397848.5</v>
      </c>
      <c r="E36">
        <v>570702.5</v>
      </c>
      <c r="F36">
        <v>81516.399999999994</v>
      </c>
      <c r="G36">
        <v>1055383.8</v>
      </c>
      <c r="H36" s="92">
        <f t="shared" ref="H36:H37" si="40">D36+E36</f>
        <v>968551</v>
      </c>
      <c r="I36" s="93">
        <f t="shared" si="13"/>
        <v>887034.6</v>
      </c>
      <c r="J36" s="94">
        <f t="shared" ref="J36:J37" si="41">B36/C36</f>
        <v>1.1093510617578848E-4</v>
      </c>
      <c r="K36" s="95">
        <f t="shared" si="22"/>
        <v>2705.27</v>
      </c>
      <c r="L36" s="96">
        <f t="shared" si="23"/>
        <v>44.135365589378182</v>
      </c>
      <c r="M36" s="96">
        <f t="shared" si="24"/>
        <v>63.310942432287924</v>
      </c>
      <c r="N36" s="96">
        <f t="shared" si="25"/>
        <v>9.0430304890680429</v>
      </c>
      <c r="O36" s="96">
        <f t="shared" si="26"/>
        <v>117.07911390920712</v>
      </c>
      <c r="P36" s="96">
        <f t="shared" si="27"/>
        <v>107.44630802166611</v>
      </c>
      <c r="Q36" s="96">
        <f t="shared" si="28"/>
        <v>98.403277532598054</v>
      </c>
      <c r="R36" s="97">
        <f t="shared" ref="R36" si="42">L36/O36</f>
        <v>0.37697044430661147</v>
      </c>
      <c r="S36" s="97">
        <f t="shared" ref="S36" si="43">L36/K36</f>
        <v>1.6314588040889887E-2</v>
      </c>
      <c r="T36" s="97">
        <f t="shared" ref="T36" si="44">P36/O36</f>
        <v>0.91772395975757826</v>
      </c>
      <c r="U36" s="97">
        <f t="shared" ref="U36" si="45">Q36/O36</f>
        <v>0.8404853286548456</v>
      </c>
    </row>
    <row r="37" spans="1:21" ht="16">
      <c r="A37" s="59">
        <v>41820</v>
      </c>
      <c r="B37">
        <v>2718.37</v>
      </c>
      <c r="C37">
        <v>24481041.199999999</v>
      </c>
      <c r="D37">
        <v>396328.9</v>
      </c>
      <c r="E37">
        <v>579623.9</v>
      </c>
      <c r="F37">
        <v>81266.5</v>
      </c>
      <c r="G37">
        <v>1064656.8</v>
      </c>
      <c r="H37" s="92">
        <f t="shared" si="40"/>
        <v>975952.8</v>
      </c>
      <c r="I37" s="93">
        <f t="shared" si="13"/>
        <v>894686.3</v>
      </c>
      <c r="J37" s="94">
        <f t="shared" si="41"/>
        <v>1.1103980332339787E-4</v>
      </c>
      <c r="K37" s="95">
        <f t="shared" si="22"/>
        <v>2718.37</v>
      </c>
      <c r="L37" s="96">
        <f t="shared" si="23"/>
        <v>44.008283107378624</v>
      </c>
      <c r="M37" s="96">
        <f t="shared" si="24"/>
        <v>64.361323857540839</v>
      </c>
      <c r="N37" s="96">
        <f t="shared" si="25"/>
        <v>9.0238161767809135</v>
      </c>
      <c r="O37" s="96">
        <f t="shared" si="26"/>
        <v>118.21928167891814</v>
      </c>
      <c r="P37" s="96">
        <f t="shared" si="27"/>
        <v>108.36960696491946</v>
      </c>
      <c r="Q37" s="96">
        <f t="shared" si="28"/>
        <v>99.345790788138544</v>
      </c>
      <c r="R37" s="97">
        <f t="shared" ref="R37" si="46">L37/O37</f>
        <v>0.37225977422959217</v>
      </c>
      <c r="S37" s="97">
        <f t="shared" ref="S37" si="47">L37/K37</f>
        <v>1.6189217474949558E-2</v>
      </c>
      <c r="T37" s="97">
        <f t="shared" ref="T37" si="48">P37/O37</f>
        <v>0.91668300996151997</v>
      </c>
      <c r="U37" s="97">
        <f t="shared" ref="U37" si="49">Q37/O37</f>
        <v>0.84035183920301837</v>
      </c>
    </row>
    <row r="38" spans="1:21" ht="16">
      <c r="A38" s="59">
        <v>41851</v>
      </c>
      <c r="B38" s="91">
        <v>2816.29</v>
      </c>
      <c r="C38">
        <v>25354326.5</v>
      </c>
      <c r="D38">
        <v>310655.8</v>
      </c>
      <c r="E38">
        <v>547112.6</v>
      </c>
      <c r="F38">
        <v>68316.3</v>
      </c>
      <c r="G38">
        <v>1116871.5</v>
      </c>
      <c r="H38" s="92">
        <f t="shared" ref="H38" si="50">D38+E38</f>
        <v>857768.39999999991</v>
      </c>
      <c r="I38" s="93">
        <f t="shared" si="13"/>
        <v>789452.09999999986</v>
      </c>
      <c r="J38" s="94">
        <f t="shared" ref="J38" si="51">B38/C38</f>
        <v>1.1107729483565655E-4</v>
      </c>
      <c r="K38" s="95">
        <f t="shared" si="22"/>
        <v>2816.29</v>
      </c>
      <c r="L38" s="96">
        <f t="shared" si="23"/>
        <v>34.506805889006749</v>
      </c>
      <c r="M38" s="96">
        <f t="shared" si="24"/>
        <v>60.771787578502625</v>
      </c>
      <c r="N38" s="96">
        <f t="shared" si="25"/>
        <v>7.588389797181164</v>
      </c>
      <c r="O38" s="96">
        <f t="shared" si="26"/>
        <v>124.05906489904199</v>
      </c>
      <c r="P38" s="96">
        <f t="shared" si="27"/>
        <v>95.278593467509367</v>
      </c>
      <c r="Q38" s="96">
        <f t="shared" si="28"/>
        <v>87.690203670328202</v>
      </c>
      <c r="R38" s="97">
        <f t="shared" ref="R38" si="52">L38/O38</f>
        <v>0.27814820236705828</v>
      </c>
      <c r="S38" s="97">
        <f t="shared" ref="S38" si="53">L38/K38</f>
        <v>1.22525755121123E-2</v>
      </c>
      <c r="T38" s="97">
        <f t="shared" ref="T38" si="54">P38/O38</f>
        <v>0.76800992773116683</v>
      </c>
      <c r="U38" s="97">
        <f t="shared" ref="U38" si="55">Q38/O38</f>
        <v>0.70684237175001763</v>
      </c>
    </row>
    <row r="39" spans="1:21" ht="16">
      <c r="A39" s="59">
        <v>41882</v>
      </c>
      <c r="B39">
        <v>2901.52</v>
      </c>
      <c r="C39">
        <v>26029576.100000001</v>
      </c>
      <c r="D39">
        <v>394563</v>
      </c>
      <c r="E39">
        <v>649949.19999999995</v>
      </c>
      <c r="F39">
        <v>80481.8</v>
      </c>
      <c r="G39">
        <v>1123218.2</v>
      </c>
      <c r="H39" s="92">
        <f t="shared" ref="H39:H40" si="56">D39+E39</f>
        <v>1044512.2</v>
      </c>
      <c r="I39" s="93">
        <f t="shared" si="13"/>
        <v>964030.39999999991</v>
      </c>
      <c r="J39" s="94">
        <f t="shared" ref="J39" si="57">B39/C39</f>
        <v>1.1147012109813036E-4</v>
      </c>
      <c r="K39" s="95">
        <f t="shared" si="22"/>
        <v>2901.52</v>
      </c>
      <c r="L39" s="96">
        <f t="shared" si="23"/>
        <v>43.981985390841608</v>
      </c>
      <c r="M39" s="96">
        <f t="shared" si="24"/>
        <v>72.449916031632938</v>
      </c>
      <c r="N39" s="96">
        <f t="shared" si="25"/>
        <v>8.9713159921955086</v>
      </c>
      <c r="O39" s="96">
        <f t="shared" si="26"/>
        <v>125.205268773624</v>
      </c>
      <c r="P39" s="96">
        <f t="shared" si="27"/>
        <v>116.43190142247455</v>
      </c>
      <c r="Q39" s="96">
        <f t="shared" si="28"/>
        <v>107.46058543027904</v>
      </c>
      <c r="R39" s="97">
        <f t="shared" ref="R39" si="58">L39/O39</f>
        <v>0.35127903020089951</v>
      </c>
      <c r="S39" s="97">
        <f t="shared" ref="S39" si="59">L39/K39</f>
        <v>1.5158256841531889E-2</v>
      </c>
      <c r="T39" s="97">
        <f t="shared" ref="T39" si="60">P39/O39</f>
        <v>0.92992812972581818</v>
      </c>
      <c r="U39" s="97">
        <f t="shared" ref="U39" si="61">Q39/O39</f>
        <v>0.85827526655105835</v>
      </c>
    </row>
    <row r="40" spans="1:21" ht="16">
      <c r="A40" s="59">
        <v>41912</v>
      </c>
      <c r="B40" s="91">
        <v>2913.98</v>
      </c>
      <c r="C40">
        <v>26107042.600000001</v>
      </c>
      <c r="D40">
        <f>394437+7041</f>
        <v>401478</v>
      </c>
      <c r="E40">
        <v>665829.19999999995</v>
      </c>
      <c r="F40">
        <v>76770.3</v>
      </c>
      <c r="G40">
        <v>1128412.8999999999</v>
      </c>
      <c r="H40" s="92">
        <f t="shared" si="56"/>
        <v>1067307.2</v>
      </c>
      <c r="I40" s="93">
        <f t="shared" si="13"/>
        <v>990536.89999999991</v>
      </c>
      <c r="J40" s="94">
        <f t="shared" ref="J40" si="62">B40/C40</f>
        <v>1.1161662562269691E-4</v>
      </c>
      <c r="K40" s="95">
        <f t="shared" si="22"/>
        <v>2913.98</v>
      </c>
      <c r="L40" s="96">
        <f t="shared" si="23"/>
        <v>44.811619621749109</v>
      </c>
      <c r="M40" s="96">
        <f t="shared" si="24"/>
        <v>74.317608545059784</v>
      </c>
      <c r="N40" s="96">
        <f t="shared" si="25"/>
        <v>8.5688418340421286</v>
      </c>
      <c r="O40" s="96">
        <f t="shared" si="26"/>
        <v>125.94964020712172</v>
      </c>
      <c r="P40" s="96">
        <f t="shared" si="27"/>
        <v>119.1292281668089</v>
      </c>
      <c r="Q40" s="96">
        <f t="shared" si="28"/>
        <v>110.56038633276675</v>
      </c>
      <c r="R40" s="97">
        <f t="shared" ref="R40" si="63">L40/O40</f>
        <v>0.35578997723262473</v>
      </c>
      <c r="S40" s="97">
        <f t="shared" ref="S40" si="64">L40/K40</f>
        <v>1.5378149342737119E-2</v>
      </c>
      <c r="T40" s="97">
        <f t="shared" ref="T40" si="65">P40/O40</f>
        <v>0.94584810223279092</v>
      </c>
      <c r="U40" s="97">
        <f t="shared" ref="U40" si="66">Q40/O40</f>
        <v>0.87781422917090013</v>
      </c>
    </row>
    <row r="41" spans="1:21" ht="16">
      <c r="A41" s="59">
        <v>41943</v>
      </c>
      <c r="B41" s="91"/>
      <c r="H41" s="92"/>
      <c r="I41" s="93">
        <f t="shared" si="13"/>
        <v>0</v>
      </c>
      <c r="J41" s="94"/>
      <c r="K41" s="95"/>
      <c r="L41" s="96"/>
      <c r="M41" s="96"/>
      <c r="N41" s="96"/>
      <c r="O41" s="96"/>
      <c r="P41" s="96"/>
      <c r="Q41" s="96"/>
      <c r="R41" s="97"/>
      <c r="S41" s="97"/>
      <c r="T41" s="97"/>
      <c r="U41" s="97"/>
    </row>
    <row r="42" spans="1:21" ht="16">
      <c r="A42" s="59">
        <v>41973</v>
      </c>
      <c r="B42" s="91">
        <v>2760.17</v>
      </c>
      <c r="C42">
        <v>24676330.600000001</v>
      </c>
      <c r="D42">
        <f>401003+3573</f>
        <v>404576</v>
      </c>
      <c r="E42">
        <v>734207.7</v>
      </c>
      <c r="F42">
        <v>72862.8</v>
      </c>
      <c r="G42">
        <v>1199189.8</v>
      </c>
      <c r="H42" s="92">
        <f t="shared" ref="H42" si="67">D42+E42</f>
        <v>1138783.7</v>
      </c>
      <c r="I42" s="93">
        <f t="shared" si="13"/>
        <v>1065920.8999999999</v>
      </c>
      <c r="J42" s="94">
        <f t="shared" ref="J42" si="68">B42/C42</f>
        <v>1.1185496112618948E-4</v>
      </c>
      <c r="K42" s="95">
        <f t="shared" ref="K42:Q46" si="69">$J42*C42</f>
        <v>2760.17</v>
      </c>
      <c r="L42" s="96">
        <f t="shared" si="69"/>
        <v>45.253832752589233</v>
      </c>
      <c r="M42" s="96">
        <f t="shared" si="69"/>
        <v>82.124773742048987</v>
      </c>
      <c r="N42" s="96">
        <f t="shared" si="69"/>
        <v>8.1500656615453195</v>
      </c>
      <c r="O42" s="96">
        <f t="shared" si="69"/>
        <v>134.13532846192294</v>
      </c>
      <c r="P42" s="96">
        <f t="shared" si="69"/>
        <v>127.37860649463822</v>
      </c>
      <c r="Q42" s="96">
        <f t="shared" si="69"/>
        <v>119.22854083309289</v>
      </c>
      <c r="R42" s="97">
        <f t="shared" ref="R42" si="70">L42/O42</f>
        <v>0.33737445064993044</v>
      </c>
      <c r="S42" s="97">
        <f t="shared" ref="S42" si="71">L42/K42</f>
        <v>1.6395306358879789E-2</v>
      </c>
      <c r="T42" s="97">
        <f t="shared" ref="T42" si="72">P42/O42</f>
        <v>0.94962757355007521</v>
      </c>
      <c r="U42" s="97">
        <f t="shared" ref="U42" si="73">Q42/O42</f>
        <v>0.88886755040778354</v>
      </c>
    </row>
    <row r="43" spans="1:21" ht="16">
      <c r="A43" s="59">
        <v>42004</v>
      </c>
      <c r="B43" s="91">
        <v>2506.85</v>
      </c>
      <c r="C43">
        <v>22155169.399999999</v>
      </c>
      <c r="D43">
        <f>400090+3573</f>
        <v>403663</v>
      </c>
      <c r="E43">
        <v>737587.9</v>
      </c>
      <c r="F43">
        <v>71285.7</v>
      </c>
      <c r="G43">
        <v>1193827.5</v>
      </c>
      <c r="H43" s="92">
        <f t="shared" ref="H43:H45" si="74">D43+E43</f>
        <v>1141250.8999999999</v>
      </c>
      <c r="I43" s="93">
        <f t="shared" si="13"/>
        <v>1069965.2</v>
      </c>
      <c r="J43" s="94">
        <f t="shared" ref="J43" si="75">B43/C43</f>
        <v>1.1314966519732411E-4</v>
      </c>
      <c r="K43" s="95">
        <f t="shared" si="69"/>
        <v>2506.85</v>
      </c>
      <c r="L43" s="96">
        <f t="shared" si="69"/>
        <v>45.674333302547446</v>
      </c>
      <c r="M43" s="96">
        <f t="shared" si="69"/>
        <v>83.457823938597386</v>
      </c>
      <c r="N43" s="96">
        <f t="shared" si="69"/>
        <v>8.0659530883568866</v>
      </c>
      <c r="O43" s="96">
        <f t="shared" si="69"/>
        <v>135.08118192835846</v>
      </c>
      <c r="P43" s="96">
        <f t="shared" si="69"/>
        <v>129.13215724114482</v>
      </c>
      <c r="Q43" s="96">
        <f t="shared" si="69"/>
        <v>121.06620415278793</v>
      </c>
      <c r="R43" s="97">
        <f t="shared" ref="R43" si="76">L43/O43</f>
        <v>0.33812506413196208</v>
      </c>
      <c r="S43" s="97">
        <f t="shared" ref="S43" si="77">L43/K43</f>
        <v>1.8219811038772741E-2</v>
      </c>
      <c r="T43" s="97">
        <f t="shared" ref="T43" si="78">P43/O43</f>
        <v>0.95595963403423023</v>
      </c>
      <c r="U43" s="97">
        <f t="shared" ref="U43:U44" si="79">Q43/O43</f>
        <v>0.89624774098435489</v>
      </c>
    </row>
    <row r="44" spans="1:21" ht="16">
      <c r="A44" s="59">
        <v>42035</v>
      </c>
      <c r="B44" s="91">
        <v>2704.1</v>
      </c>
      <c r="C44">
        <v>24262871.800000001</v>
      </c>
      <c r="D44">
        <f>311946+2654</f>
        <v>314600</v>
      </c>
      <c r="E44">
        <v>589695</v>
      </c>
      <c r="F44">
        <v>62900</v>
      </c>
      <c r="G44">
        <v>1256001.7</v>
      </c>
      <c r="H44" s="92">
        <f t="shared" si="74"/>
        <v>904295</v>
      </c>
      <c r="I44" s="93">
        <f t="shared" si="13"/>
        <v>841395</v>
      </c>
      <c r="J44" s="94">
        <f t="shared" ref="J44" si="80">B44/C44</f>
        <v>1.1145012108583122E-4</v>
      </c>
      <c r="K44" s="95">
        <f t="shared" si="69"/>
        <v>2704.1</v>
      </c>
      <c r="L44" s="96">
        <f t="shared" si="69"/>
        <v>35.0622080936025</v>
      </c>
      <c r="M44" s="96">
        <f t="shared" si="69"/>
        <v>65.721579153709243</v>
      </c>
      <c r="N44" s="96">
        <f t="shared" si="69"/>
        <v>7.0102126162987837</v>
      </c>
      <c r="O44" s="96">
        <f t="shared" si="69"/>
        <v>139.98154154900985</v>
      </c>
      <c r="P44" s="96">
        <f t="shared" si="69"/>
        <v>100.78378724731175</v>
      </c>
      <c r="Q44" s="96">
        <f t="shared" si="69"/>
        <v>93.773574631012963</v>
      </c>
      <c r="R44" s="97">
        <f t="shared" ref="R44" si="81">L44/O44</f>
        <v>0.25047736798445419</v>
      </c>
      <c r="S44" s="97">
        <f t="shared" ref="S44" si="82">L44/K44</f>
        <v>1.2966313410599645E-2</v>
      </c>
      <c r="T44" s="97">
        <f t="shared" ref="T44" si="83">P44/O44</f>
        <v>0.71997912104736816</v>
      </c>
      <c r="U44" s="97">
        <f t="shared" si="79"/>
        <v>0.66989957099580366</v>
      </c>
    </row>
    <row r="45" spans="1:21" ht="16">
      <c r="A45" s="59">
        <v>42063</v>
      </c>
      <c r="B45" s="91">
        <v>2784.49</v>
      </c>
      <c r="C45">
        <v>24780982.5</v>
      </c>
      <c r="D45">
        <f>360695+2621.9</f>
        <v>363316.9</v>
      </c>
      <c r="E45">
        <v>731700</v>
      </c>
      <c r="F45">
        <v>72146</v>
      </c>
      <c r="G45">
        <v>1207380</v>
      </c>
      <c r="H45" s="92">
        <f t="shared" si="74"/>
        <v>1095016.8999999999</v>
      </c>
      <c r="I45" s="93">
        <f t="shared" si="13"/>
        <v>1022870.8999999999</v>
      </c>
      <c r="J45" s="94">
        <f t="shared" ref="J45" si="84">B45/C45</f>
        <v>1.123639871825098E-4</v>
      </c>
      <c r="K45" s="95">
        <f t="shared" si="69"/>
        <v>2784.49</v>
      </c>
      <c r="L45" s="96">
        <f t="shared" si="69"/>
        <v>40.823735494789197</v>
      </c>
      <c r="M45" s="96">
        <f t="shared" si="69"/>
        <v>82.216729421442423</v>
      </c>
      <c r="N45" s="96">
        <f t="shared" si="69"/>
        <v>8.106612219269353</v>
      </c>
      <c r="O45" s="96">
        <f t="shared" si="69"/>
        <v>135.66603084441869</v>
      </c>
      <c r="P45" s="96">
        <f t="shared" si="69"/>
        <v>123.04046491623161</v>
      </c>
      <c r="Q45" s="96">
        <f t="shared" si="69"/>
        <v>114.93385269696226</v>
      </c>
      <c r="R45" s="97">
        <f t="shared" ref="R45" si="85">L45/O45</f>
        <v>0.30091346552038301</v>
      </c>
      <c r="S45" s="97">
        <f t="shared" ref="S45" si="86">L45/K45</f>
        <v>1.4661117653426373E-2</v>
      </c>
      <c r="T45" s="97">
        <f t="shared" ref="T45" si="87">P45/O45</f>
        <v>0.90693642432374233</v>
      </c>
      <c r="U45" s="97">
        <f t="shared" ref="U45" si="88">Q45/O45</f>
        <v>0.84718224585466051</v>
      </c>
    </row>
    <row r="46" spans="1:21" ht="16">
      <c r="A46" s="59">
        <v>42094</v>
      </c>
      <c r="B46" s="91">
        <v>2834.41</v>
      </c>
      <c r="C46">
        <v>24914151.899999999</v>
      </c>
      <c r="D46">
        <f>412142.3+2651.2</f>
        <v>414793.5</v>
      </c>
      <c r="E46">
        <v>819315.9</v>
      </c>
      <c r="F46">
        <v>78375.600000000006</v>
      </c>
      <c r="G46">
        <v>1191895.1000000001</v>
      </c>
      <c r="H46" s="92">
        <f t="shared" ref="H46" si="89">D46+E46</f>
        <v>1234109.3999999999</v>
      </c>
      <c r="I46" s="93">
        <f t="shared" si="13"/>
        <v>1155733.7999999998</v>
      </c>
      <c r="J46" s="94">
        <f t="shared" ref="J46" si="90">B46/C46</f>
        <v>1.137670674633721E-4</v>
      </c>
      <c r="K46" s="95">
        <f t="shared" si="69"/>
        <v>2834.41</v>
      </c>
      <c r="L46" s="96">
        <f t="shared" si="69"/>
        <v>47.189840097868235</v>
      </c>
      <c r="M46" s="96">
        <f t="shared" si="69"/>
        <v>93.211167269113432</v>
      </c>
      <c r="N46" s="96">
        <f t="shared" si="69"/>
        <v>8.9165621726822675</v>
      </c>
      <c r="O46" s="96">
        <f t="shared" si="69"/>
        <v>135.59841025096264</v>
      </c>
      <c r="P46" s="96">
        <f t="shared" si="69"/>
        <v>140.40100736698164</v>
      </c>
      <c r="Q46" s="96">
        <f t="shared" si="69"/>
        <v>131.48444519429938</v>
      </c>
      <c r="R46" s="97">
        <f t="shared" ref="R46" si="91">L46/O46</f>
        <v>0.34801175036293042</v>
      </c>
      <c r="S46" s="97">
        <f t="shared" ref="S46" si="92">L46/K46</f>
        <v>1.6648911095384307E-2</v>
      </c>
      <c r="T46" s="97">
        <f t="shared" ref="T46" si="93">P46/O46</f>
        <v>1.0354177980931374</v>
      </c>
      <c r="U46" s="97">
        <f t="shared" ref="U46" si="94">Q46/O46</f>
        <v>0.96966066896323322</v>
      </c>
    </row>
    <row r="47" spans="1:21" ht="16">
      <c r="A47" s="59">
        <v>42124</v>
      </c>
      <c r="I47" s="93">
        <f t="shared" si="13"/>
        <v>0</v>
      </c>
    </row>
    <row r="48" spans="1:21" ht="16">
      <c r="A48" s="59">
        <v>42155</v>
      </c>
      <c r="B48" s="91">
        <v>2752.06</v>
      </c>
      <c r="C48">
        <v>24281854.899999999</v>
      </c>
      <c r="D48">
        <v>422436.2</v>
      </c>
      <c r="E48">
        <v>829320.4</v>
      </c>
      <c r="F48">
        <v>79844.5</v>
      </c>
      <c r="G48">
        <v>1221982.3999999999</v>
      </c>
      <c r="H48" s="92">
        <f t="shared" ref="H48:H49" si="95">D48+E48</f>
        <v>1251756.6000000001</v>
      </c>
      <c r="I48" s="93">
        <f t="shared" si="13"/>
        <v>1171912.1000000001</v>
      </c>
      <c r="J48" s="94">
        <f t="shared" ref="J48:J49" si="96">B48/C48</f>
        <v>1.1333812887581336E-4</v>
      </c>
      <c r="K48" s="95">
        <f t="shared" ref="K48:K56" si="97">$J48*C48</f>
        <v>2752.06</v>
      </c>
      <c r="L48" s="96">
        <f t="shared" ref="L48:L56" si="98">$J48*D48</f>
        <v>47.878128477408872</v>
      </c>
      <c r="M48" s="96">
        <f t="shared" ref="M48:M56" si="99">$J48*E48</f>
        <v>93.99362237454109</v>
      </c>
      <c r="N48" s="96">
        <f t="shared" ref="N48:N56" si="100">$J48*F48</f>
        <v>9.0494262310248796</v>
      </c>
      <c r="O48" s="96">
        <f t="shared" ref="O48:O56" si="101">$J48*G48</f>
        <v>138.49719873517569</v>
      </c>
      <c r="P48" s="96">
        <f t="shared" ref="P48:P56" si="102">$J48*H48</f>
        <v>141.87175085194997</v>
      </c>
      <c r="Q48" s="96">
        <f t="shared" ref="Q48:Q56" si="103">$J48*I48</f>
        <v>132.82232462092509</v>
      </c>
      <c r="R48" s="97">
        <f t="shared" ref="R48" si="104">L48/O48</f>
        <v>0.34569745030697668</v>
      </c>
      <c r="S48" s="97">
        <f t="shared" ref="S48" si="105">L48/K48</f>
        <v>1.7397196455531082E-2</v>
      </c>
      <c r="T48" s="97">
        <f t="shared" ref="T48" si="106">P48/O48</f>
        <v>1.0243654900430648</v>
      </c>
      <c r="U48" s="97">
        <f t="shared" ref="U48" si="107">Q48/O48</f>
        <v>0.9590253509379516</v>
      </c>
    </row>
    <row r="49" spans="1:21" ht="16">
      <c r="A49" s="59">
        <v>42185</v>
      </c>
      <c r="B49" s="91">
        <v>2941.76</v>
      </c>
      <c r="C49">
        <v>26311128</v>
      </c>
      <c r="D49" s="164">
        <f>429928.4+1955.2</f>
        <v>431883.60000000003</v>
      </c>
      <c r="E49">
        <v>828654.1</v>
      </c>
      <c r="F49">
        <v>80096</v>
      </c>
      <c r="G49">
        <v>1211798.3999999999</v>
      </c>
      <c r="H49" s="92">
        <f t="shared" si="95"/>
        <v>1260537.7</v>
      </c>
      <c r="I49" s="93">
        <f t="shared" si="13"/>
        <v>1180441.7</v>
      </c>
      <c r="J49" s="94">
        <f t="shared" si="96"/>
        <v>1.1180668498895222E-4</v>
      </c>
      <c r="K49" s="95">
        <f t="shared" si="97"/>
        <v>2941.76</v>
      </c>
      <c r="L49" s="96">
        <f t="shared" si="98"/>
        <v>48.287473617094648</v>
      </c>
      <c r="M49" s="96">
        <f t="shared" si="99"/>
        <v>92.649067923503708</v>
      </c>
      <c r="N49" s="96">
        <f t="shared" si="100"/>
        <v>8.9552682408751174</v>
      </c>
      <c r="O49" s="96">
        <f t="shared" si="101"/>
        <v>135.4871619789163</v>
      </c>
      <c r="P49" s="96">
        <f t="shared" si="102"/>
        <v>140.93654154059834</v>
      </c>
      <c r="Q49" s="96">
        <f t="shared" si="103"/>
        <v>131.98127329972323</v>
      </c>
      <c r="R49" s="97">
        <f t="shared" ref="R49" si="108">L49/O49</f>
        <v>0.35639888615135989</v>
      </c>
      <c r="S49" s="97">
        <f t="shared" ref="S49" si="109">L49/K49</f>
        <v>1.641448439610799E-2</v>
      </c>
      <c r="T49" s="97">
        <f t="shared" ref="T49" si="110">P49/O49</f>
        <v>1.0402206340592626</v>
      </c>
      <c r="U49" s="97">
        <f t="shared" ref="U49" si="111">Q49/O49</f>
        <v>0.97412383115871415</v>
      </c>
    </row>
    <row r="50" spans="1:21" ht="16">
      <c r="A50" s="59">
        <v>42216</v>
      </c>
      <c r="B50" s="91">
        <v>2980.38</v>
      </c>
      <c r="C50">
        <v>26085025.199999999</v>
      </c>
      <c r="D50">
        <v>350895.2</v>
      </c>
      <c r="E50">
        <v>638435.30000000005</v>
      </c>
      <c r="F50">
        <v>68549.899999999994</v>
      </c>
      <c r="G50">
        <v>102959.8</v>
      </c>
      <c r="H50" s="92">
        <f t="shared" ref="H50:H51" si="112">D50+E50</f>
        <v>989330.5</v>
      </c>
      <c r="I50" s="93">
        <f t="shared" si="13"/>
        <v>920780.6</v>
      </c>
      <c r="J50" s="94">
        <f t="shared" ref="J50" si="113">B50/C50</f>
        <v>1.1425635885527149E-4</v>
      </c>
      <c r="K50" s="95">
        <f t="shared" si="97"/>
        <v>2980.38</v>
      </c>
      <c r="L50" s="96">
        <f t="shared" si="98"/>
        <v>40.092007891792264</v>
      </c>
      <c r="M50" s="96">
        <f t="shared" si="99"/>
        <v>72.945292742672919</v>
      </c>
      <c r="N50" s="96">
        <f t="shared" si="100"/>
        <v>7.8322619738929742</v>
      </c>
      <c r="O50" s="96">
        <f t="shared" si="101"/>
        <v>11.763811856466981</v>
      </c>
      <c r="P50" s="96">
        <f t="shared" si="102"/>
        <v>113.03730063446517</v>
      </c>
      <c r="Q50" s="96">
        <f t="shared" si="103"/>
        <v>105.2050386605722</v>
      </c>
      <c r="R50" s="97">
        <f t="shared" ref="R50" si="114">L50/O50</f>
        <v>3.4080796582743949</v>
      </c>
      <c r="S50" s="97">
        <f t="shared" ref="S50" si="115">L50/K50</f>
        <v>1.3451978570448152E-2</v>
      </c>
      <c r="T50" s="97">
        <f t="shared" ref="T50" si="116">P50/O50</f>
        <v>9.6089007554404731</v>
      </c>
      <c r="U50" s="97">
        <f t="shared" ref="U50" si="117">Q50/O50</f>
        <v>8.9431078925949752</v>
      </c>
    </row>
    <row r="51" spans="1:21" ht="16">
      <c r="A51" s="59">
        <v>42247</v>
      </c>
      <c r="B51" s="91">
        <v>2926.46</v>
      </c>
      <c r="C51">
        <v>25817079.5</v>
      </c>
      <c r="D51">
        <f>437971.9+2920.1</f>
        <v>440892</v>
      </c>
      <c r="E51">
        <v>808533.1</v>
      </c>
      <c r="F51">
        <v>81243</v>
      </c>
      <c r="G51">
        <v>1227017.5</v>
      </c>
      <c r="H51" s="92">
        <f t="shared" si="112"/>
        <v>1249425.1000000001</v>
      </c>
      <c r="I51" s="93">
        <f t="shared" si="13"/>
        <v>1168182.1000000001</v>
      </c>
      <c r="J51" s="94">
        <f t="shared" ref="J51" si="118">B51/C51</f>
        <v>1.1335364249856379E-4</v>
      </c>
      <c r="K51" s="95">
        <f t="shared" si="97"/>
        <v>2926.46</v>
      </c>
      <c r="L51" s="96">
        <f t="shared" si="98"/>
        <v>49.976714148476788</v>
      </c>
      <c r="M51" s="96">
        <f t="shared" si="99"/>
        <v>91.650171965655517</v>
      </c>
      <c r="N51" s="96">
        <f t="shared" si="100"/>
        <v>9.2091899775108175</v>
      </c>
      <c r="O51" s="96">
        <f t="shared" si="101"/>
        <v>139.08690303448148</v>
      </c>
      <c r="P51" s="96">
        <f t="shared" si="102"/>
        <v>141.62688611413233</v>
      </c>
      <c r="Q51" s="96">
        <f t="shared" si="103"/>
        <v>132.41769613662152</v>
      </c>
      <c r="R51" s="97">
        <f t="shared" ref="R51" si="119">L51/O51</f>
        <v>0.35932005859737132</v>
      </c>
      <c r="S51" s="97">
        <f t="shared" ref="S51" si="120">L51/K51</f>
        <v>1.7077531949343843E-2</v>
      </c>
      <c r="T51" s="97">
        <f t="shared" ref="T51" si="121">P51/O51</f>
        <v>1.0182618422312644</v>
      </c>
      <c r="U51" s="97">
        <f t="shared" ref="U51" si="122">Q51/O51</f>
        <v>0.95205007263547614</v>
      </c>
    </row>
    <row r="52" spans="1:21" ht="16">
      <c r="A52" s="59">
        <v>42277</v>
      </c>
      <c r="B52" s="91">
        <v>2976.74</v>
      </c>
      <c r="C52">
        <v>26164553</v>
      </c>
      <c r="D52">
        <f>437937.4+2920.1</f>
        <v>440857.5</v>
      </c>
      <c r="E52">
        <v>789135.3</v>
      </c>
      <c r="F52">
        <v>80565</v>
      </c>
      <c r="G52" s="62">
        <v>1223023.3999999999</v>
      </c>
      <c r="H52" s="92">
        <f t="shared" ref="H52:H53" si="123">D52+E52</f>
        <v>1229992.8</v>
      </c>
      <c r="I52" s="93">
        <f t="shared" si="13"/>
        <v>1149427.8</v>
      </c>
      <c r="J52" s="94">
        <f t="shared" ref="J52" si="124">B52/C52</f>
        <v>1.1376995433478263E-4</v>
      </c>
      <c r="K52" s="95">
        <f t="shared" si="97"/>
        <v>2976.74</v>
      </c>
      <c r="L52" s="96">
        <f t="shared" si="98"/>
        <v>50.156337643146429</v>
      </c>
      <c r="M52" s="96">
        <f t="shared" si="99"/>
        <v>89.779887044964994</v>
      </c>
      <c r="N52" s="96">
        <f t="shared" si="100"/>
        <v>9.1658763709817617</v>
      </c>
      <c r="O52" s="96">
        <f t="shared" si="101"/>
        <v>139.14331636837056</v>
      </c>
      <c r="P52" s="96">
        <f t="shared" si="102"/>
        <v>139.93622468811142</v>
      </c>
      <c r="Q52" s="96">
        <f t="shared" si="103"/>
        <v>130.77034831712967</v>
      </c>
      <c r="R52" s="97">
        <f t="shared" ref="R52" si="125">L52/O52</f>
        <v>0.36046530262626214</v>
      </c>
      <c r="S52" s="97">
        <f t="shared" ref="S52" si="126">L52/K52</f>
        <v>1.6849418371489091E-2</v>
      </c>
      <c r="T52" s="97">
        <f t="shared" ref="T52" si="127">P52/O52</f>
        <v>1.005698500944463</v>
      </c>
      <c r="U52" s="97">
        <f t="shared" ref="U52" si="128">Q52/O52</f>
        <v>0.93982486353082073</v>
      </c>
    </row>
    <row r="53" spans="1:21" ht="16">
      <c r="A53" s="59">
        <v>42308</v>
      </c>
      <c r="B53" s="91">
        <v>3037.56</v>
      </c>
      <c r="C53">
        <v>26871904</v>
      </c>
      <c r="D53">
        <f>367500.6+93</f>
        <v>367593.6</v>
      </c>
      <c r="E53">
        <v>637899</v>
      </c>
      <c r="F53">
        <v>69830</v>
      </c>
      <c r="G53">
        <v>1206678.3</v>
      </c>
      <c r="H53" s="92">
        <f t="shared" si="123"/>
        <v>1005492.6</v>
      </c>
      <c r="I53" s="93">
        <f t="shared" si="13"/>
        <v>935662.6</v>
      </c>
      <c r="J53" s="94">
        <f t="shared" ref="J53" si="129">B53/C53</f>
        <v>1.1303851040849208E-4</v>
      </c>
      <c r="K53" s="95">
        <f t="shared" si="97"/>
        <v>3037.56</v>
      </c>
      <c r="L53" s="96">
        <f t="shared" si="98"/>
        <v>41.55223297969507</v>
      </c>
      <c r="M53" s="96">
        <f t="shared" si="99"/>
        <v>72.107152751066693</v>
      </c>
      <c r="N53" s="96">
        <f t="shared" si="100"/>
        <v>7.8934791818250023</v>
      </c>
      <c r="O53" s="96">
        <f t="shared" si="101"/>
        <v>136.40111757425154</v>
      </c>
      <c r="P53" s="96">
        <f t="shared" si="102"/>
        <v>113.65938573076176</v>
      </c>
      <c r="Q53" s="96">
        <f t="shared" si="103"/>
        <v>105.76590654893675</v>
      </c>
      <c r="R53" s="97">
        <f t="shared" ref="R53" si="130">L53/O53</f>
        <v>0.30463264318252836</v>
      </c>
      <c r="S53" s="97">
        <f t="shared" ref="S53" si="131">L53/K53</f>
        <v>1.3679477271130469E-2</v>
      </c>
      <c r="T53" s="97">
        <f t="shared" ref="T53" si="132">P53/O53</f>
        <v>0.83327312673145759</v>
      </c>
      <c r="U53" s="97">
        <f t="shared" ref="U53" si="133">Q53/O53</f>
        <v>0.77540351889977621</v>
      </c>
    </row>
    <row r="54" spans="1:21" ht="16">
      <c r="A54" s="59">
        <v>42338</v>
      </c>
      <c r="B54" s="91">
        <v>3140.98</v>
      </c>
      <c r="C54">
        <v>27667745.600000001</v>
      </c>
      <c r="D54">
        <f>452996+2201.7</f>
        <v>455197.7</v>
      </c>
      <c r="E54">
        <v>776898.4</v>
      </c>
      <c r="F54">
        <v>89052.9</v>
      </c>
      <c r="G54">
        <v>1198405.8999999999</v>
      </c>
      <c r="H54" s="92">
        <f t="shared" ref="H54:H55" si="134">D54+E54</f>
        <v>1232096.1000000001</v>
      </c>
      <c r="I54" s="93">
        <f t="shared" si="13"/>
        <v>1143043.2000000002</v>
      </c>
      <c r="J54" s="94">
        <f t="shared" ref="J54" si="135">B54/C54</f>
        <v>1.1352497039007037E-4</v>
      </c>
      <c r="K54" s="95">
        <f t="shared" si="97"/>
        <v>3140.98</v>
      </c>
      <c r="L54" s="96">
        <f t="shared" si="98"/>
        <v>51.676305414128137</v>
      </c>
      <c r="M54" s="96">
        <f t="shared" si="99"/>
        <v>88.197367856093052</v>
      </c>
      <c r="N54" s="96">
        <f t="shared" si="100"/>
        <v>10.109727835649897</v>
      </c>
      <c r="O54" s="96">
        <f t="shared" si="101"/>
        <v>136.04899431278562</v>
      </c>
      <c r="P54" s="96">
        <f t="shared" si="102"/>
        <v>139.87367327022119</v>
      </c>
      <c r="Q54" s="96">
        <f t="shared" si="103"/>
        <v>129.7639454345713</v>
      </c>
      <c r="R54" s="97">
        <f t="shared" ref="R54" si="136">L54/O54</f>
        <v>0.37983599713586191</v>
      </c>
      <c r="S54" s="97">
        <f t="shared" ref="S54" si="137">L54/K54</f>
        <v>1.6452287316101388E-2</v>
      </c>
      <c r="T54" s="97">
        <f t="shared" ref="T54" si="138">P54/O54</f>
        <v>1.0281125117958783</v>
      </c>
      <c r="U54" s="97">
        <f t="shared" ref="U54" si="139">Q54/O54</f>
        <v>0.95380304786550218</v>
      </c>
    </row>
    <row r="55" spans="1:21" ht="16">
      <c r="A55" s="59">
        <v>42369</v>
      </c>
      <c r="B55" s="91">
        <v>3230.78</v>
      </c>
      <c r="C55">
        <v>28498065</v>
      </c>
      <c r="D55">
        <f>450252.4+2409.4</f>
        <v>452661.80000000005</v>
      </c>
      <c r="E55">
        <v>760490.9</v>
      </c>
      <c r="F55">
        <v>87369</v>
      </c>
      <c r="G55">
        <v>1188548.6000000001</v>
      </c>
      <c r="H55" s="92">
        <f t="shared" si="134"/>
        <v>1213152.7000000002</v>
      </c>
      <c r="I55" s="93">
        <f t="shared" si="13"/>
        <v>1125783.7000000002</v>
      </c>
      <c r="J55" s="94">
        <f t="shared" ref="J55" si="140">B55/C55</f>
        <v>1.133683988719936E-4</v>
      </c>
      <c r="K55" s="95">
        <f t="shared" si="97"/>
        <v>3230.78</v>
      </c>
      <c r="L55" s="96">
        <f t="shared" si="98"/>
        <v>51.317543496514595</v>
      </c>
      <c r="M55" s="96">
        <f t="shared" si="99"/>
        <v>86.215635689721395</v>
      </c>
      <c r="N55" s="96">
        <f t="shared" si="100"/>
        <v>9.9048836410472081</v>
      </c>
      <c r="O55" s="96">
        <f t="shared" si="101"/>
        <v>134.74385176354957</v>
      </c>
      <c r="P55" s="96">
        <f t="shared" si="102"/>
        <v>137.533179186236</v>
      </c>
      <c r="Q55" s="96">
        <f t="shared" si="103"/>
        <v>127.62829554518881</v>
      </c>
      <c r="R55" s="97">
        <f t="shared" ref="R55" si="141">L55/O55</f>
        <v>0.3808525793560314</v>
      </c>
      <c r="S55" s="97">
        <f t="shared" ref="S55" si="142">L55/K55</f>
        <v>1.5883948611949621E-2</v>
      </c>
      <c r="T55" s="97">
        <f t="shared" ref="T55" si="143">P55/O55</f>
        <v>1.0207009625016596</v>
      </c>
      <c r="U55" s="97">
        <f t="shared" ref="U55" si="144">Q55/O55</f>
        <v>0.94719197851901071</v>
      </c>
    </row>
    <row r="56" spans="1:21" ht="16">
      <c r="A56" s="59">
        <v>42400</v>
      </c>
      <c r="B56" s="91">
        <v>3225.52</v>
      </c>
      <c r="C56">
        <v>28410712.399999999</v>
      </c>
      <c r="D56">
        <f>368259.8+1587.2</f>
        <v>369847</v>
      </c>
      <c r="E56">
        <v>554933.4</v>
      </c>
      <c r="F56">
        <v>75787.100000000006</v>
      </c>
      <c r="G56">
        <v>1185743.6000000001</v>
      </c>
      <c r="H56" s="92">
        <f t="shared" ref="H56" si="145">D56+E56</f>
        <v>924780.4</v>
      </c>
      <c r="I56" s="93">
        <f t="shared" ref="I56" si="146">D56+E56-F56</f>
        <v>848993.3</v>
      </c>
      <c r="J56" s="94">
        <f t="shared" ref="J56" si="147">B56/C56</f>
        <v>1.1353182400311793E-4</v>
      </c>
      <c r="K56" s="95">
        <f t="shared" si="97"/>
        <v>3225.52</v>
      </c>
      <c r="L56" s="96">
        <f t="shared" si="98"/>
        <v>41.989404512081158</v>
      </c>
      <c r="M56" s="96">
        <f t="shared" si="99"/>
        <v>63.002601102251845</v>
      </c>
      <c r="N56" s="96">
        <f t="shared" si="100"/>
        <v>8.6042476989066987</v>
      </c>
      <c r="O56" s="96">
        <f t="shared" si="101"/>
        <v>134.61963370802349</v>
      </c>
      <c r="P56" s="96">
        <f t="shared" si="102"/>
        <v>104.99200561433301</v>
      </c>
      <c r="Q56" s="96">
        <f t="shared" si="103"/>
        <v>96.387757915426306</v>
      </c>
      <c r="R56" s="97">
        <f t="shared" ref="R56" si="148">L56/O56</f>
        <v>0.31191144527366621</v>
      </c>
      <c r="S56" s="97">
        <f t="shared" ref="S56" si="149">L56/K56</f>
        <v>1.3017871385724212E-2</v>
      </c>
      <c r="T56" s="97">
        <f t="shared" ref="T56" si="150">P56/O56</f>
        <v>0.77991599532985034</v>
      </c>
      <c r="U56" s="97">
        <f t="shared" ref="U56" si="151">Q56/O56</f>
        <v>0.71600074417437287</v>
      </c>
    </row>
    <row r="57" spans="1:21">
      <c r="A57" s="59">
        <v>42429</v>
      </c>
    </row>
    <row r="58" spans="1:21" ht="16">
      <c r="A58" s="59">
        <v>42460</v>
      </c>
      <c r="B58" s="91">
        <v>2585.4899999999998</v>
      </c>
      <c r="C58">
        <v>22763423</v>
      </c>
      <c r="D58">
        <v>455033</v>
      </c>
      <c r="E58">
        <v>722677.2</v>
      </c>
      <c r="F58">
        <v>85632</v>
      </c>
      <c r="G58">
        <v>1269722.8999999999</v>
      </c>
      <c r="H58" s="92">
        <f t="shared" ref="H58" si="152">D58+E58</f>
        <v>1177710.2</v>
      </c>
      <c r="I58" s="93">
        <f t="shared" ref="I58" si="153">D58+E58-F58</f>
        <v>1092078.2</v>
      </c>
      <c r="J58" s="94">
        <f t="shared" ref="J58" si="154">B58/C58</f>
        <v>1.1358089686247977E-4</v>
      </c>
      <c r="K58" s="95">
        <f t="shared" ref="K58:K81" si="155">$J58*C58</f>
        <v>2585.4899999999998</v>
      </c>
      <c r="L58" s="96">
        <f t="shared" ref="L58:L81" si="156">$J58*D58</f>
        <v>51.683056242024755</v>
      </c>
      <c r="M58" s="96">
        <f t="shared" ref="M58:M81" si="157">$J58*E58</f>
        <v>82.082324518065661</v>
      </c>
      <c r="N58" s="96">
        <f t="shared" ref="N58:N81" si="158">$J58*F58</f>
        <v>9.726159360127868</v>
      </c>
      <c r="O58" s="96">
        <f t="shared" ref="O58:O81" si="159">$J58*G58</f>
        <v>144.2162657488287</v>
      </c>
      <c r="P58" s="96">
        <f t="shared" ref="P58:P81" si="160">$J58*H58</f>
        <v>133.76538076009041</v>
      </c>
      <c r="Q58" s="96">
        <f t="shared" ref="Q58:Q81" si="161">$J58*I58</f>
        <v>124.03922139996254</v>
      </c>
      <c r="R58" s="97">
        <f t="shared" ref="R58" si="162">L58/O58</f>
        <v>0.35837189358402533</v>
      </c>
      <c r="S58" s="97">
        <f t="shared" ref="S58" si="163">L58/K58</f>
        <v>1.9989656212951804E-2</v>
      </c>
      <c r="T58" s="97">
        <f t="shared" ref="T58" si="164">P58/O58</f>
        <v>0.92753324367072532</v>
      </c>
      <c r="U58" s="97">
        <f t="shared" ref="U58" si="165">Q58/O58</f>
        <v>0.86009175702824603</v>
      </c>
    </row>
    <row r="59" spans="1:21" ht="16">
      <c r="A59" s="59">
        <v>42490</v>
      </c>
      <c r="B59" s="91">
        <v>2912.43</v>
      </c>
      <c r="C59">
        <v>24896958.600000001</v>
      </c>
      <c r="D59">
        <v>343171.7</v>
      </c>
      <c r="E59">
        <v>470421.7</v>
      </c>
      <c r="F59">
        <v>76493</v>
      </c>
      <c r="G59">
        <v>1102832.8</v>
      </c>
      <c r="H59" s="92">
        <f t="shared" ref="H59" si="166">D59+E59</f>
        <v>813593.4</v>
      </c>
      <c r="I59" s="93">
        <f t="shared" ref="I59" si="167">D59+E59-F59</f>
        <v>737100.4</v>
      </c>
      <c r="J59" s="94">
        <f t="shared" ref="J59" si="168">B59/C59</f>
        <v>1.1697934863417412E-4</v>
      </c>
      <c r="K59" s="95">
        <f t="shared" si="155"/>
        <v>2912.43</v>
      </c>
      <c r="L59" s="96">
        <f t="shared" si="156"/>
        <v>40.144001935682212</v>
      </c>
      <c r="M59" s="96">
        <f t="shared" si="157"/>
        <v>55.029624049380871</v>
      </c>
      <c r="N59" s="96">
        <f t="shared" si="158"/>
        <v>8.9481013150738811</v>
      </c>
      <c r="O59" s="96">
        <f t="shared" si="159"/>
        <v>129.00866259640242</v>
      </c>
      <c r="P59" s="96">
        <f t="shared" si="160"/>
        <v>95.173625985063083</v>
      </c>
      <c r="Q59" s="96">
        <f t="shared" si="161"/>
        <v>86.225524669989198</v>
      </c>
      <c r="R59" s="97">
        <f t="shared" ref="R59" si="169">L59/O59</f>
        <v>0.31117291759911386</v>
      </c>
      <c r="S59" s="97">
        <f t="shared" ref="S59" si="170">L59/K59</f>
        <v>1.3783679585666338E-2</v>
      </c>
      <c r="T59" s="97">
        <f t="shared" ref="T59" si="171">P59/O59</f>
        <v>0.73773050638319793</v>
      </c>
      <c r="U59" s="97">
        <f t="shared" ref="U59" si="172">Q59/O59</f>
        <v>0.66837003759772107</v>
      </c>
    </row>
    <row r="60" spans="1:21" ht="16">
      <c r="A60" s="59">
        <v>42521</v>
      </c>
      <c r="B60">
        <v>3044.31</v>
      </c>
      <c r="C60">
        <v>26818635.5</v>
      </c>
      <c r="D60">
        <f>449762.1+12674.1</f>
        <v>462436.19999999995</v>
      </c>
      <c r="E60">
        <v>724601</v>
      </c>
      <c r="F60">
        <v>86011</v>
      </c>
      <c r="G60">
        <v>1060286.7</v>
      </c>
      <c r="H60" s="92">
        <f t="shared" ref="H60:H61" si="173">D60+E60</f>
        <v>1187037.2</v>
      </c>
      <c r="I60" s="93">
        <f t="shared" ref="I60:I61" si="174">D60+E60-F60</f>
        <v>1101026.2</v>
      </c>
      <c r="J60" s="94">
        <f t="shared" ref="J60" si="175">B60/C60</f>
        <v>1.1351472374498695E-4</v>
      </c>
      <c r="K60" s="95">
        <f t="shared" si="155"/>
        <v>3044.31</v>
      </c>
      <c r="L60" s="96">
        <f t="shared" si="156"/>
        <v>52.493317492681527</v>
      </c>
      <c r="M60" s="96">
        <f t="shared" si="157"/>
        <v>82.252882340341287</v>
      </c>
      <c r="N60" s="96">
        <f t="shared" si="158"/>
        <v>9.7635149040300728</v>
      </c>
      <c r="O60" s="96">
        <f t="shared" si="159"/>
        <v>120.35815184098385</v>
      </c>
      <c r="P60" s="96">
        <f t="shared" si="160"/>
        <v>134.74619983302281</v>
      </c>
      <c r="Q60" s="96">
        <f t="shared" si="161"/>
        <v>124.98268492899275</v>
      </c>
      <c r="R60" s="97">
        <f t="shared" ref="R60" si="176">L60/O60</f>
        <v>0.43614260180760539</v>
      </c>
      <c r="S60" s="97">
        <f t="shared" ref="S60" si="177">L60/K60</f>
        <v>1.724309202830248E-2</v>
      </c>
      <c r="T60" s="97">
        <f t="shared" ref="T60" si="178">P60/O60</f>
        <v>1.1195436102329681</v>
      </c>
      <c r="U60" s="97">
        <f t="shared" ref="U60" si="179">Q60/O60</f>
        <v>1.0384230982054194</v>
      </c>
    </row>
    <row r="61" spans="1:21" ht="16">
      <c r="A61" s="59">
        <v>42551</v>
      </c>
      <c r="B61" s="91">
        <v>3100.29</v>
      </c>
      <c r="C61">
        <v>26931713.699999999</v>
      </c>
      <c r="D61">
        <f>448522.1+12674</f>
        <v>461196.1</v>
      </c>
      <c r="E61">
        <v>719728</v>
      </c>
      <c r="F61">
        <v>85562</v>
      </c>
      <c r="G61">
        <v>1056638.8999999999</v>
      </c>
      <c r="H61" s="92">
        <f t="shared" si="173"/>
        <v>1180924.1000000001</v>
      </c>
      <c r="I61" s="93">
        <f t="shared" si="174"/>
        <v>1095362.1000000001</v>
      </c>
      <c r="J61" s="94">
        <f t="shared" ref="J61" si="180">B61/C61</f>
        <v>1.1511669975906509E-4</v>
      </c>
      <c r="K61" s="95">
        <f t="shared" si="155"/>
        <v>3100.29</v>
      </c>
      <c r="L61" s="96">
        <f t="shared" si="156"/>
        <v>53.09137297375176</v>
      </c>
      <c r="M61" s="96">
        <f t="shared" si="157"/>
        <v>82.852712084192405</v>
      </c>
      <c r="N61" s="96">
        <f t="shared" si="158"/>
        <v>9.8496150647851266</v>
      </c>
      <c r="O61" s="96">
        <f t="shared" si="159"/>
        <v>121.6367830050488</v>
      </c>
      <c r="P61" s="96">
        <f t="shared" si="160"/>
        <v>135.94408505794416</v>
      </c>
      <c r="Q61" s="96">
        <f t="shared" si="161"/>
        <v>126.09446999315904</v>
      </c>
      <c r="R61" s="97">
        <f t="shared" ref="R61" si="181">L61/O61</f>
        <v>0.43647465562738608</v>
      </c>
      <c r="S61" s="97">
        <f t="shared" ref="S61" si="182">L61/K61</f>
        <v>1.7124647363231105E-2</v>
      </c>
      <c r="T61" s="97">
        <f t="shared" ref="T61" si="183">P61/O61</f>
        <v>1.1176231539459698</v>
      </c>
      <c r="U61" s="97">
        <f t="shared" ref="U61" si="184">Q61/O61</f>
        <v>1.0366475245232785</v>
      </c>
    </row>
    <row r="62" spans="1:21" ht="16">
      <c r="A62" s="59">
        <v>42582</v>
      </c>
      <c r="B62" s="91">
        <v>3271.12</v>
      </c>
      <c r="C62">
        <v>28860493.699999999</v>
      </c>
      <c r="D62">
        <f>378873+1298</f>
        <v>380171</v>
      </c>
      <c r="E62">
        <v>543197</v>
      </c>
      <c r="F62">
        <v>85397</v>
      </c>
      <c r="G62">
        <v>940743</v>
      </c>
      <c r="H62" s="92">
        <f t="shared" ref="H62:H81" si="185">D62+E62</f>
        <v>923368</v>
      </c>
      <c r="I62" s="93">
        <f t="shared" ref="I62:I80" si="186">D62+E62-F62</f>
        <v>837971</v>
      </c>
      <c r="J62" s="94">
        <f t="shared" ref="J62" si="187">B62/C62</f>
        <v>1.133424824260716E-4</v>
      </c>
      <c r="K62" s="95">
        <f t="shared" si="155"/>
        <v>3271.12</v>
      </c>
      <c r="L62" s="96">
        <f t="shared" si="156"/>
        <v>43.089524886402067</v>
      </c>
      <c r="M62" s="96">
        <f t="shared" si="157"/>
        <v>61.567296426394812</v>
      </c>
      <c r="N62" s="96">
        <f t="shared" si="158"/>
        <v>9.6791079717392368</v>
      </c>
      <c r="O62" s="96">
        <f t="shared" si="159"/>
        <v>106.62614694494987</v>
      </c>
      <c r="P62" s="96">
        <f t="shared" si="160"/>
        <v>104.65682131279688</v>
      </c>
      <c r="Q62" s="96">
        <f t="shared" si="161"/>
        <v>94.977713341057637</v>
      </c>
      <c r="R62" s="97">
        <f t="shared" ref="R62" si="188">L62/O62</f>
        <v>0.40411780900841149</v>
      </c>
      <c r="S62" s="97">
        <f t="shared" ref="S62" si="189">L62/K62</f>
        <v>1.3172712980997967E-2</v>
      </c>
      <c r="T62" s="97">
        <f t="shared" ref="T62" si="190">P62/O62</f>
        <v>0.98153055616677465</v>
      </c>
      <c r="U62" s="97">
        <f t="shared" ref="U62" si="191">Q62/O62</f>
        <v>0.89075443558974132</v>
      </c>
    </row>
    <row r="63" spans="1:21" ht="16">
      <c r="A63" s="59">
        <v>42613</v>
      </c>
      <c r="B63" s="91">
        <v>3500.31</v>
      </c>
      <c r="C63">
        <v>30899290.800000001</v>
      </c>
      <c r="D63">
        <f>444783.4+21211.1</f>
        <v>465994.5</v>
      </c>
      <c r="E63">
        <v>650286</v>
      </c>
      <c r="F63">
        <v>115458</v>
      </c>
      <c r="G63">
        <v>907504</v>
      </c>
      <c r="H63" s="92">
        <f t="shared" si="185"/>
        <v>1116280.5</v>
      </c>
      <c r="I63" s="93">
        <f t="shared" si="186"/>
        <v>1000822.5</v>
      </c>
      <c r="J63" s="94">
        <f t="shared" ref="J63" si="192">B63/C63</f>
        <v>1.1328124074614683E-4</v>
      </c>
      <c r="K63" s="95">
        <f t="shared" si="155"/>
        <v>3500.31</v>
      </c>
      <c r="L63" s="96">
        <f t="shared" si="156"/>
        <v>52.788435140880317</v>
      </c>
      <c r="M63" s="96">
        <f t="shared" si="157"/>
        <v>73.665204919848833</v>
      </c>
      <c r="N63" s="96">
        <f t="shared" si="158"/>
        <v>13.07922549406862</v>
      </c>
      <c r="O63" s="96">
        <f t="shared" si="159"/>
        <v>102.80317910209124</v>
      </c>
      <c r="P63" s="96">
        <f t="shared" si="160"/>
        <v>126.45364006072916</v>
      </c>
      <c r="Q63" s="96">
        <f t="shared" si="161"/>
        <v>113.37441456666053</v>
      </c>
      <c r="R63" s="97">
        <f t="shared" ref="R63" si="193">L63/O63</f>
        <v>0.51349029866535023</v>
      </c>
      <c r="S63" s="97">
        <f t="shared" ref="S63" si="194">L63/K63</f>
        <v>1.5081074287957442E-2</v>
      </c>
      <c r="T63" s="97">
        <f t="shared" ref="T63" si="195">P63/O63</f>
        <v>1.2300557352915249</v>
      </c>
      <c r="U63" s="97">
        <f t="shared" ref="U63" si="196">Q63/O63</f>
        <v>1.102829849785786</v>
      </c>
    </row>
    <row r="64" spans="1:21" ht="16">
      <c r="A64" s="59">
        <v>42643</v>
      </c>
      <c r="B64" s="91">
        <v>3363</v>
      </c>
      <c r="C64">
        <v>29732899.800000001</v>
      </c>
      <c r="D64">
        <f>442880.3+12211.1</f>
        <v>455091.39999999997</v>
      </c>
      <c r="E64">
        <v>643534</v>
      </c>
      <c r="F64">
        <v>116013</v>
      </c>
      <c r="G64">
        <v>913938.5</v>
      </c>
      <c r="H64" s="92">
        <f t="shared" si="185"/>
        <v>1098625.3999999999</v>
      </c>
      <c r="I64" s="93">
        <f t="shared" si="186"/>
        <v>982612.39999999991</v>
      </c>
      <c r="J64" s="94">
        <f t="shared" ref="J64" si="197">B64/C64</f>
        <v>1.1310703034757477E-4</v>
      </c>
      <c r="K64" s="95">
        <f t="shared" si="155"/>
        <v>3363</v>
      </c>
      <c r="L64" s="96">
        <f t="shared" si="156"/>
        <v>51.474036790720284</v>
      </c>
      <c r="M64" s="96">
        <f t="shared" si="157"/>
        <v>72.788219667696183</v>
      </c>
      <c r="N64" s="96">
        <f t="shared" si="158"/>
        <v>13.121885911713191</v>
      </c>
      <c r="O64" s="96">
        <f t="shared" si="159"/>
        <v>103.37286965531696</v>
      </c>
      <c r="P64" s="96">
        <f t="shared" si="160"/>
        <v>124.26225645841646</v>
      </c>
      <c r="Q64" s="96">
        <f t="shared" si="161"/>
        <v>111.14037054670327</v>
      </c>
      <c r="R64" s="97">
        <f t="shared" ref="R64" si="198">L64/O64</f>
        <v>0.49794532126614643</v>
      </c>
      <c r="S64" s="97">
        <f t="shared" ref="S64" si="199">L64/K64</f>
        <v>1.5305987746274244E-2</v>
      </c>
      <c r="T64" s="97">
        <f t="shared" ref="T64" si="200">P64/O64</f>
        <v>1.2020780391678432</v>
      </c>
      <c r="U64" s="97">
        <f t="shared" ref="U64" si="201">Q64/O64</f>
        <v>1.0751406139472184</v>
      </c>
    </row>
    <row r="65" spans="1:21" ht="16">
      <c r="A65" s="59">
        <v>42674</v>
      </c>
      <c r="B65" s="91">
        <v>3269.96</v>
      </c>
      <c r="C65">
        <v>29265076.699999999</v>
      </c>
      <c r="D65">
        <f>336875.8+12340</f>
        <v>349215.8</v>
      </c>
      <c r="E65">
        <v>490498</v>
      </c>
      <c r="F65">
        <v>105209</v>
      </c>
      <c r="G65">
        <v>900461.1</v>
      </c>
      <c r="H65" s="92">
        <f t="shared" si="185"/>
        <v>839713.8</v>
      </c>
      <c r="I65" s="93">
        <f t="shared" si="186"/>
        <v>734504.8</v>
      </c>
      <c r="J65" s="94">
        <f t="shared" ref="J65:J66" si="202">B65/C65</f>
        <v>1.1173591081003387E-4</v>
      </c>
      <c r="K65" s="95">
        <f t="shared" si="155"/>
        <v>3269.96</v>
      </c>
      <c r="L65" s="96">
        <f t="shared" si="156"/>
        <v>39.01994548225462</v>
      </c>
      <c r="M65" s="96">
        <f t="shared" si="157"/>
        <v>54.806240780499991</v>
      </c>
      <c r="N65" s="96">
        <f t="shared" si="158"/>
        <v>11.755623440412853</v>
      </c>
      <c r="O65" s="96">
        <f t="shared" si="159"/>
        <v>100.61384115750498</v>
      </c>
      <c r="P65" s="96">
        <f t="shared" si="160"/>
        <v>93.826186262754618</v>
      </c>
      <c r="Q65" s="96">
        <f t="shared" si="161"/>
        <v>82.07056282234177</v>
      </c>
      <c r="R65" s="97">
        <f t="shared" ref="R65" si="203">L65/O65</f>
        <v>0.38781886302473251</v>
      </c>
      <c r="S65" s="97">
        <f t="shared" ref="S65" si="204">L65/K65</f>
        <v>1.1932851008041267E-2</v>
      </c>
      <c r="T65" s="97">
        <f t="shared" ref="T65:T66" si="205">P65/O65</f>
        <v>0.93253756325509241</v>
      </c>
      <c r="U65" s="97">
        <f t="shared" ref="U65:U66" si="206">Q65/O65</f>
        <v>0.81569853489506672</v>
      </c>
    </row>
    <row r="66" spans="1:21" ht="16">
      <c r="A66" s="59">
        <v>42704</v>
      </c>
      <c r="B66" s="91">
        <v>3261.63</v>
      </c>
      <c r="C66">
        <v>32013089.699999999</v>
      </c>
      <c r="D66">
        <f>437003+10279</f>
        <v>447282</v>
      </c>
      <c r="E66">
        <v>576066</v>
      </c>
      <c r="F66">
        <v>105946</v>
      </c>
      <c r="G66">
        <v>915128</v>
      </c>
      <c r="H66" s="92">
        <f t="shared" si="185"/>
        <v>1023348</v>
      </c>
      <c r="I66" s="93">
        <f t="shared" si="186"/>
        <v>917402</v>
      </c>
      <c r="J66" s="94">
        <f t="shared" si="202"/>
        <v>1.0188426142447601E-4</v>
      </c>
      <c r="K66" s="95">
        <f t="shared" si="155"/>
        <v>3261.63</v>
      </c>
      <c r="L66" s="96">
        <f t="shared" si="156"/>
        <v>45.570996218462476</v>
      </c>
      <c r="M66" s="96">
        <f t="shared" si="157"/>
        <v>58.692058941752194</v>
      </c>
      <c r="N66" s="96">
        <f t="shared" si="158"/>
        <v>10.794229960877535</v>
      </c>
      <c r="O66" s="96">
        <f t="shared" si="159"/>
        <v>93.237140388857881</v>
      </c>
      <c r="P66" s="96">
        <f t="shared" si="160"/>
        <v>104.26305516021468</v>
      </c>
      <c r="Q66" s="96">
        <f t="shared" si="161"/>
        <v>93.468825199337147</v>
      </c>
      <c r="R66" s="97">
        <f t="shared" ref="R66" si="207">L66/O66</f>
        <v>0.48876441328426184</v>
      </c>
      <c r="S66" s="97">
        <f t="shared" ref="S66" si="208">L66/K66</f>
        <v>1.3971847272211279E-2</v>
      </c>
      <c r="T66" s="97">
        <f t="shared" si="205"/>
        <v>1.1182566810325987</v>
      </c>
      <c r="U66" s="97">
        <f t="shared" si="206"/>
        <v>1.0024848982874528</v>
      </c>
    </row>
    <row r="67" spans="1:21" ht="16">
      <c r="A67" s="59">
        <v>42735</v>
      </c>
      <c r="B67" s="91">
        <v>3756.07</v>
      </c>
      <c r="C67">
        <v>33887438.399999999</v>
      </c>
      <c r="D67">
        <f>436432+10346</f>
        <v>446778</v>
      </c>
      <c r="E67">
        <v>568974</v>
      </c>
      <c r="F67">
        <v>112818</v>
      </c>
      <c r="G67">
        <v>919808.1</v>
      </c>
      <c r="H67" s="92">
        <f t="shared" si="185"/>
        <v>1015752</v>
      </c>
      <c r="I67" s="93">
        <f t="shared" si="186"/>
        <v>902934</v>
      </c>
      <c r="J67" s="94">
        <f t="shared" ref="J67" si="209">B67/C67</f>
        <v>1.1083959653911169E-4</v>
      </c>
      <c r="K67" s="95">
        <f t="shared" si="155"/>
        <v>3756.07</v>
      </c>
      <c r="L67" s="96">
        <f t="shared" si="156"/>
        <v>49.520693262551241</v>
      </c>
      <c r="M67" s="96">
        <f t="shared" si="157"/>
        <v>63.064848601244535</v>
      </c>
      <c r="N67" s="96">
        <f t="shared" si="158"/>
        <v>12.504701602349503</v>
      </c>
      <c r="O67" s="96">
        <f t="shared" si="159"/>
        <v>101.9511586974069</v>
      </c>
      <c r="P67" s="96">
        <f t="shared" si="160"/>
        <v>112.58554186379577</v>
      </c>
      <c r="Q67" s="96">
        <f t="shared" si="161"/>
        <v>100.08084026144627</v>
      </c>
      <c r="R67" s="97">
        <f t="shared" ref="R67" si="210">L67/O67</f>
        <v>0.48572957772387521</v>
      </c>
      <c r="S67" s="97">
        <f t="shared" ref="S67" si="211">L67/K67</f>
        <v>1.3184177414838179E-2</v>
      </c>
      <c r="T67" s="97">
        <f t="shared" ref="T67" si="212">P67/O67</f>
        <v>1.104308605240593</v>
      </c>
      <c r="U67" s="97">
        <f t="shared" ref="U67" si="213">Q67/O67</f>
        <v>0.98165476037882249</v>
      </c>
    </row>
    <row r="68" spans="1:21" ht="16">
      <c r="A68" s="59">
        <v>42766</v>
      </c>
      <c r="B68" s="91">
        <v>3714.24</v>
      </c>
      <c r="C68">
        <v>33505930.699999999</v>
      </c>
      <c r="D68">
        <f>376993.2+9611</f>
        <v>386604.2</v>
      </c>
      <c r="E68">
        <v>477410</v>
      </c>
      <c r="F68">
        <v>112389.1</v>
      </c>
      <c r="G68">
        <v>900092.2</v>
      </c>
      <c r="H68" s="92">
        <f t="shared" si="185"/>
        <v>864014.2</v>
      </c>
      <c r="I68" s="93">
        <f t="shared" si="186"/>
        <v>751625.1</v>
      </c>
      <c r="J68" s="94">
        <f t="shared" ref="J68" si="214">B68/C68</f>
        <v>1.1085321083171702E-4</v>
      </c>
      <c r="K68" s="95">
        <f t="shared" si="155"/>
        <v>3714.24</v>
      </c>
      <c r="L68" s="96">
        <f t="shared" si="156"/>
        <v>42.856316891027298</v>
      </c>
      <c r="M68" s="96">
        <f t="shared" si="157"/>
        <v>52.922431383170021</v>
      </c>
      <c r="N68" s="96">
        <f t="shared" si="158"/>
        <v>12.458692597486928</v>
      </c>
      <c r="O68" s="96">
        <f t="shared" si="159"/>
        <v>99.778110414584006</v>
      </c>
      <c r="P68" s="96">
        <f t="shared" si="160"/>
        <v>95.778748274197312</v>
      </c>
      <c r="Q68" s="96">
        <f t="shared" si="161"/>
        <v>83.320055676710396</v>
      </c>
      <c r="R68" s="97">
        <f t="shared" ref="R68" si="215">L68/O68</f>
        <v>0.42951622067161566</v>
      </c>
      <c r="S68" s="97">
        <f t="shared" ref="S68" si="216">L68/K68</f>
        <v>1.1538381173814104E-2</v>
      </c>
      <c r="T68" s="97">
        <f t="shared" ref="T68" si="217">P68/O68</f>
        <v>0.95991743956896858</v>
      </c>
      <c r="U68" s="97">
        <f t="shared" ref="U68" si="218">Q68/O68</f>
        <v>0.83505345341288373</v>
      </c>
    </row>
    <row r="69" spans="1:21" ht="16">
      <c r="A69" s="59">
        <v>42794</v>
      </c>
      <c r="B69" s="91">
        <v>3811.15</v>
      </c>
      <c r="C69">
        <v>34505935.700000003</v>
      </c>
      <c r="D69">
        <f>397071+10095</f>
        <v>407166</v>
      </c>
      <c r="E69">
        <v>487020</v>
      </c>
      <c r="F69">
        <v>112658</v>
      </c>
      <c r="G69">
        <v>886858.1</v>
      </c>
      <c r="H69" s="92">
        <f t="shared" si="185"/>
        <v>894186</v>
      </c>
      <c r="I69" s="93">
        <f t="shared" si="186"/>
        <v>781528</v>
      </c>
      <c r="J69" s="94">
        <f t="shared" ref="J69" si="219">B69/C69</f>
        <v>1.1044911325212954E-4</v>
      </c>
      <c r="K69" s="95">
        <f t="shared" si="155"/>
        <v>3811.15</v>
      </c>
      <c r="L69" s="96">
        <f t="shared" si="156"/>
        <v>44.971123646416579</v>
      </c>
      <c r="M69" s="96">
        <f t="shared" si="157"/>
        <v>53.790927136052133</v>
      </c>
      <c r="N69" s="96">
        <f t="shared" si="158"/>
        <v>12.442976200758411</v>
      </c>
      <c r="O69" s="96">
        <f t="shared" si="159"/>
        <v>97.952690725468429</v>
      </c>
      <c r="P69" s="96">
        <f t="shared" si="160"/>
        <v>98.762050782468705</v>
      </c>
      <c r="Q69" s="96">
        <f t="shared" si="161"/>
        <v>86.319074581710296</v>
      </c>
      <c r="R69" s="97">
        <f t="shared" ref="R69" si="220">L69/O69</f>
        <v>0.45911065141086271</v>
      </c>
      <c r="S69" s="97">
        <f t="shared" ref="S69" si="221">L69/K69</f>
        <v>1.1799882882179022E-2</v>
      </c>
      <c r="T69" s="97">
        <f t="shared" ref="T69" si="222">P69/O69</f>
        <v>1.0082627649225957</v>
      </c>
      <c r="U69" s="97">
        <f t="shared" ref="U69" si="223">Q69/O69</f>
        <v>0.8812322963504533</v>
      </c>
    </row>
    <row r="70" spans="1:21" ht="16">
      <c r="A70" s="59">
        <v>42825</v>
      </c>
      <c r="B70" s="91">
        <v>3972.93</v>
      </c>
      <c r="C70">
        <v>35870877.5</v>
      </c>
      <c r="D70">
        <f>442430+14569</f>
        <v>456999</v>
      </c>
      <c r="E70">
        <v>519326</v>
      </c>
      <c r="F70">
        <v>125196</v>
      </c>
      <c r="G70">
        <v>892602.5</v>
      </c>
      <c r="H70" s="92">
        <f t="shared" si="185"/>
        <v>976325</v>
      </c>
      <c r="I70" s="93">
        <f t="shared" si="186"/>
        <v>851129</v>
      </c>
      <c r="J70" s="94">
        <f t="shared" ref="J70" si="224">B70/C70</f>
        <v>1.1075642072040194E-4</v>
      </c>
      <c r="K70" s="95">
        <f t="shared" si="155"/>
        <v>3972.93</v>
      </c>
      <c r="L70" s="96">
        <f t="shared" si="156"/>
        <v>50.615573512802968</v>
      </c>
      <c r="M70" s="96">
        <f t="shared" si="157"/>
        <v>57.518688947043458</v>
      </c>
      <c r="N70" s="96">
        <f t="shared" si="158"/>
        <v>13.866260848511441</v>
      </c>
      <c r="O70" s="96">
        <f t="shared" si="159"/>
        <v>98.861458026082573</v>
      </c>
      <c r="P70" s="96">
        <f t="shared" si="160"/>
        <v>108.13426245984643</v>
      </c>
      <c r="Q70" s="96">
        <f t="shared" si="161"/>
        <v>94.268001611334981</v>
      </c>
      <c r="R70" s="97">
        <f t="shared" ref="R70" si="225">L70/O70</f>
        <v>0.51198489809293612</v>
      </c>
      <c r="S70" s="97">
        <f t="shared" ref="S70" si="226">L70/K70</f>
        <v>1.2740112086747808E-2</v>
      </c>
      <c r="T70" s="97">
        <f t="shared" ref="T70" si="227">P70/O70</f>
        <v>1.0937959506051125</v>
      </c>
      <c r="U70" s="97">
        <f t="shared" ref="U70" si="228">Q70/O70</f>
        <v>0.95353642858943366</v>
      </c>
    </row>
    <row r="71" spans="1:21" ht="16">
      <c r="A71" s="59">
        <v>42855</v>
      </c>
      <c r="B71" s="91">
        <v>4181.17</v>
      </c>
      <c r="C71">
        <v>37813424.5</v>
      </c>
      <c r="D71">
        <f>375108+14569</f>
        <v>389677</v>
      </c>
      <c r="E71">
        <v>463448</v>
      </c>
      <c r="F71">
        <v>121640</v>
      </c>
      <c r="G71">
        <v>1052529.3999999999</v>
      </c>
      <c r="H71" s="92">
        <f t="shared" si="185"/>
        <v>853125</v>
      </c>
      <c r="I71" s="93">
        <f t="shared" si="186"/>
        <v>731485</v>
      </c>
      <c r="J71" s="94">
        <f t="shared" ref="J71" si="229">B71/C71</f>
        <v>1.1057369321310743E-4</v>
      </c>
      <c r="K71" s="95">
        <f t="shared" si="155"/>
        <v>4181.17</v>
      </c>
      <c r="L71" s="96">
        <f t="shared" si="156"/>
        <v>43.08802505020406</v>
      </c>
      <c r="M71" s="96">
        <f t="shared" si="157"/>
        <v>51.245156972228209</v>
      </c>
      <c r="N71" s="96">
        <f t="shared" si="158"/>
        <v>13.450184042442388</v>
      </c>
      <c r="O71" s="96">
        <f t="shared" si="159"/>
        <v>116.38206297337602</v>
      </c>
      <c r="P71" s="96">
        <f t="shared" si="160"/>
        <v>94.333182022432268</v>
      </c>
      <c r="Q71" s="96">
        <f t="shared" si="161"/>
        <v>80.882997979989881</v>
      </c>
      <c r="R71" s="97">
        <f t="shared" ref="R71" si="230">L71/O71</f>
        <v>0.37022908813758554</v>
      </c>
      <c r="S71" s="97">
        <f t="shared" ref="S71" si="231">L71/K71</f>
        <v>1.0305255478778442E-2</v>
      </c>
      <c r="T71" s="97">
        <f t="shared" ref="T71" si="232">P71/O71</f>
        <v>0.81054742983901451</v>
      </c>
      <c r="U71" s="97">
        <f t="shared" ref="U71" si="233">Q71/O71</f>
        <v>0.69497821153499373</v>
      </c>
    </row>
    <row r="72" spans="1:21" ht="16">
      <c r="A72" s="59">
        <v>42886</v>
      </c>
      <c r="B72" s="91">
        <v>4204.1099999999997</v>
      </c>
      <c r="C72">
        <v>37947786.100000001</v>
      </c>
      <c r="D72">
        <f>435790+60</f>
        <v>435850</v>
      </c>
      <c r="E72">
        <v>497818</v>
      </c>
      <c r="F72">
        <v>132373</v>
      </c>
      <c r="G72">
        <v>1174952.8</v>
      </c>
      <c r="H72" s="92">
        <f t="shared" si="185"/>
        <v>933668</v>
      </c>
      <c r="I72" s="93">
        <f t="shared" si="186"/>
        <v>801295</v>
      </c>
      <c r="J72" s="94">
        <f t="shared" ref="J72" si="234">B72/C72</f>
        <v>1.10786700149551E-4</v>
      </c>
      <c r="K72" s="95">
        <f t="shared" si="155"/>
        <v>4204.1099999999997</v>
      </c>
      <c r="L72" s="96">
        <f t="shared" si="156"/>
        <v>48.2863832601818</v>
      </c>
      <c r="M72" s="96">
        <f t="shared" si="157"/>
        <v>55.151613495049176</v>
      </c>
      <c r="N72" s="96">
        <f t="shared" si="158"/>
        <v>14.665167858896515</v>
      </c>
      <c r="O72" s="96">
        <f t="shared" si="159"/>
        <v>130.16914354347537</v>
      </c>
      <c r="P72" s="96">
        <f t="shared" si="160"/>
        <v>103.43799675523098</v>
      </c>
      <c r="Q72" s="96">
        <f t="shared" si="161"/>
        <v>88.772828896334474</v>
      </c>
      <c r="R72" s="97">
        <f t="shared" ref="R72" si="235">L72/O72</f>
        <v>0.37095107139622968</v>
      </c>
      <c r="S72" s="97">
        <f t="shared" ref="S72" si="236">L72/K72</f>
        <v>1.1485518518826055E-2</v>
      </c>
      <c r="T72" s="97">
        <f t="shared" ref="T72" si="237">P72/O72</f>
        <v>0.7946429848075599</v>
      </c>
      <c r="U72" s="97">
        <f t="shared" ref="U72" si="238">Q72/O72</f>
        <v>0.68198058679463547</v>
      </c>
    </row>
    <row r="73" spans="1:21" ht="16">
      <c r="A73" s="59">
        <v>42916</v>
      </c>
      <c r="B73" s="91">
        <v>4297.5</v>
      </c>
      <c r="C73">
        <v>38786496.899999999</v>
      </c>
      <c r="D73">
        <f>434013+4370</f>
        <v>438383</v>
      </c>
      <c r="E73">
        <v>504850</v>
      </c>
      <c r="F73">
        <v>130873</v>
      </c>
      <c r="G73">
        <v>1188224.7</v>
      </c>
      <c r="H73" s="92">
        <f t="shared" si="185"/>
        <v>943233</v>
      </c>
      <c r="I73" s="93">
        <f t="shared" si="186"/>
        <v>812360</v>
      </c>
      <c r="J73" s="94">
        <f t="shared" ref="J73" si="239">B73/C73</f>
        <v>1.1079886928380995E-4</v>
      </c>
      <c r="K73" s="95">
        <f t="shared" si="155"/>
        <v>4297.5</v>
      </c>
      <c r="L73" s="96">
        <f t="shared" si="156"/>
        <v>48.572340713244458</v>
      </c>
      <c r="M73" s="96">
        <f t="shared" si="157"/>
        <v>55.936809157931457</v>
      </c>
      <c r="N73" s="96">
        <f t="shared" si="158"/>
        <v>14.500580419780059</v>
      </c>
      <c r="O73" s="96">
        <f t="shared" si="159"/>
        <v>131.65395321509428</v>
      </c>
      <c r="P73" s="96">
        <f t="shared" si="160"/>
        <v>104.50914987117591</v>
      </c>
      <c r="Q73" s="96">
        <f t="shared" si="161"/>
        <v>90.008569451395857</v>
      </c>
      <c r="R73" s="97">
        <f t="shared" ref="R73" si="240">L73/O73</f>
        <v>0.36893947752474771</v>
      </c>
      <c r="S73" s="97">
        <f t="shared" ref="S73" si="241">L73/K73</f>
        <v>1.1302464389352986E-2</v>
      </c>
      <c r="T73" s="97">
        <f t="shared" ref="T73" si="242">P73/O73</f>
        <v>0.79381702804191845</v>
      </c>
      <c r="U73" s="97">
        <f t="shared" ref="U73" si="243">Q73/O73</f>
        <v>0.68367540247227665</v>
      </c>
    </row>
    <row r="74" spans="1:21" ht="16">
      <c r="A74" s="59">
        <v>42947</v>
      </c>
      <c r="B74" s="91">
        <v>4395.3</v>
      </c>
      <c r="C74">
        <v>39694315.100000001</v>
      </c>
      <c r="D74">
        <f>348328.7+4326.2</f>
        <v>352654.9</v>
      </c>
      <c r="E74">
        <v>519961</v>
      </c>
      <c r="F74">
        <v>119703</v>
      </c>
      <c r="G74">
        <v>1353361.2</v>
      </c>
      <c r="H74" s="92">
        <f t="shared" si="185"/>
        <v>872615.9</v>
      </c>
      <c r="I74" s="93">
        <f t="shared" si="186"/>
        <v>752912.9</v>
      </c>
      <c r="J74" s="94">
        <f t="shared" ref="J74" si="244">B74/C74</f>
        <v>1.107287023072984E-4</v>
      </c>
      <c r="K74" s="95">
        <f t="shared" si="155"/>
        <v>4395.3</v>
      </c>
      <c r="L74" s="96">
        <f t="shared" si="156"/>
        <v>39.049019439310094</v>
      </c>
      <c r="M74" s="96">
        <f t="shared" si="157"/>
        <v>57.574606780405183</v>
      </c>
      <c r="N74" s="96">
        <f t="shared" si="158"/>
        <v>13.254557852290541</v>
      </c>
      <c r="O74" s="96">
        <f t="shared" si="159"/>
        <v>149.85592942904813</v>
      </c>
      <c r="P74" s="96">
        <f t="shared" si="160"/>
        <v>96.623626219715277</v>
      </c>
      <c r="Q74" s="96">
        <f t="shared" si="161"/>
        <v>83.369068367424731</v>
      </c>
      <c r="R74" s="97">
        <f t="shared" ref="R74" si="245">L74/O74</f>
        <v>0.26057707284648035</v>
      </c>
      <c r="S74" s="97">
        <f t="shared" ref="S74" si="246">L74/K74</f>
        <v>8.884267157943734E-3</v>
      </c>
      <c r="T74" s="97">
        <f t="shared" ref="T74" si="247">P74/O74</f>
        <v>0.64477679720683589</v>
      </c>
      <c r="U74" s="97">
        <f t="shared" ref="U74" si="248">Q74/O74</f>
        <v>0.55632812585435432</v>
      </c>
    </row>
    <row r="75" spans="1:21" ht="16">
      <c r="A75" s="59">
        <v>42978</v>
      </c>
      <c r="B75" s="91">
        <v>4522.68</v>
      </c>
      <c r="C75">
        <v>40811777.600000001</v>
      </c>
      <c r="D75">
        <f>442910+4536</f>
        <v>447446</v>
      </c>
      <c r="E75">
        <v>609617</v>
      </c>
      <c r="F75">
        <v>102861</v>
      </c>
      <c r="G75">
        <v>1473653.4</v>
      </c>
      <c r="H75" s="92">
        <f t="shared" si="185"/>
        <v>1057063</v>
      </c>
      <c r="I75" s="93">
        <f t="shared" si="186"/>
        <v>954202</v>
      </c>
      <c r="J75" s="94">
        <f t="shared" ref="J75" si="249">B75/C75</f>
        <v>1.1081801053429244E-4</v>
      </c>
      <c r="K75" s="95">
        <f t="shared" si="155"/>
        <v>4522.68</v>
      </c>
      <c r="L75" s="96">
        <f t="shared" si="156"/>
        <v>49.585075541527019</v>
      </c>
      <c r="M75" s="96">
        <f t="shared" si="157"/>
        <v>67.556543127883756</v>
      </c>
      <c r="N75" s="96">
        <f t="shared" si="158"/>
        <v>11.398851381567855</v>
      </c>
      <c r="O75" s="96">
        <f t="shared" si="159"/>
        <v>163.30733800509586</v>
      </c>
      <c r="P75" s="96">
        <f t="shared" si="160"/>
        <v>117.14161866941078</v>
      </c>
      <c r="Q75" s="96">
        <f t="shared" si="161"/>
        <v>105.74276728784291</v>
      </c>
      <c r="R75" s="97">
        <f t="shared" ref="R75" si="250">L75/O75</f>
        <v>0.30363041947312719</v>
      </c>
      <c r="S75" s="97">
        <f t="shared" ref="S75" si="251">L75/K75</f>
        <v>1.0963648885511912E-2</v>
      </c>
      <c r="T75" s="97">
        <f t="shared" ref="T75" si="252">P75/O75</f>
        <v>0.71730774685553611</v>
      </c>
      <c r="U75" s="97">
        <f t="shared" ref="U75" si="253">Q75/O75</f>
        <v>0.64750775182278275</v>
      </c>
    </row>
    <row r="76" spans="1:21" ht="16">
      <c r="A76" s="59">
        <v>43008</v>
      </c>
      <c r="B76" s="91">
        <v>4307.54</v>
      </c>
      <c r="C76">
        <v>39359012.100000001</v>
      </c>
      <c r="D76">
        <f>440288+106</f>
        <v>440394</v>
      </c>
      <c r="E76">
        <v>614240</v>
      </c>
      <c r="F76">
        <v>102536</v>
      </c>
      <c r="G76">
        <v>1480801.1</v>
      </c>
      <c r="H76" s="92">
        <f t="shared" si="185"/>
        <v>1054634</v>
      </c>
      <c r="I76" s="93">
        <f t="shared" si="186"/>
        <v>952098</v>
      </c>
      <c r="J76" s="94">
        <f t="shared" ref="J76" si="254">B76/C76</f>
        <v>1.0944227942143903E-4</v>
      </c>
      <c r="K76" s="95">
        <f t="shared" si="155"/>
        <v>4307.54</v>
      </c>
      <c r="L76" s="96">
        <f t="shared" si="156"/>
        <v>48.197723203525221</v>
      </c>
      <c r="M76" s="96">
        <f t="shared" si="157"/>
        <v>67.223825711824716</v>
      </c>
      <c r="N76" s="96">
        <f t="shared" si="158"/>
        <v>11.221773562756672</v>
      </c>
      <c r="O76" s="96">
        <f t="shared" si="159"/>
        <v>162.0622477537743</v>
      </c>
      <c r="P76" s="96">
        <f t="shared" si="160"/>
        <v>115.42154891534993</v>
      </c>
      <c r="Q76" s="96">
        <f t="shared" si="161"/>
        <v>104.19977535259326</v>
      </c>
      <c r="R76" s="97">
        <f t="shared" ref="R76" si="255">L76/O76</f>
        <v>0.29740253434441666</v>
      </c>
      <c r="S76" s="97">
        <f t="shared" ref="S76" si="256">L76/K76</f>
        <v>1.1189152788720527E-2</v>
      </c>
      <c r="T76" s="97">
        <f t="shared" ref="T76" si="257">P76/O76</f>
        <v>0.71220503550409298</v>
      </c>
      <c r="U76" s="97">
        <f t="shared" ref="U76" si="258">Q76/O76</f>
        <v>0.64296143486117074</v>
      </c>
    </row>
    <row r="77" spans="1:21" ht="16">
      <c r="A77" s="59">
        <v>43039</v>
      </c>
      <c r="B77" s="91">
        <v>4605.38</v>
      </c>
      <c r="C77">
        <v>41524389.100000001</v>
      </c>
      <c r="D77">
        <f>366934+6032</f>
        <v>372966</v>
      </c>
      <c r="E77">
        <v>633002</v>
      </c>
      <c r="F77">
        <v>93012</v>
      </c>
      <c r="G77">
        <v>1593777.3</v>
      </c>
      <c r="H77" s="92">
        <f t="shared" si="185"/>
        <v>1005968</v>
      </c>
      <c r="I77" s="93">
        <f t="shared" si="186"/>
        <v>912956</v>
      </c>
      <c r="J77" s="94">
        <f t="shared" ref="J77" si="259">B77/C77</f>
        <v>1.1090783271751974E-4</v>
      </c>
      <c r="K77" s="95">
        <f t="shared" si="155"/>
        <v>4605.38</v>
      </c>
      <c r="L77" s="96">
        <f t="shared" si="156"/>
        <v>41.364850737322463</v>
      </c>
      <c r="M77" s="96">
        <f t="shared" si="157"/>
        <v>70.204879925855423</v>
      </c>
      <c r="N77" s="96">
        <f t="shared" si="158"/>
        <v>10.315759336721946</v>
      </c>
      <c r="O77" s="96">
        <f t="shared" si="159"/>
        <v>176.76238617738028</v>
      </c>
      <c r="P77" s="96">
        <f t="shared" si="160"/>
        <v>111.56973066317789</v>
      </c>
      <c r="Q77" s="96">
        <f t="shared" si="161"/>
        <v>101.25397132645595</v>
      </c>
      <c r="R77" s="97">
        <f t="shared" ref="R77" si="260">L77/O77</f>
        <v>0.23401387383293762</v>
      </c>
      <c r="S77" s="97">
        <f t="shared" ref="S77" si="261">L77/K77</f>
        <v>8.9818539919230261E-3</v>
      </c>
      <c r="T77" s="97">
        <f t="shared" ref="T77" si="262">P77/O77</f>
        <v>0.63118479601886657</v>
      </c>
      <c r="U77" s="97">
        <f t="shared" ref="U77" si="263">Q77/O77</f>
        <v>0.57282532509403916</v>
      </c>
    </row>
    <row r="78" spans="1:21" ht="16">
      <c r="A78" s="59">
        <v>43069</v>
      </c>
      <c r="B78" s="95">
        <v>4567</v>
      </c>
      <c r="C78">
        <v>41112147.399999999</v>
      </c>
      <c r="D78">
        <f>454273+6593</f>
        <v>460866</v>
      </c>
      <c r="E78">
        <v>741593</v>
      </c>
      <c r="F78">
        <v>99021</v>
      </c>
      <c r="G78">
        <v>1625955.6</v>
      </c>
      <c r="H78" s="92">
        <f t="shared" si="185"/>
        <v>1202459</v>
      </c>
      <c r="I78" s="93">
        <f t="shared" si="186"/>
        <v>1103438</v>
      </c>
      <c r="J78" s="94">
        <f t="shared" ref="J78" si="264">B78/C78</f>
        <v>1.1108638903157854E-4</v>
      </c>
      <c r="K78" s="95">
        <f t="shared" si="155"/>
        <v>4567</v>
      </c>
      <c r="L78" s="96">
        <f t="shared" si="156"/>
        <v>51.195939767427475</v>
      </c>
      <c r="M78" s="96">
        <f t="shared" si="157"/>
        <v>82.380888501095427</v>
      </c>
      <c r="N78" s="96">
        <f t="shared" si="158"/>
        <v>10.999885328295939</v>
      </c>
      <c r="O78" s="96">
        <f t="shared" si="159"/>
        <v>180.62153632967372</v>
      </c>
      <c r="P78" s="96">
        <f t="shared" si="160"/>
        <v>133.57682826852292</v>
      </c>
      <c r="Q78" s="96">
        <f t="shared" si="161"/>
        <v>122.57694294022697</v>
      </c>
      <c r="R78" s="97">
        <f t="shared" ref="R78" si="265">L78/O78</f>
        <v>0.28344316413068105</v>
      </c>
      <c r="S78" s="97">
        <f t="shared" ref="S78" si="266">L78/K78</f>
        <v>1.1209971483999884E-2</v>
      </c>
      <c r="T78" s="97">
        <f t="shared" ref="T78" si="267">P78/O78</f>
        <v>0.7395398742745497</v>
      </c>
      <c r="U78" s="97">
        <f t="shared" ref="U78" si="268">Q78/O78</f>
        <v>0.67863968733217561</v>
      </c>
    </row>
    <row r="79" spans="1:21" ht="16">
      <c r="A79" s="59">
        <v>43100</v>
      </c>
      <c r="B79" s="91">
        <v>4766</v>
      </c>
      <c r="C79">
        <v>42889442.399999999</v>
      </c>
      <c r="D79">
        <f>452331.2+6836</f>
        <v>459167.2</v>
      </c>
      <c r="E79">
        <v>740966</v>
      </c>
      <c r="F79">
        <v>95047</v>
      </c>
      <c r="G79">
        <v>1627264.1</v>
      </c>
      <c r="H79" s="92">
        <f t="shared" si="185"/>
        <v>1200133.2</v>
      </c>
      <c r="I79" s="93">
        <f t="shared" si="186"/>
        <v>1105086.2</v>
      </c>
      <c r="J79" s="94">
        <f t="shared" ref="J79" si="269">B79/C79</f>
        <v>1.1112291821261823E-4</v>
      </c>
      <c r="K79" s="95">
        <f t="shared" si="155"/>
        <v>4766</v>
      </c>
      <c r="L79" s="96">
        <f t="shared" si="156"/>
        <v>51.023999211516916</v>
      </c>
      <c r="M79" s="96">
        <f t="shared" si="157"/>
        <v>82.338304216330883</v>
      </c>
      <c r="N79" s="96">
        <f t="shared" si="158"/>
        <v>10.561900007354724</v>
      </c>
      <c r="O79" s="96">
        <f t="shared" si="159"/>
        <v>180.82633549462983</v>
      </c>
      <c r="P79" s="96">
        <f t="shared" si="160"/>
        <v>133.36230342784779</v>
      </c>
      <c r="Q79" s="96">
        <f t="shared" si="161"/>
        <v>122.80040342049307</v>
      </c>
      <c r="R79" s="97">
        <f t="shared" ref="R79" si="270">L79/O79</f>
        <v>0.28217128369021349</v>
      </c>
      <c r="S79" s="97">
        <f t="shared" ref="S79" si="271">L79/K79</f>
        <v>1.0705832818194904E-2</v>
      </c>
      <c r="T79" s="97">
        <f t="shared" ref="T79" si="272">P79/O79</f>
        <v>0.73751593241687063</v>
      </c>
      <c r="U79" s="97">
        <f t="shared" ref="U79" si="273">Q79/O79</f>
        <v>0.6791068518011304</v>
      </c>
    </row>
    <row r="80" spans="1:21" ht="16">
      <c r="A80" s="59">
        <v>43131</v>
      </c>
      <c r="B80" s="91">
        <v>4515.55</v>
      </c>
      <c r="C80">
        <v>40867265</v>
      </c>
      <c r="D80">
        <f>399768+5262</f>
        <v>405030</v>
      </c>
      <c r="E80">
        <v>661218</v>
      </c>
      <c r="F80">
        <v>74942</v>
      </c>
      <c r="G80">
        <v>1698530</v>
      </c>
      <c r="H80" s="92">
        <f t="shared" si="185"/>
        <v>1066248</v>
      </c>
      <c r="I80" s="93">
        <f t="shared" si="186"/>
        <v>991306</v>
      </c>
      <c r="J80" s="94">
        <f t="shared" ref="J80" si="274">B80/C80</f>
        <v>1.1049308046427869E-4</v>
      </c>
      <c r="K80" s="95">
        <f t="shared" si="155"/>
        <v>4515.55</v>
      </c>
      <c r="L80" s="96">
        <f t="shared" si="156"/>
        <v>44.753012380446798</v>
      </c>
      <c r="M80" s="96">
        <f t="shared" si="157"/>
        <v>73.060013678429428</v>
      </c>
      <c r="N80" s="96">
        <f t="shared" si="158"/>
        <v>8.2805724361539728</v>
      </c>
      <c r="O80" s="96">
        <f t="shared" si="159"/>
        <v>187.67581196099127</v>
      </c>
      <c r="P80" s="96">
        <f t="shared" si="160"/>
        <v>117.81302605887622</v>
      </c>
      <c r="Q80" s="96">
        <f t="shared" si="161"/>
        <v>109.53245362272224</v>
      </c>
      <c r="R80" s="97">
        <f t="shared" ref="R80" si="275">L80/O80</f>
        <v>0.23845913819596948</v>
      </c>
      <c r="S80" s="97">
        <f t="shared" ref="S80" si="276">L80/K80</f>
        <v>9.9108663131726588E-3</v>
      </c>
      <c r="T80" s="97">
        <f t="shared" ref="T80" si="277">P80/O80</f>
        <v>0.62774752285800073</v>
      </c>
      <c r="U80" s="97">
        <f t="shared" ref="U80" si="278">Q80/O80</f>
        <v>0.58362584116853988</v>
      </c>
    </row>
    <row r="81" spans="1:21" ht="16">
      <c r="A81" s="59">
        <v>43159</v>
      </c>
      <c r="B81" s="91">
        <v>4374.9399999999996</v>
      </c>
      <c r="C81">
        <v>39299751.399999999</v>
      </c>
      <c r="D81">
        <f>436619.3+10213</f>
        <v>446832.3</v>
      </c>
      <c r="E81">
        <v>836246</v>
      </c>
      <c r="F81">
        <v>77972.100000000006</v>
      </c>
      <c r="G81">
        <v>1830457.9</v>
      </c>
      <c r="H81" s="92">
        <f t="shared" si="185"/>
        <v>1283078.3</v>
      </c>
      <c r="I81" s="93">
        <f t="shared" ref="I81" si="279">D81+E81-F81</f>
        <v>1205106.2</v>
      </c>
      <c r="J81" s="94">
        <f t="shared" ref="J81" si="280">B81/C81</f>
        <v>1.113223326903793E-4</v>
      </c>
      <c r="K81" s="95">
        <f t="shared" si="155"/>
        <v>4374.9399999999996</v>
      </c>
      <c r="L81" s="96">
        <f t="shared" si="156"/>
        <v>49.742413957407372</v>
      </c>
      <c r="M81" s="96">
        <f t="shared" si="157"/>
        <v>93.092855422998937</v>
      </c>
      <c r="N81" s="96">
        <f t="shared" si="158"/>
        <v>8.6800360567675252</v>
      </c>
      <c r="O81" s="96">
        <f t="shared" si="159"/>
        <v>203.77084331953304</v>
      </c>
      <c r="P81" s="96">
        <f t="shared" si="160"/>
        <v>142.83526938040632</v>
      </c>
      <c r="Q81" s="96">
        <f t="shared" si="161"/>
        <v>134.15523332363878</v>
      </c>
      <c r="R81" s="97">
        <f t="shared" ref="R81" si="281">L81/O81</f>
        <v>0.2441095749866741</v>
      </c>
      <c r="S81" s="97">
        <f t="shared" ref="S81" si="282">L81/K81</f>
        <v>1.1369850548214919E-2</v>
      </c>
      <c r="T81" s="97">
        <f t="shared" ref="T81" si="283">P81/O81</f>
        <v>0.7009602897723024</v>
      </c>
      <c r="U81" s="97">
        <f t="shared" ref="U81" si="284">Q81/O81</f>
        <v>0.65836324342668584</v>
      </c>
    </row>
    <row r="82" spans="1:21" ht="16">
      <c r="A82" s="59">
        <v>43190</v>
      </c>
      <c r="B82" s="91">
        <v>4530.41</v>
      </c>
      <c r="C82">
        <v>40840362.100000001</v>
      </c>
      <c r="D82">
        <f>379695.9+4452.3</f>
        <v>384148.2</v>
      </c>
      <c r="E82">
        <v>747359</v>
      </c>
      <c r="F82">
        <v>71597.2</v>
      </c>
      <c r="G82">
        <v>1587934.1</v>
      </c>
      <c r="H82" s="92">
        <f t="shared" ref="H82:H87" si="285">D82+E82</f>
        <v>1131507.2</v>
      </c>
      <c r="I82" s="93">
        <f t="shared" ref="I82:I87" si="286">D82+E82-F82</f>
        <v>1059910</v>
      </c>
      <c r="J82" s="94">
        <f t="shared" ref="J82:J87" si="287">B82/C82</f>
        <v>1.1092972165396153E-4</v>
      </c>
      <c r="K82" s="95">
        <f t="shared" ref="K82:Q82" si="288">$J82*C82</f>
        <v>4530.41</v>
      </c>
      <c r="L82" s="96">
        <f t="shared" si="288"/>
        <v>42.613452899870346</v>
      </c>
      <c r="M82" s="96">
        <f t="shared" si="288"/>
        <v>82.904325845583031</v>
      </c>
      <c r="N82" s="96">
        <f t="shared" si="288"/>
        <v>7.9422574672030146</v>
      </c>
      <c r="O82" s="96">
        <f t="shared" si="288"/>
        <v>176.14908771783394</v>
      </c>
      <c r="P82" s="96">
        <f t="shared" si="288"/>
        <v>125.51777874545337</v>
      </c>
      <c r="Q82" s="96">
        <f t="shared" si="288"/>
        <v>117.57552127825036</v>
      </c>
      <c r="R82" s="97">
        <f t="shared" ref="R82:R87" si="289">L82/O82</f>
        <v>0.24191696620155709</v>
      </c>
      <c r="S82" s="190">
        <f t="shared" ref="S82:S87" si="290">L82/K82</f>
        <v>9.4060919210116403E-3</v>
      </c>
      <c r="T82" s="97">
        <f t="shared" ref="T82:T87" si="291">P82/O82</f>
        <v>0.71256559072571068</v>
      </c>
      <c r="U82" s="97">
        <f t="shared" ref="U82:U87" si="292">Q82/O82</f>
        <v>0.66747732163444307</v>
      </c>
    </row>
    <row r="83" spans="1:21" ht="16">
      <c r="A83" s="59">
        <v>43220</v>
      </c>
      <c r="B83" s="91">
        <v>4131.93</v>
      </c>
      <c r="C83">
        <v>37022150.700000003</v>
      </c>
      <c r="D83">
        <f>409140+6262</f>
        <v>415402</v>
      </c>
      <c r="E83">
        <v>776850</v>
      </c>
      <c r="F83">
        <v>72748</v>
      </c>
      <c r="G83">
        <v>1822952</v>
      </c>
      <c r="H83" s="92">
        <f t="shared" si="285"/>
        <v>1192252</v>
      </c>
      <c r="I83" s="93">
        <f t="shared" si="286"/>
        <v>1119504</v>
      </c>
      <c r="J83" s="94">
        <f t="shared" si="287"/>
        <v>1.1160696831154113E-4</v>
      </c>
      <c r="K83" s="95">
        <f t="shared" ref="K83:Q83" si="293">$J83*C83</f>
        <v>4131.93</v>
      </c>
      <c r="L83" s="96">
        <f t="shared" si="293"/>
        <v>46.361757850550809</v>
      </c>
      <c r="M83" s="96">
        <f t="shared" si="293"/>
        <v>86.701873332820725</v>
      </c>
      <c r="N83" s="96">
        <f t="shared" si="293"/>
        <v>8.1191837307279933</v>
      </c>
      <c r="O83" s="96">
        <f t="shared" si="293"/>
        <v>203.45414609746052</v>
      </c>
      <c r="P83" s="96">
        <f t="shared" si="293"/>
        <v>133.06363118337154</v>
      </c>
      <c r="Q83" s="96">
        <f t="shared" si="293"/>
        <v>124.94444745264354</v>
      </c>
      <c r="R83" s="97">
        <f t="shared" si="289"/>
        <v>0.2278732517367435</v>
      </c>
      <c r="S83" s="190">
        <f t="shared" si="290"/>
        <v>1.1220363813169827E-2</v>
      </c>
      <c r="T83" s="97">
        <f t="shared" si="291"/>
        <v>0.6540227060284638</v>
      </c>
      <c r="U83" s="97">
        <f t="shared" si="292"/>
        <v>0.61411600524862975</v>
      </c>
    </row>
    <row r="84" spans="1:21" ht="16">
      <c r="A84" s="59">
        <v>43251</v>
      </c>
      <c r="B84" s="91">
        <v>4132.1499999999996</v>
      </c>
      <c r="C84">
        <v>36939913.899999999</v>
      </c>
      <c r="D84">
        <f>466871.4+8945.3</f>
        <v>475816.7</v>
      </c>
      <c r="E84">
        <v>978371</v>
      </c>
      <c r="F84">
        <v>80634</v>
      </c>
      <c r="G84">
        <v>1840262.9</v>
      </c>
      <c r="H84" s="92">
        <f t="shared" si="285"/>
        <v>1454187.7</v>
      </c>
      <c r="I84" s="93">
        <f t="shared" si="286"/>
        <v>1373553.7</v>
      </c>
      <c r="J84" s="94">
        <f t="shared" si="287"/>
        <v>1.1186138687778586E-4</v>
      </c>
      <c r="K84" s="95">
        <f t="shared" ref="K84:Q84" si="294">$J84*C84</f>
        <v>4132.1499999999996</v>
      </c>
      <c r="L84" s="96">
        <f t="shared" si="294"/>
        <v>53.225515961611372</v>
      </c>
      <c r="M84" s="96">
        <f t="shared" si="294"/>
        <v>109.44193694100623</v>
      </c>
      <c r="N84" s="96">
        <f t="shared" si="294"/>
        <v>9.0198310695033843</v>
      </c>
      <c r="O84" s="96">
        <f t="shared" si="294"/>
        <v>205.85436021373616</v>
      </c>
      <c r="P84" s="96">
        <f t="shared" si="294"/>
        <v>162.66745290261761</v>
      </c>
      <c r="Q84" s="96">
        <f t="shared" si="294"/>
        <v>153.64762183311421</v>
      </c>
      <c r="R84" s="97">
        <f t="shared" si="289"/>
        <v>0.25855908957356039</v>
      </c>
      <c r="S84" s="190">
        <f t="shared" si="290"/>
        <v>1.2880828615033669E-2</v>
      </c>
      <c r="T84" s="97">
        <f t="shared" si="291"/>
        <v>0.79020649712603563</v>
      </c>
      <c r="U84" s="97">
        <f t="shared" si="292"/>
        <v>0.74638993156901656</v>
      </c>
    </row>
    <row r="85" spans="1:21" ht="16">
      <c r="A85" s="59">
        <v>43281</v>
      </c>
      <c r="B85" s="91">
        <v>3785.38</v>
      </c>
      <c r="C85">
        <v>34192890.700000003</v>
      </c>
      <c r="D85">
        <f>468457+8945.3</f>
        <v>477402.3</v>
      </c>
      <c r="E85">
        <v>974173</v>
      </c>
      <c r="F85">
        <v>84207</v>
      </c>
      <c r="G85">
        <v>1843240.7</v>
      </c>
      <c r="H85" s="92">
        <f t="shared" si="285"/>
        <v>1451575.3</v>
      </c>
      <c r="I85" s="93">
        <f t="shared" si="286"/>
        <v>1367368.3</v>
      </c>
      <c r="J85" s="94">
        <f t="shared" si="287"/>
        <v>1.1070663879260725E-4</v>
      </c>
      <c r="K85" s="95">
        <f t="shared" ref="K85:Q85" si="295">$J85*C85</f>
        <v>3785.38</v>
      </c>
      <c r="L85" s="96">
        <f t="shared" si="295"/>
        <v>52.851603984859921</v>
      </c>
      <c r="M85" s="96">
        <f t="shared" si="295"/>
        <v>107.84741843251058</v>
      </c>
      <c r="N85" s="96">
        <f t="shared" si="295"/>
        <v>9.3222739328090789</v>
      </c>
      <c r="O85" s="96">
        <f t="shared" si="295"/>
        <v>204.05898238273255</v>
      </c>
      <c r="P85" s="96">
        <f t="shared" si="295"/>
        <v>160.69902241737051</v>
      </c>
      <c r="Q85" s="96">
        <f t="shared" si="295"/>
        <v>151.37674848456143</v>
      </c>
      <c r="R85" s="97">
        <f t="shared" si="289"/>
        <v>0.25900160516203874</v>
      </c>
      <c r="S85" s="190">
        <f t="shared" si="290"/>
        <v>1.3962033926543681E-2</v>
      </c>
      <c r="T85" s="97">
        <f t="shared" si="291"/>
        <v>0.78751261297561415</v>
      </c>
      <c r="U85" s="97">
        <f t="shared" si="292"/>
        <v>0.74182840038200115</v>
      </c>
    </row>
    <row r="86" spans="1:21" ht="16">
      <c r="A86" s="59">
        <v>43312</v>
      </c>
      <c r="B86" s="91">
        <v>4130.29</v>
      </c>
      <c r="C86">
        <v>36938587</v>
      </c>
      <c r="D86">
        <f>404213.3+9299.8</f>
        <v>413513.1</v>
      </c>
      <c r="E86">
        <v>894436.8</v>
      </c>
      <c r="F86">
        <v>76057</v>
      </c>
      <c r="G86">
        <v>1836523.3</v>
      </c>
      <c r="H86" s="92">
        <f t="shared" si="285"/>
        <v>1307949.8999999999</v>
      </c>
      <c r="I86" s="93">
        <f t="shared" si="286"/>
        <v>1231892.8999999999</v>
      </c>
      <c r="J86" s="94">
        <f t="shared" si="287"/>
        <v>1.1181505129040263E-4</v>
      </c>
      <c r="K86" s="95">
        <f t="shared" ref="K86:Q86" si="296">$J86*C86</f>
        <v>4130.29</v>
      </c>
      <c r="L86" s="96">
        <f t="shared" si="296"/>
        <v>46.236988485753386</v>
      </c>
      <c r="M86" s="96">
        <f t="shared" si="296"/>
        <v>100.0114966680236</v>
      </c>
      <c r="N86" s="96">
        <f t="shared" si="296"/>
        <v>8.5043173559941536</v>
      </c>
      <c r="O86" s="96">
        <f t="shared" si="296"/>
        <v>205.3509469855195</v>
      </c>
      <c r="P86" s="96">
        <f t="shared" si="296"/>
        <v>146.24848515377698</v>
      </c>
      <c r="Q86" s="96">
        <f t="shared" si="296"/>
        <v>137.74416779778284</v>
      </c>
      <c r="R86" s="97">
        <f t="shared" si="289"/>
        <v>0.22516082425962139</v>
      </c>
      <c r="S86" s="190">
        <f t="shared" si="290"/>
        <v>1.1194610665535201E-2</v>
      </c>
      <c r="T86" s="97">
        <f t="shared" si="291"/>
        <v>0.71218802396898528</v>
      </c>
      <c r="U86" s="97">
        <f t="shared" si="292"/>
        <v>0.67077444647721052</v>
      </c>
    </row>
    <row r="87" spans="1:21" ht="16">
      <c r="A87" s="59">
        <v>43343</v>
      </c>
      <c r="B87" s="91">
        <v>3955</v>
      </c>
      <c r="C87">
        <v>35591634.700000003</v>
      </c>
      <c r="D87">
        <f>481768.8+10687.7</f>
        <v>492456.5</v>
      </c>
      <c r="E87">
        <v>1009874.6</v>
      </c>
      <c r="F87">
        <v>80773.2</v>
      </c>
      <c r="G87">
        <v>1750928.1</v>
      </c>
      <c r="H87" s="92">
        <f t="shared" si="285"/>
        <v>1502331.1</v>
      </c>
      <c r="I87" s="93">
        <f t="shared" si="286"/>
        <v>1421557.9000000001</v>
      </c>
      <c r="J87" s="94">
        <f t="shared" si="287"/>
        <v>1.1112161701299996E-4</v>
      </c>
      <c r="K87" s="95">
        <f t="shared" ref="K87:Q87" si="297">$J87*C87</f>
        <v>3955</v>
      </c>
      <c r="L87" s="96">
        <f t="shared" si="297"/>
        <v>54.722562588562418</v>
      </c>
      <c r="M87" s="96">
        <f t="shared" si="297"/>
        <v>112.21889853235653</v>
      </c>
      <c r="N87" s="96">
        <f t="shared" si="297"/>
        <v>8.975648595314448</v>
      </c>
      <c r="O87" s="96">
        <f t="shared" si="297"/>
        <v>194.56596174549969</v>
      </c>
      <c r="P87" s="96">
        <f t="shared" si="297"/>
        <v>166.94146112091894</v>
      </c>
      <c r="Q87" s="96">
        <f t="shared" si="297"/>
        <v>157.96581252560452</v>
      </c>
      <c r="R87" s="97">
        <f t="shared" si="289"/>
        <v>0.28125455294252233</v>
      </c>
      <c r="S87" s="190">
        <f t="shared" si="290"/>
        <v>1.3836299011014517E-2</v>
      </c>
      <c r="T87" s="97">
        <f t="shared" si="291"/>
        <v>0.8580198695765977</v>
      </c>
      <c r="U87" s="97">
        <f t="shared" si="292"/>
        <v>0.81188822088125734</v>
      </c>
    </row>
    <row r="88" spans="1:21" ht="16">
      <c r="A88" s="59">
        <v>43373</v>
      </c>
      <c r="B88" s="91">
        <v>3586</v>
      </c>
      <c r="C88">
        <v>32371342</v>
      </c>
      <c r="D88">
        <f>479069+10688</f>
        <v>489757</v>
      </c>
      <c r="E88">
        <v>993184</v>
      </c>
      <c r="F88">
        <v>80875</v>
      </c>
      <c r="G88">
        <v>1758258.6</v>
      </c>
      <c r="H88" s="92">
        <f t="shared" ref="H88:H93" si="298">D88+E88</f>
        <v>1482941</v>
      </c>
      <c r="I88" s="93">
        <f t="shared" ref="I88:I93" si="299">D88+E88-F88</f>
        <v>1402066</v>
      </c>
      <c r="J88" s="94">
        <f t="shared" ref="J88:J93" si="300">B88/C88</f>
        <v>1.1077699528181439E-4</v>
      </c>
      <c r="K88" s="95">
        <f t="shared" ref="K88:Q88" si="301">$J88*C88</f>
        <v>3586</v>
      </c>
      <c r="L88" s="96">
        <f t="shared" si="301"/>
        <v>54.253808878235567</v>
      </c>
      <c r="M88" s="96">
        <f t="shared" si="301"/>
        <v>110.02193928197354</v>
      </c>
      <c r="N88" s="96">
        <f t="shared" si="301"/>
        <v>8.9590894934167391</v>
      </c>
      <c r="O88" s="96">
        <f t="shared" si="301"/>
        <v>194.77460463640958</v>
      </c>
      <c r="P88" s="96">
        <f t="shared" si="301"/>
        <v>164.2757481602091</v>
      </c>
      <c r="Q88" s="96">
        <f t="shared" si="301"/>
        <v>155.31665866679236</v>
      </c>
      <c r="R88" s="97">
        <f t="shared" ref="R88:R93" si="302">L88/O88</f>
        <v>0.27854662562150984</v>
      </c>
      <c r="S88" s="190">
        <f t="shared" ref="S88:S93" si="303">L88/K88</f>
        <v>1.5129338783668591E-2</v>
      </c>
      <c r="T88" s="97">
        <f t="shared" ref="T88:T93" si="304">P88/O88</f>
        <v>0.84341461489225755</v>
      </c>
      <c r="U88" s="97">
        <f t="shared" ref="U88:U93" si="305">Q88/O88</f>
        <v>0.79741739923808697</v>
      </c>
    </row>
    <row r="89" spans="1:21" ht="16">
      <c r="A89" s="59">
        <v>43404</v>
      </c>
      <c r="B89" s="91">
        <v>3871.98</v>
      </c>
      <c r="C89">
        <v>34796730.700000003</v>
      </c>
      <c r="D89">
        <f>437885+10157</f>
        <v>448042</v>
      </c>
      <c r="E89">
        <v>913801</v>
      </c>
      <c r="F89">
        <v>76499</v>
      </c>
      <c r="G89">
        <v>1721902.5</v>
      </c>
      <c r="H89" s="92">
        <f t="shared" si="298"/>
        <v>1361843</v>
      </c>
      <c r="I89" s="93">
        <f t="shared" si="299"/>
        <v>1285344</v>
      </c>
      <c r="J89" s="94">
        <f t="shared" si="300"/>
        <v>1.1127424680733009E-4</v>
      </c>
      <c r="K89" s="95">
        <f t="shared" ref="K89:Q89" si="306">$J89*C89</f>
        <v>3871.98</v>
      </c>
      <c r="L89" s="96">
        <f t="shared" si="306"/>
        <v>49.855536088049789</v>
      </c>
      <c r="M89" s="96">
        <f t="shared" si="306"/>
        <v>101.68251800678505</v>
      </c>
      <c r="N89" s="96">
        <f t="shared" si="306"/>
        <v>8.5123686065139434</v>
      </c>
      <c r="O89" s="96">
        <f t="shared" si="306"/>
        <v>191.6034037631587</v>
      </c>
      <c r="P89" s="96">
        <f t="shared" si="306"/>
        <v>151.53805409483482</v>
      </c>
      <c r="Q89" s="96">
        <f t="shared" si="306"/>
        <v>143.02568548832087</v>
      </c>
      <c r="R89" s="97">
        <f t="shared" si="302"/>
        <v>0.26020172454596008</v>
      </c>
      <c r="S89" s="190">
        <f t="shared" si="303"/>
        <v>1.2875979754040513E-2</v>
      </c>
      <c r="T89" s="97">
        <f t="shared" si="304"/>
        <v>0.79089437410074026</v>
      </c>
      <c r="U89" s="97">
        <f t="shared" si="305"/>
        <v>0.74646735224555394</v>
      </c>
    </row>
    <row r="90" spans="1:21" ht="16">
      <c r="A90" s="59">
        <v>43434</v>
      </c>
      <c r="B90" s="91">
        <v>4080.11</v>
      </c>
      <c r="C90">
        <v>35336059.5</v>
      </c>
      <c r="D90">
        <f>491419.3+13875.9</f>
        <v>505295.2</v>
      </c>
      <c r="E90">
        <v>981786</v>
      </c>
      <c r="F90">
        <v>73415</v>
      </c>
      <c r="G90">
        <v>1695395.3</v>
      </c>
      <c r="H90" s="92">
        <f t="shared" si="298"/>
        <v>1487081.2</v>
      </c>
      <c r="I90" s="93">
        <f t="shared" si="299"/>
        <v>1413666.2</v>
      </c>
      <c r="J90" s="94">
        <f t="shared" si="300"/>
        <v>1.1546590247279836E-4</v>
      </c>
      <c r="K90" s="95">
        <f t="shared" ref="K90:Q90" si="307">$J90*C90</f>
        <v>4080.11</v>
      </c>
      <c r="L90" s="96">
        <f t="shared" si="307"/>
        <v>58.344366283173144</v>
      </c>
      <c r="M90" s="96">
        <f t="shared" si="307"/>
        <v>113.36280652515882</v>
      </c>
      <c r="N90" s="96">
        <f t="shared" si="307"/>
        <v>8.4769292300404917</v>
      </c>
      <c r="O90" s="96">
        <f t="shared" si="307"/>
        <v>195.76034836264071</v>
      </c>
      <c r="P90" s="96">
        <f t="shared" si="307"/>
        <v>171.70717280833196</v>
      </c>
      <c r="Q90" s="96">
        <f t="shared" si="307"/>
        <v>163.23024357829146</v>
      </c>
      <c r="R90" s="97">
        <f t="shared" si="302"/>
        <v>0.29803975509428393</v>
      </c>
      <c r="S90" s="190">
        <f t="shared" si="303"/>
        <v>1.4299704244045662E-2</v>
      </c>
      <c r="T90" s="97">
        <f t="shared" si="304"/>
        <v>0.8771294812484145</v>
      </c>
      <c r="U90" s="97">
        <f t="shared" si="305"/>
        <v>0.83382689570980884</v>
      </c>
    </row>
    <row r="91" spans="1:21" ht="16">
      <c r="A91" s="59">
        <v>43465</v>
      </c>
      <c r="B91" s="91">
        <v>3839.5</v>
      </c>
      <c r="C91">
        <v>34153222.100000001</v>
      </c>
      <c r="D91">
        <f>491365.6+13875.9</f>
        <v>505241.5</v>
      </c>
      <c r="E91">
        <v>970799</v>
      </c>
      <c r="F91">
        <v>70750</v>
      </c>
      <c r="G91">
        <v>1701259.2</v>
      </c>
      <c r="H91" s="92">
        <f t="shared" si="298"/>
        <v>1476040.5</v>
      </c>
      <c r="I91" s="93">
        <f t="shared" si="299"/>
        <v>1405290.5</v>
      </c>
      <c r="J91" s="94">
        <f t="shared" si="300"/>
        <v>1.1241984691101809E-4</v>
      </c>
      <c r="K91" s="95">
        <f t="shared" ref="K91:Q91" si="308">$J91*C91</f>
        <v>3839.5</v>
      </c>
      <c r="L91" s="96">
        <f t="shared" si="308"/>
        <v>56.799172083093147</v>
      </c>
      <c r="M91" s="96">
        <f t="shared" si="308"/>
        <v>109.13707496136945</v>
      </c>
      <c r="N91" s="96">
        <f t="shared" si="308"/>
        <v>7.9537041689545296</v>
      </c>
      <c r="O91" s="96">
        <f t="shared" si="308"/>
        <v>191.2552988199611</v>
      </c>
      <c r="P91" s="96">
        <f t="shared" si="308"/>
        <v>165.93624704446259</v>
      </c>
      <c r="Q91" s="96">
        <f t="shared" si="308"/>
        <v>157.98254287550807</v>
      </c>
      <c r="R91" s="97">
        <f t="shared" si="302"/>
        <v>0.29698090684829215</v>
      </c>
      <c r="S91" s="190">
        <f t="shared" si="303"/>
        <v>1.4793377284306068E-2</v>
      </c>
      <c r="T91" s="97">
        <f t="shared" si="304"/>
        <v>0.86761646902482581</v>
      </c>
      <c r="U91" s="97">
        <f t="shared" si="305"/>
        <v>0.82602962558556636</v>
      </c>
    </row>
    <row r="92" spans="1:21" ht="16">
      <c r="A92" s="59">
        <v>43496</v>
      </c>
      <c r="B92" s="91">
        <v>4076.6</v>
      </c>
      <c r="C92">
        <v>37167697.299999997</v>
      </c>
      <c r="D92">
        <f>433945.8+11000.8</f>
        <v>444946.6</v>
      </c>
      <c r="E92">
        <v>839066.4</v>
      </c>
      <c r="F92">
        <v>69880</v>
      </c>
      <c r="G92">
        <v>1664273.7</v>
      </c>
      <c r="H92" s="92">
        <f t="shared" si="298"/>
        <v>1284013</v>
      </c>
      <c r="I92" s="93">
        <f t="shared" si="299"/>
        <v>1214133</v>
      </c>
      <c r="J92" s="94">
        <f t="shared" si="300"/>
        <v>1.0968126346638107E-4</v>
      </c>
      <c r="K92" s="95">
        <f t="shared" ref="K92:Q92" si="309">$J92*C92</f>
        <v>4076.6</v>
      </c>
      <c r="L92" s="96">
        <f t="shared" si="309"/>
        <v>48.802305263070473</v>
      </c>
      <c r="M92" s="96">
        <f t="shared" si="309"/>
        <v>92.029862884187892</v>
      </c>
      <c r="N92" s="96">
        <f t="shared" si="309"/>
        <v>7.6645266910307095</v>
      </c>
      <c r="O92" s="96">
        <f t="shared" si="309"/>
        <v>182.53964216986884</v>
      </c>
      <c r="P92" s="96">
        <f t="shared" si="309"/>
        <v>140.83216814725836</v>
      </c>
      <c r="Q92" s="96">
        <f t="shared" si="309"/>
        <v>133.16764145622764</v>
      </c>
      <c r="R92" s="97">
        <f t="shared" si="302"/>
        <v>0.2673518183938135</v>
      </c>
      <c r="S92" s="190">
        <f t="shared" si="303"/>
        <v>1.1971325433712033E-2</v>
      </c>
      <c r="T92" s="97">
        <f t="shared" si="304"/>
        <v>0.77151552656272826</v>
      </c>
      <c r="U92" s="97">
        <f t="shared" si="305"/>
        <v>0.72952724062153962</v>
      </c>
    </row>
    <row r="93" spans="1:21" ht="16">
      <c r="A93" s="59">
        <v>43524</v>
      </c>
      <c r="B93" s="91">
        <v>3970.15</v>
      </c>
      <c r="C93">
        <v>35294731</v>
      </c>
      <c r="D93">
        <f>488855+5417</f>
        <v>494272</v>
      </c>
      <c r="E93">
        <v>887480</v>
      </c>
      <c r="F93">
        <v>68712</v>
      </c>
      <c r="G93">
        <v>1564991.3</v>
      </c>
      <c r="H93" s="92">
        <f t="shared" si="298"/>
        <v>1381752</v>
      </c>
      <c r="I93" s="93">
        <f t="shared" si="299"/>
        <v>1313040</v>
      </c>
      <c r="J93" s="94">
        <f t="shared" si="300"/>
        <v>1.1248562852058569E-4</v>
      </c>
      <c r="K93" s="95">
        <f t="shared" ref="K93:Q93" si="310">$J93*C93</f>
        <v>3970.15</v>
      </c>
      <c r="L93" s="96">
        <f t="shared" si="310"/>
        <v>55.598496580126934</v>
      </c>
      <c r="M93" s="96">
        <f t="shared" si="310"/>
        <v>99.828745599449391</v>
      </c>
      <c r="N93" s="96">
        <f t="shared" si="310"/>
        <v>7.7291125069064845</v>
      </c>
      <c r="O93" s="96">
        <f t="shared" si="310"/>
        <v>176.03903000974847</v>
      </c>
      <c r="P93" s="96">
        <f t="shared" si="310"/>
        <v>155.42724217957633</v>
      </c>
      <c r="Q93" s="96">
        <f t="shared" si="310"/>
        <v>147.69812967266984</v>
      </c>
      <c r="R93" s="97">
        <f t="shared" si="302"/>
        <v>0.31583050972871224</v>
      </c>
      <c r="S93" s="190">
        <f t="shared" si="303"/>
        <v>1.400412996489476E-2</v>
      </c>
      <c r="T93" s="97">
        <f t="shared" si="304"/>
        <v>0.88291353440750764</v>
      </c>
      <c r="U93" s="97">
        <f t="shared" si="305"/>
        <v>0.83900785902132491</v>
      </c>
    </row>
    <row r="94" spans="1:21" ht="16">
      <c r="A94" s="59">
        <v>43555</v>
      </c>
      <c r="B94" s="91">
        <v>4109.3100000000004</v>
      </c>
      <c r="C94">
        <v>35953838.299999997</v>
      </c>
      <c r="D94">
        <f>508835.5+5068</f>
        <v>513903.5</v>
      </c>
      <c r="E94">
        <v>916115.3</v>
      </c>
      <c r="F94">
        <v>71396.600000000006</v>
      </c>
      <c r="G94">
        <v>1561726.4</v>
      </c>
      <c r="H94" s="92">
        <f>D94+E94</f>
        <v>1430018.8</v>
      </c>
      <c r="I94" s="93">
        <f>D94+E94-F94</f>
        <v>1358622.2</v>
      </c>
      <c r="J94" s="94">
        <f>B94/C94</f>
        <v>1.1429405577540244E-4</v>
      </c>
      <c r="K94" s="95">
        <f t="shared" ref="K94:Q94" si="311">$J94*C94</f>
        <v>4109.3100000000004</v>
      </c>
      <c r="L94" s="96">
        <f t="shared" si="311"/>
        <v>58.736115292174532</v>
      </c>
      <c r="M94" s="96">
        <f t="shared" si="311"/>
        <v>104.70653319489955</v>
      </c>
      <c r="N94" s="96">
        <f t="shared" si="311"/>
        <v>8.160206982574099</v>
      </c>
      <c r="O94" s="96">
        <f t="shared" si="311"/>
        <v>178.49604426751847</v>
      </c>
      <c r="P94" s="96">
        <f t="shared" si="311"/>
        <v>163.44264848707408</v>
      </c>
      <c r="Q94" s="96">
        <f t="shared" si="311"/>
        <v>155.28244150449996</v>
      </c>
      <c r="R94" s="97">
        <f>L94/O94</f>
        <v>0.32906115949631126</v>
      </c>
      <c r="S94" s="190">
        <f>L94/K94</f>
        <v>1.4293425244669915E-2</v>
      </c>
      <c r="T94" s="97">
        <f>P94/O94</f>
        <v>0.9156653815930883</v>
      </c>
      <c r="U94" s="97">
        <f>Q94/O94</f>
        <v>0.86994892319166772</v>
      </c>
    </row>
    <row r="95" spans="1:21" ht="16">
      <c r="A95" s="59">
        <v>43585</v>
      </c>
      <c r="B95" s="91">
        <v>4169.4799999999996</v>
      </c>
      <c r="C95">
        <v>36981859.600000001</v>
      </c>
      <c r="D95">
        <f>409264.6+4936</f>
        <v>414200.6</v>
      </c>
      <c r="E95">
        <v>784032</v>
      </c>
      <c r="F95">
        <v>64121</v>
      </c>
      <c r="G95">
        <v>1538381.3</v>
      </c>
      <c r="H95" s="92">
        <f>D95+E95</f>
        <v>1198232.6000000001</v>
      </c>
      <c r="I95" s="93">
        <f>D95+E95-F95</f>
        <v>1134111.6000000001</v>
      </c>
      <c r="J95" s="94">
        <f>B95/C95</f>
        <v>1.127439248620153E-4</v>
      </c>
      <c r="K95" s="95">
        <f t="shared" ref="K95:Q95" si="312">$J95*C95</f>
        <v>4169.4799999999996</v>
      </c>
      <c r="L95" s="96">
        <f t="shared" si="312"/>
        <v>46.698601324201654</v>
      </c>
      <c r="M95" s="96">
        <f t="shared" si="312"/>
        <v>88.394844897415581</v>
      </c>
      <c r="N95" s="96">
        <f t="shared" si="312"/>
        <v>7.2292532060772832</v>
      </c>
      <c r="O95" s="96">
        <f t="shared" si="312"/>
        <v>173.44314569632942</v>
      </c>
      <c r="P95" s="96">
        <f t="shared" si="312"/>
        <v>135.09344622161726</v>
      </c>
      <c r="Q95" s="96">
        <f t="shared" si="312"/>
        <v>127.86419301553997</v>
      </c>
      <c r="R95" s="97">
        <f>L95/O95</f>
        <v>0.26924443244337409</v>
      </c>
      <c r="S95" s="190">
        <f>L95/K95</f>
        <v>1.1200102008931968E-2</v>
      </c>
      <c r="T95" s="97">
        <f>P95/O95</f>
        <v>0.77889181310251243</v>
      </c>
      <c r="U95" s="97">
        <f>Q95/O95</f>
        <v>0.73721098923914385</v>
      </c>
    </row>
    <row r="96" spans="1:21" ht="16">
      <c r="A96" s="59">
        <v>43616</v>
      </c>
      <c r="B96" s="91">
        <v>4179.83</v>
      </c>
      <c r="C96">
        <v>37084748.799999997</v>
      </c>
      <c r="D96">
        <v>516597.2</v>
      </c>
      <c r="E96">
        <v>859684.4</v>
      </c>
      <c r="F96">
        <v>68505.3</v>
      </c>
      <c r="G96">
        <v>1582210.7</v>
      </c>
      <c r="H96" s="92">
        <f>D96+E96</f>
        <v>1376281.6000000001</v>
      </c>
      <c r="I96" s="93">
        <f>D96+E96-F96</f>
        <v>1307776.3</v>
      </c>
      <c r="J96" s="94">
        <f>B96/C96</f>
        <v>1.1271021471770089E-4</v>
      </c>
      <c r="K96" s="95">
        <f t="shared" ref="K96:Q96" si="313">$J96*C96</f>
        <v>4179.83</v>
      </c>
      <c r="L96" s="96">
        <f t="shared" si="313"/>
        <v>58.225781334563074</v>
      </c>
      <c r="M96" s="96">
        <f t="shared" si="313"/>
        <v>96.895213313457859</v>
      </c>
      <c r="N96" s="96">
        <f t="shared" si="313"/>
        <v>7.7212470723005149</v>
      </c>
      <c r="O96" s="96">
        <f t="shared" si="313"/>
        <v>178.33130772564382</v>
      </c>
      <c r="P96" s="96">
        <f t="shared" si="313"/>
        <v>155.12099464802094</v>
      </c>
      <c r="Q96" s="96">
        <f t="shared" si="313"/>
        <v>147.39974757572043</v>
      </c>
      <c r="R96" s="97">
        <f>L96/O96</f>
        <v>0.32650341702277708</v>
      </c>
      <c r="S96" s="190">
        <f>L96/K96</f>
        <v>1.3930179297857347E-2</v>
      </c>
      <c r="T96" s="97">
        <f>P96/O96</f>
        <v>0.8698472333678442</v>
      </c>
      <c r="U96" s="97">
        <f>Q96/O96</f>
        <v>0.82655002901952324</v>
      </c>
    </row>
    <row r="97" spans="1:21" ht="16">
      <c r="A97" s="59">
        <v>43646</v>
      </c>
      <c r="B97" s="91">
        <v>4450.38</v>
      </c>
      <c r="C97">
        <v>39604913</v>
      </c>
      <c r="D97">
        <v>518719.2</v>
      </c>
      <c r="E97">
        <v>854977.2</v>
      </c>
      <c r="F97">
        <v>68592.5</v>
      </c>
      <c r="G97">
        <v>1576441</v>
      </c>
      <c r="H97" s="92">
        <f>D97+E97</f>
        <v>1373696.4</v>
      </c>
      <c r="I97" s="93">
        <f>D97+E97-F97</f>
        <v>1305103.8999999999</v>
      </c>
      <c r="J97" s="94">
        <f>B97/C97</f>
        <v>1.1236939215091825E-4</v>
      </c>
      <c r="K97" s="95">
        <f t="shared" ref="K97:Q97" si="314">$J97*C97</f>
        <v>4450.38</v>
      </c>
      <c r="L97" s="96">
        <f t="shared" si="314"/>
        <v>58.288161201010595</v>
      </c>
      <c r="M97" s="96">
        <f t="shared" si="314"/>
        <v>96.073268266894047</v>
      </c>
      <c r="N97" s="96">
        <f t="shared" si="314"/>
        <v>7.7076975311118598</v>
      </c>
      <c r="O97" s="96">
        <f t="shared" si="314"/>
        <v>177.14371693178572</v>
      </c>
      <c r="P97" s="96">
        <f t="shared" si="314"/>
        <v>154.36142946790463</v>
      </c>
      <c r="Q97" s="96">
        <f t="shared" si="314"/>
        <v>146.65373193679278</v>
      </c>
      <c r="R97" s="97">
        <f>L97/O97</f>
        <v>0.32904447423024397</v>
      </c>
      <c r="S97" s="190">
        <f>L97/K97</f>
        <v>1.3097344766292001E-2</v>
      </c>
      <c r="T97" s="97">
        <f>P97/O97</f>
        <v>0.87139093692691305</v>
      </c>
      <c r="U97" s="97">
        <f>Q97/O97</f>
        <v>0.82787995237373291</v>
      </c>
    </row>
    <row r="98" spans="1:21" ht="16">
      <c r="A98" s="59">
        <v>43677</v>
      </c>
      <c r="B98" s="91">
        <v>4588.96</v>
      </c>
      <c r="C98">
        <v>44237034.600000001</v>
      </c>
      <c r="D98">
        <v>443097</v>
      </c>
      <c r="E98">
        <v>748336.2</v>
      </c>
      <c r="F98">
        <v>63825.1</v>
      </c>
      <c r="G98">
        <v>1562786.2</v>
      </c>
      <c r="H98" s="92">
        <f>D98+E98</f>
        <v>1191433.2</v>
      </c>
      <c r="I98" s="93">
        <f>D98+E98-F98</f>
        <v>1127608.0999999999</v>
      </c>
      <c r="J98" s="94">
        <f>B98/C98</f>
        <v>1.0373570564786456E-4</v>
      </c>
      <c r="K98" s="95">
        <f t="shared" ref="K98:Q98" si="315">$J98*C98</f>
        <v>4588.96</v>
      </c>
      <c r="L98" s="96">
        <f t="shared" si="315"/>
        <v>45.964979965451839</v>
      </c>
      <c r="M98" s="96">
        <f t="shared" si="315"/>
        <v>77.6291837688415</v>
      </c>
      <c r="N98" s="96">
        <f t="shared" si="315"/>
        <v>6.6209417865455205</v>
      </c>
      <c r="O98" s="96">
        <f t="shared" si="315"/>
        <v>162.11672923374479</v>
      </c>
      <c r="P98" s="96">
        <f t="shared" si="315"/>
        <v>123.59416373429333</v>
      </c>
      <c r="Q98" s="96">
        <f t="shared" si="315"/>
        <v>116.9732219477478</v>
      </c>
      <c r="R98" s="97">
        <f>L98/O98</f>
        <v>0.28353014635015333</v>
      </c>
      <c r="S98" s="190">
        <f>L98/K98</f>
        <v>1.00164263723048E-2</v>
      </c>
      <c r="T98" s="97">
        <f>P98/O98</f>
        <v>0.76237760481888051</v>
      </c>
      <c r="U98" s="97">
        <f>Q98/O98</f>
        <v>0.72153702150684451</v>
      </c>
    </row>
    <row r="99" spans="1:21" ht="16">
      <c r="A99" s="59">
        <v>43708</v>
      </c>
      <c r="B99" s="91">
        <v>4507.66</v>
      </c>
      <c r="C99">
        <v>39985184.700000003</v>
      </c>
      <c r="D99">
        <f>539150.7+7909.6</f>
        <v>547060.29999999993</v>
      </c>
      <c r="E99">
        <v>809429.5</v>
      </c>
      <c r="F99">
        <v>72862.3</v>
      </c>
      <c r="G99">
        <v>1646866.1</v>
      </c>
      <c r="H99" s="92">
        <f>D99+E99</f>
        <v>1356489.7999999998</v>
      </c>
      <c r="I99" s="93">
        <f>D99+E99-F99</f>
        <v>1283627.4999999998</v>
      </c>
      <c r="J99" s="94">
        <f>B99/C99</f>
        <v>1.127332544246069E-4</v>
      </c>
      <c r="K99" s="95">
        <f>$J99*C99</f>
        <v>4507.66</v>
      </c>
      <c r="L99" s="96">
        <f>$J99*D99</f>
        <v>61.671887985501776</v>
      </c>
      <c r="M99" s="96">
        <f>$J99*E99</f>
        <v>91.249621762282359</v>
      </c>
      <c r="N99" s="96">
        <f>$J99*F99</f>
        <v>8.2140042038620358</v>
      </c>
      <c r="O99" s="96">
        <f>$J99*G99</f>
        <v>185.65657505456014</v>
      </c>
      <c r="P99" s="96">
        <f>$J99*H99</f>
        <v>152.92150974778411</v>
      </c>
      <c r="Q99" s="96">
        <f>$J99*I99</f>
        <v>144.70750554392208</v>
      </c>
      <c r="R99" s="97">
        <f>L99/O99</f>
        <v>0.33218262249736025</v>
      </c>
      <c r="S99" s="190">
        <f>L99/K99</f>
        <v>1.3681574915921294E-2</v>
      </c>
      <c r="T99" s="97">
        <f>P99/O99</f>
        <v>0.82367947218052495</v>
      </c>
      <c r="U99" s="97">
        <f>Q99/O99</f>
        <v>0.77943647027526997</v>
      </c>
    </row>
  </sheetData>
  <mergeCells count="2">
    <mergeCell ref="C2:I2"/>
    <mergeCell ref="K2:Q2"/>
  </mergeCells>
  <printOptions gridLines="1" gridLinesSet="0"/>
  <pageMargins left="0.75" right="0.75" top="1" bottom="1" header="0.5" footer="0.5"/>
  <pageSetup orientation="portrait" horizontalDpi="4294967292" verticalDpi="4294967292"/>
  <headerFooter alignWithMargins="0">
    <oddHeader>&amp;A</oddHeader>
    <oddFooter>Page &amp;P</oddFooter>
  </headerFooter>
  <tableParts count="1">
    <tablePart r:id="rId1"/>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63"/>
  <sheetViews>
    <sheetView topLeftCell="A42" workbookViewId="0">
      <selection activeCell="H63" sqref="G62:H63"/>
    </sheetView>
  </sheetViews>
  <sheetFormatPr baseColWidth="10" defaultRowHeight="14"/>
  <sheetData>
    <row r="1" spans="1:7">
      <c r="A1" s="68" t="s">
        <v>104</v>
      </c>
      <c r="B1" s="32" t="s">
        <v>105</v>
      </c>
      <c r="C1" s="32" t="s">
        <v>95</v>
      </c>
      <c r="D1" s="32" t="s">
        <v>106</v>
      </c>
      <c r="E1" s="32" t="s">
        <v>107</v>
      </c>
      <c r="F1" s="32" t="s">
        <v>108</v>
      </c>
      <c r="G1" s="32" t="s">
        <v>109</v>
      </c>
    </row>
    <row r="2" spans="1:7">
      <c r="A2" s="68">
        <v>1954</v>
      </c>
      <c r="B2" s="69">
        <v>2.5099999999999997E-2</v>
      </c>
      <c r="C2" s="69">
        <v>-3.7215999999999998E-3</v>
      </c>
      <c r="D2" s="69">
        <v>2.7866599999999998E-2</v>
      </c>
      <c r="E2" s="69">
        <f>C2+D2</f>
        <v>2.4145E-2</v>
      </c>
      <c r="F2" s="69">
        <f>B2-E2</f>
        <v>9.5499999999999752E-4</v>
      </c>
      <c r="G2" s="69">
        <f t="shared" ref="G2:G33" si="0">AVERAGE(E2:E6)</f>
        <v>4.3228079999999995E-2</v>
      </c>
    </row>
    <row r="3" spans="1:7">
      <c r="A3" s="68">
        <f>A2+1</f>
        <v>1955</v>
      </c>
      <c r="B3" s="69">
        <v>2.9600000000000001E-2</v>
      </c>
      <c r="C3" s="69">
        <v>3.7355000000000001E-3</v>
      </c>
      <c r="D3" s="69">
        <v>6.5739099999999995E-2</v>
      </c>
      <c r="E3" s="69">
        <f t="shared" ref="E3:E60" si="1">C3+D3</f>
        <v>6.9474599999999997E-2</v>
      </c>
      <c r="F3" s="69">
        <f t="shared" ref="F3:F60" si="2">B3-E3</f>
        <v>-3.9874599999999996E-2</v>
      </c>
      <c r="G3" s="69">
        <f t="shared" si="0"/>
        <v>5.1119099999999994E-2</v>
      </c>
    </row>
    <row r="4" spans="1:7">
      <c r="A4" s="68">
        <f t="shared" ref="A4:A60" si="3">A3+1</f>
        <v>1956</v>
      </c>
      <c r="B4" s="69">
        <v>3.5900000000000001E-2</v>
      </c>
      <c r="C4" s="69">
        <v>2.8284299999999998E-2</v>
      </c>
      <c r="D4" s="69">
        <v>1.8379E-2</v>
      </c>
      <c r="E4" s="69">
        <f t="shared" si="1"/>
        <v>4.6663299999999998E-2</v>
      </c>
      <c r="F4" s="69">
        <f t="shared" si="2"/>
        <v>-1.0763299999999996E-2</v>
      </c>
      <c r="G4" s="69">
        <f t="shared" si="0"/>
        <v>4.1194879999999996E-2</v>
      </c>
    </row>
    <row r="5" spans="1:7">
      <c r="A5" s="68">
        <f t="shared" si="3"/>
        <v>1957</v>
      </c>
      <c r="B5" s="69">
        <v>3.2099999999999997E-2</v>
      </c>
      <c r="C5" s="69">
        <v>3.0401699999999997E-2</v>
      </c>
      <c r="D5" s="69">
        <v>2.7109999999999999E-3</v>
      </c>
      <c r="E5" s="69">
        <f t="shared" si="1"/>
        <v>3.3112699999999995E-2</v>
      </c>
      <c r="F5" s="69">
        <f t="shared" si="2"/>
        <v>-1.0126999999999983E-3</v>
      </c>
      <c r="G5" s="69">
        <f t="shared" si="0"/>
        <v>4.5710299999999995E-2</v>
      </c>
    </row>
    <row r="6" spans="1:7">
      <c r="A6" s="68">
        <f t="shared" si="3"/>
        <v>1958</v>
      </c>
      <c r="B6" s="69">
        <v>3.8599999999999995E-2</v>
      </c>
      <c r="C6" s="69">
        <v>1.7562299999999999E-2</v>
      </c>
      <c r="D6" s="69">
        <v>2.51825E-2</v>
      </c>
      <c r="E6" s="69">
        <f t="shared" si="1"/>
        <v>4.2744799999999999E-2</v>
      </c>
      <c r="F6" s="69">
        <f t="shared" si="2"/>
        <v>-4.144800000000004E-3</v>
      </c>
      <c r="G6" s="69">
        <f t="shared" si="0"/>
        <v>4.9794779999999997E-2</v>
      </c>
    </row>
    <row r="7" spans="1:7">
      <c r="A7" s="68">
        <f t="shared" si="3"/>
        <v>1959</v>
      </c>
      <c r="B7" s="69">
        <v>4.6900000000000004E-2</v>
      </c>
      <c r="C7" s="69">
        <v>1.51881E-2</v>
      </c>
      <c r="D7" s="69">
        <v>4.8411999999999997E-2</v>
      </c>
      <c r="E7" s="69">
        <f t="shared" si="1"/>
        <v>6.3600099999999993E-2</v>
      </c>
      <c r="F7" s="69">
        <f t="shared" si="2"/>
        <v>-1.6700099999999989E-2</v>
      </c>
      <c r="G7" s="69">
        <f t="shared" si="0"/>
        <v>5.5144640000000002E-2</v>
      </c>
    </row>
    <row r="8" spans="1:7">
      <c r="A8" s="68">
        <f t="shared" si="3"/>
        <v>1960</v>
      </c>
      <c r="B8" s="69">
        <v>3.8399999999999997E-2</v>
      </c>
      <c r="C8" s="69">
        <v>1.36008E-2</v>
      </c>
      <c r="D8" s="69">
        <v>6.2526999999999999E-3</v>
      </c>
      <c r="E8" s="69">
        <f t="shared" si="1"/>
        <v>1.98535E-2</v>
      </c>
      <c r="F8" s="69">
        <f t="shared" si="2"/>
        <v>1.8546499999999997E-2</v>
      </c>
      <c r="G8" s="69">
        <f t="shared" si="0"/>
        <v>5.5047219999999994E-2</v>
      </c>
    </row>
    <row r="9" spans="1:7">
      <c r="A9" s="68">
        <f t="shared" si="3"/>
        <v>1961</v>
      </c>
      <c r="B9" s="69">
        <v>4.0599999999999997E-2</v>
      </c>
      <c r="C9" s="69">
        <v>6.7091999999999994E-3</v>
      </c>
      <c r="D9" s="69">
        <v>6.2531199999999995E-2</v>
      </c>
      <c r="E9" s="69">
        <f t="shared" si="1"/>
        <v>6.9240399999999994E-2</v>
      </c>
      <c r="F9" s="69">
        <f t="shared" si="2"/>
        <v>-2.8640399999999996E-2</v>
      </c>
      <c r="G9" s="69">
        <f t="shared" si="0"/>
        <v>7.1936059999999996E-2</v>
      </c>
    </row>
    <row r="10" spans="1:7">
      <c r="A10" s="68">
        <f t="shared" si="3"/>
        <v>1962</v>
      </c>
      <c r="B10" s="69">
        <v>3.8599999999999995E-2</v>
      </c>
      <c r="C10" s="69">
        <v>1.23292E-2</v>
      </c>
      <c r="D10" s="69">
        <v>4.1205899999999997E-2</v>
      </c>
      <c r="E10" s="69">
        <f t="shared" si="1"/>
        <v>5.3535099999999995E-2</v>
      </c>
      <c r="F10" s="69">
        <f t="shared" si="2"/>
        <v>-1.49351E-2</v>
      </c>
      <c r="G10" s="69">
        <f t="shared" si="0"/>
        <v>7.3428779999999999E-2</v>
      </c>
    </row>
    <row r="11" spans="1:7">
      <c r="A11" s="68">
        <f t="shared" si="3"/>
        <v>1963</v>
      </c>
      <c r="B11" s="69">
        <v>4.1299999999999996E-2</v>
      </c>
      <c r="C11" s="69">
        <v>1.6458199999999999E-2</v>
      </c>
      <c r="D11" s="69">
        <v>5.3035899999999997E-2</v>
      </c>
      <c r="E11" s="69">
        <f t="shared" si="1"/>
        <v>6.9494100000000003E-2</v>
      </c>
      <c r="F11" s="69">
        <f t="shared" si="2"/>
        <v>-2.8194100000000007E-2</v>
      </c>
      <c r="G11" s="69">
        <f t="shared" si="0"/>
        <v>7.4250659999999996E-2</v>
      </c>
    </row>
    <row r="12" spans="1:7">
      <c r="A12" s="68">
        <f t="shared" si="3"/>
        <v>1964</v>
      </c>
      <c r="B12" s="69">
        <v>4.1799999999999997E-2</v>
      </c>
      <c r="C12" s="69">
        <v>1.19819E-2</v>
      </c>
      <c r="D12" s="69">
        <v>5.1131099999999999E-2</v>
      </c>
      <c r="E12" s="69">
        <f t="shared" si="1"/>
        <v>6.3113000000000002E-2</v>
      </c>
      <c r="F12" s="69">
        <f t="shared" si="2"/>
        <v>-2.1313000000000006E-2</v>
      </c>
      <c r="G12" s="69">
        <f t="shared" si="0"/>
        <v>7.9674099999999998E-2</v>
      </c>
    </row>
    <row r="13" spans="1:7">
      <c r="A13" s="68">
        <f t="shared" si="3"/>
        <v>1965</v>
      </c>
      <c r="B13" s="69">
        <v>4.6199999999999998E-2</v>
      </c>
      <c r="C13" s="69">
        <v>1.9199999999999998E-2</v>
      </c>
      <c r="D13" s="69">
        <v>8.5097699999999998E-2</v>
      </c>
      <c r="E13" s="69">
        <f t="shared" si="1"/>
        <v>0.10429769999999999</v>
      </c>
      <c r="F13" s="69">
        <f t="shared" si="2"/>
        <v>-5.8097699999999995E-2</v>
      </c>
      <c r="G13" s="69">
        <f t="shared" si="0"/>
        <v>8.2916619999999996E-2</v>
      </c>
    </row>
    <row r="14" spans="1:7">
      <c r="A14" s="68">
        <f t="shared" si="3"/>
        <v>1966</v>
      </c>
      <c r="B14" s="69">
        <v>4.8399999999999999E-2</v>
      </c>
      <c r="C14" s="69">
        <v>3.3595E-2</v>
      </c>
      <c r="D14" s="69">
        <v>4.3109000000000001E-2</v>
      </c>
      <c r="E14" s="69">
        <f t="shared" si="1"/>
        <v>7.6703999999999994E-2</v>
      </c>
      <c r="F14" s="69">
        <f t="shared" si="2"/>
        <v>-2.8303999999999996E-2</v>
      </c>
      <c r="G14" s="69">
        <f t="shared" si="0"/>
        <v>7.2887779999999999E-2</v>
      </c>
    </row>
    <row r="15" spans="1:7">
      <c r="A15" s="68">
        <f t="shared" si="3"/>
        <v>1967</v>
      </c>
      <c r="B15" s="69">
        <v>5.7000000000000002E-2</v>
      </c>
      <c r="C15" s="69">
        <v>3.2806799999999997E-2</v>
      </c>
      <c r="D15" s="69">
        <v>2.4837699999999997E-2</v>
      </c>
      <c r="E15" s="69">
        <f t="shared" si="1"/>
        <v>5.7644499999999994E-2</v>
      </c>
      <c r="F15" s="69">
        <f t="shared" si="2"/>
        <v>-6.444999999999923E-4</v>
      </c>
      <c r="G15" s="69">
        <f t="shared" si="0"/>
        <v>7.2991E-2</v>
      </c>
    </row>
    <row r="16" spans="1:7">
      <c r="A16" s="68">
        <f t="shared" si="3"/>
        <v>1968</v>
      </c>
      <c r="B16" s="69">
        <v>6.0299999999999999E-2</v>
      </c>
      <c r="C16" s="69">
        <v>4.7058799999999998E-2</v>
      </c>
      <c r="D16" s="69">
        <v>4.9552500000000006E-2</v>
      </c>
      <c r="E16" s="69">
        <f t="shared" si="1"/>
        <v>9.6611300000000011E-2</v>
      </c>
      <c r="F16" s="69">
        <f t="shared" si="2"/>
        <v>-3.6311300000000012E-2</v>
      </c>
      <c r="G16" s="69">
        <f t="shared" si="0"/>
        <v>8.2140820000000003E-2</v>
      </c>
    </row>
    <row r="17" spans="1:7">
      <c r="A17" s="68">
        <f t="shared" si="3"/>
        <v>1969</v>
      </c>
      <c r="B17" s="69">
        <v>7.6499999999999999E-2</v>
      </c>
      <c r="C17" s="69">
        <v>5.8988800000000001E-2</v>
      </c>
      <c r="D17" s="69">
        <v>2.0336799999999999E-2</v>
      </c>
      <c r="E17" s="69">
        <f t="shared" si="1"/>
        <v>7.9325599999999996E-2</v>
      </c>
      <c r="F17" s="69">
        <f t="shared" si="2"/>
        <v>-2.8255999999999976E-3</v>
      </c>
      <c r="G17" s="69">
        <f t="shared" si="0"/>
        <v>8.9049519999999993E-2</v>
      </c>
    </row>
    <row r="18" spans="1:7">
      <c r="A18" s="68">
        <f t="shared" si="3"/>
        <v>1970</v>
      </c>
      <c r="B18" s="69">
        <v>6.3899999999999998E-2</v>
      </c>
      <c r="C18" s="69">
        <v>5.57029E-2</v>
      </c>
      <c r="D18" s="69">
        <v>-1.5494E-3</v>
      </c>
      <c r="E18" s="69">
        <f t="shared" si="1"/>
        <v>5.41535E-2</v>
      </c>
      <c r="F18" s="69">
        <f t="shared" si="2"/>
        <v>9.7464999999999982E-3</v>
      </c>
      <c r="G18" s="69">
        <f t="shared" si="0"/>
        <v>9.3389659999999999E-2</v>
      </c>
    </row>
    <row r="19" spans="1:7">
      <c r="A19" s="68">
        <f t="shared" si="3"/>
        <v>1971</v>
      </c>
      <c r="B19" s="69">
        <v>5.9299999999999999E-2</v>
      </c>
      <c r="C19" s="69">
        <v>3.2663299999999999E-2</v>
      </c>
      <c r="D19" s="69">
        <v>4.4556800000000001E-2</v>
      </c>
      <c r="E19" s="69">
        <f t="shared" si="1"/>
        <v>7.72201E-2</v>
      </c>
      <c r="F19" s="69">
        <f t="shared" si="2"/>
        <v>-1.7920100000000001E-2</v>
      </c>
      <c r="G19" s="69">
        <f t="shared" si="0"/>
        <v>0.10189322000000001</v>
      </c>
    </row>
    <row r="20" spans="1:7">
      <c r="A20" s="68">
        <f t="shared" si="3"/>
        <v>1972</v>
      </c>
      <c r="B20" s="69">
        <v>6.3600000000000004E-2</v>
      </c>
      <c r="C20" s="69">
        <v>3.4063299999999998E-2</v>
      </c>
      <c r="D20" s="69">
        <v>6.9330299999999997E-2</v>
      </c>
      <c r="E20" s="69">
        <f t="shared" si="1"/>
        <v>0.1033936</v>
      </c>
      <c r="F20" s="69">
        <f t="shared" si="2"/>
        <v>-3.9793599999999998E-2</v>
      </c>
      <c r="G20" s="69">
        <f t="shared" si="0"/>
        <v>0.10511906</v>
      </c>
    </row>
    <row r="21" spans="1:7">
      <c r="A21" s="68">
        <f t="shared" si="3"/>
        <v>1973</v>
      </c>
      <c r="B21" s="69">
        <v>6.7400000000000002E-2</v>
      </c>
      <c r="C21" s="69">
        <v>8.9411799999999986E-2</v>
      </c>
      <c r="D21" s="69">
        <v>4.1742999999999995E-2</v>
      </c>
      <c r="E21" s="69">
        <f t="shared" si="1"/>
        <v>0.13115479999999999</v>
      </c>
      <c r="F21" s="69">
        <f t="shared" si="2"/>
        <v>-6.3754799999999986E-2</v>
      </c>
      <c r="G21" s="69">
        <f t="shared" si="0"/>
        <v>0.10778281999999999</v>
      </c>
    </row>
    <row r="22" spans="1:7">
      <c r="A22" s="68">
        <f t="shared" si="3"/>
        <v>1974</v>
      </c>
      <c r="B22" s="69">
        <v>7.4299999999999991E-2</v>
      </c>
      <c r="C22" s="69">
        <v>0.1209503</v>
      </c>
      <c r="D22" s="69">
        <v>-1.9924000000000001E-2</v>
      </c>
      <c r="E22" s="69">
        <f t="shared" si="1"/>
        <v>0.1010263</v>
      </c>
      <c r="F22" s="69">
        <f t="shared" si="2"/>
        <v>-2.6726300000000008E-2</v>
      </c>
      <c r="G22" s="69">
        <f t="shared" si="0"/>
        <v>0.11294081999999998</v>
      </c>
    </row>
    <row r="23" spans="1:7">
      <c r="A23" s="68">
        <f t="shared" si="3"/>
        <v>1975</v>
      </c>
      <c r="B23" s="69">
        <v>0.08</v>
      </c>
      <c r="C23" s="69">
        <v>7.129089999999999E-2</v>
      </c>
      <c r="D23" s="69">
        <v>2.5380400000000001E-2</v>
      </c>
      <c r="E23" s="69">
        <f t="shared" si="1"/>
        <v>9.6671299999999988E-2</v>
      </c>
      <c r="F23" s="69">
        <f t="shared" si="2"/>
        <v>-1.6671299999999986E-2</v>
      </c>
      <c r="G23" s="69">
        <f t="shared" si="0"/>
        <v>0.12176435999999999</v>
      </c>
    </row>
    <row r="24" spans="1:7">
      <c r="A24" s="68">
        <f t="shared" si="3"/>
        <v>1976</v>
      </c>
      <c r="B24" s="69">
        <v>6.8699999999999997E-2</v>
      </c>
      <c r="C24" s="69">
        <v>5.03597E-2</v>
      </c>
      <c r="D24" s="69">
        <v>4.2989600000000003E-2</v>
      </c>
      <c r="E24" s="69">
        <f t="shared" si="1"/>
        <v>9.3349299999999996E-2</v>
      </c>
      <c r="F24" s="69">
        <f t="shared" si="2"/>
        <v>-2.4649299999999999E-2</v>
      </c>
      <c r="G24" s="69">
        <f t="shared" si="0"/>
        <v>0.12693019999999999</v>
      </c>
    </row>
    <row r="25" spans="1:7">
      <c r="A25" s="68">
        <f t="shared" si="3"/>
        <v>1977</v>
      </c>
      <c r="B25" s="69">
        <v>7.690000000000001E-2</v>
      </c>
      <c r="C25" s="69">
        <v>6.6780800000000001E-2</v>
      </c>
      <c r="D25" s="69">
        <v>4.9931599999999993E-2</v>
      </c>
      <c r="E25" s="69">
        <f t="shared" si="1"/>
        <v>0.11671239999999999</v>
      </c>
      <c r="F25" s="69">
        <f t="shared" si="2"/>
        <v>-3.9812399999999984E-2</v>
      </c>
      <c r="G25" s="69">
        <f t="shared" si="0"/>
        <v>0.12852046</v>
      </c>
    </row>
    <row r="26" spans="1:7">
      <c r="A26" s="68">
        <f t="shared" si="3"/>
        <v>1978</v>
      </c>
      <c r="B26" s="69">
        <v>9.01E-2</v>
      </c>
      <c r="C26" s="69">
        <v>8.9887599999999998E-2</v>
      </c>
      <c r="D26" s="69">
        <v>6.7057199999999997E-2</v>
      </c>
      <c r="E26" s="69">
        <f t="shared" si="1"/>
        <v>0.1569448</v>
      </c>
      <c r="F26" s="69">
        <f t="shared" si="2"/>
        <v>-6.6844799999999996E-2</v>
      </c>
      <c r="G26" s="69">
        <f t="shared" si="0"/>
        <v>0.11000590000000002</v>
      </c>
    </row>
    <row r="27" spans="1:7">
      <c r="A27" s="68">
        <f t="shared" si="3"/>
        <v>1979</v>
      </c>
      <c r="B27" s="69">
        <v>0.10390000000000001</v>
      </c>
      <c r="C27" s="69">
        <v>0.1325479</v>
      </c>
      <c r="D27" s="69">
        <v>1.2596099999999999E-2</v>
      </c>
      <c r="E27" s="69">
        <f t="shared" si="1"/>
        <v>0.145144</v>
      </c>
      <c r="F27" s="69">
        <f t="shared" si="2"/>
        <v>-4.1243999999999989E-2</v>
      </c>
      <c r="G27" s="69">
        <f t="shared" si="0"/>
        <v>0.10167699999999999</v>
      </c>
    </row>
    <row r="28" spans="1:7">
      <c r="A28" s="68">
        <f t="shared" si="3"/>
        <v>1980</v>
      </c>
      <c r="B28" s="69">
        <v>0.12839999999999999</v>
      </c>
      <c r="C28" s="69">
        <v>0.1235371</v>
      </c>
      <c r="D28" s="69">
        <v>-1.0365999999999999E-3</v>
      </c>
      <c r="E28" s="69">
        <f t="shared" si="1"/>
        <v>0.1225005</v>
      </c>
      <c r="F28" s="69">
        <f t="shared" si="2"/>
        <v>5.8994999999999881E-3</v>
      </c>
      <c r="G28" s="69">
        <f t="shared" si="0"/>
        <v>9.185488E-2</v>
      </c>
    </row>
    <row r="29" spans="1:7">
      <c r="A29" s="68">
        <f t="shared" si="3"/>
        <v>1981</v>
      </c>
      <c r="B29" s="69">
        <v>0.13720000000000002</v>
      </c>
      <c r="C29" s="69">
        <v>8.9120399999999989E-2</v>
      </c>
      <c r="D29" s="69">
        <v>1.21802E-2</v>
      </c>
      <c r="E29" s="69">
        <f t="shared" si="1"/>
        <v>0.10130059999999999</v>
      </c>
      <c r="F29" s="69">
        <f t="shared" si="2"/>
        <v>3.5899400000000026E-2</v>
      </c>
      <c r="G29" s="69">
        <f t="shared" si="0"/>
        <v>8.3283540000000003E-2</v>
      </c>
    </row>
    <row r="30" spans="1:7">
      <c r="A30" s="68">
        <f t="shared" si="3"/>
        <v>1982</v>
      </c>
      <c r="B30" s="69">
        <v>0.10539999999999999</v>
      </c>
      <c r="C30" s="69">
        <v>3.8257199999999998E-2</v>
      </c>
      <c r="D30" s="69">
        <v>-1.4117599999999999E-2</v>
      </c>
      <c r="E30" s="69">
        <f t="shared" si="1"/>
        <v>2.4139599999999997E-2</v>
      </c>
      <c r="F30" s="69">
        <f t="shared" si="2"/>
        <v>8.1260399999999997E-2</v>
      </c>
      <c r="G30" s="69">
        <f t="shared" si="0"/>
        <v>7.1075539999999993E-2</v>
      </c>
    </row>
    <row r="31" spans="1:7">
      <c r="A31" s="68">
        <f t="shared" si="3"/>
        <v>1983</v>
      </c>
      <c r="B31" s="69">
        <v>0.1183</v>
      </c>
      <c r="C31" s="69">
        <v>3.7871000000000002E-2</v>
      </c>
      <c r="D31" s="69">
        <v>7.7429300000000006E-2</v>
      </c>
      <c r="E31" s="69">
        <f t="shared" si="1"/>
        <v>0.11530030000000001</v>
      </c>
      <c r="F31" s="69">
        <f t="shared" si="2"/>
        <v>2.999699999999994E-3</v>
      </c>
      <c r="G31" s="69">
        <f t="shared" si="0"/>
        <v>8.3429779999999995E-2</v>
      </c>
    </row>
    <row r="32" spans="1:7">
      <c r="A32" s="68">
        <f t="shared" si="3"/>
        <v>1984</v>
      </c>
      <c r="B32" s="69">
        <v>0.115</v>
      </c>
      <c r="C32" s="69">
        <v>4.0433899999999995E-2</v>
      </c>
      <c r="D32" s="69">
        <v>5.5599499999999996E-2</v>
      </c>
      <c r="E32" s="69">
        <f t="shared" si="1"/>
        <v>9.6033399999999991E-2</v>
      </c>
      <c r="F32" s="69">
        <f t="shared" si="2"/>
        <v>1.8966600000000014E-2</v>
      </c>
      <c r="G32" s="69">
        <f t="shared" si="0"/>
        <v>7.6592899999999992E-2</v>
      </c>
    </row>
    <row r="33" spans="1:7">
      <c r="A33" s="68">
        <f t="shared" si="3"/>
        <v>1985</v>
      </c>
      <c r="B33" s="69">
        <v>9.2600000000000002E-2</v>
      </c>
      <c r="C33" s="69">
        <v>3.7914699999999996E-2</v>
      </c>
      <c r="D33" s="69">
        <v>4.1729099999999998E-2</v>
      </c>
      <c r="E33" s="69">
        <f t="shared" si="1"/>
        <v>7.9643799999999987E-2</v>
      </c>
      <c r="F33" s="69">
        <f t="shared" si="2"/>
        <v>1.2956200000000015E-2</v>
      </c>
      <c r="G33" s="69">
        <f t="shared" si="0"/>
        <v>7.2113559999999993E-2</v>
      </c>
    </row>
    <row r="34" spans="1:7">
      <c r="A34" s="68">
        <f t="shared" si="3"/>
        <v>1986</v>
      </c>
      <c r="B34" s="69">
        <v>7.1099999999999997E-2</v>
      </c>
      <c r="C34" s="69">
        <v>1.1872100000000002E-2</v>
      </c>
      <c r="D34" s="69">
        <v>2.8388499999999997E-2</v>
      </c>
      <c r="E34" s="69">
        <f t="shared" si="1"/>
        <v>4.0260600000000001E-2</v>
      </c>
      <c r="F34" s="69">
        <f t="shared" si="2"/>
        <v>3.0839399999999996E-2</v>
      </c>
      <c r="G34" s="69">
        <f t="shared" ref="G34:G55" si="4">AVERAGE(E34:E38)</f>
        <v>6.9805819999999991E-2</v>
      </c>
    </row>
    <row r="35" spans="1:7">
      <c r="A35" s="68">
        <f t="shared" si="3"/>
        <v>1987</v>
      </c>
      <c r="B35" s="69">
        <v>8.9900000000000008E-2</v>
      </c>
      <c r="C35" s="69">
        <v>4.33213E-2</v>
      </c>
      <c r="D35" s="69">
        <v>4.2589499999999995E-2</v>
      </c>
      <c r="E35" s="69">
        <f t="shared" si="1"/>
        <v>8.5910799999999996E-2</v>
      </c>
      <c r="F35" s="69">
        <f t="shared" si="2"/>
        <v>3.9892000000000122E-3</v>
      </c>
      <c r="G35" s="69">
        <f t="shared" si="4"/>
        <v>6.9724480000000005E-2</v>
      </c>
    </row>
    <row r="36" spans="1:7">
      <c r="A36" s="68">
        <f t="shared" si="3"/>
        <v>1988</v>
      </c>
      <c r="B36" s="69">
        <v>9.11E-2</v>
      </c>
      <c r="C36" s="69">
        <v>4.41176E-2</v>
      </c>
      <c r="D36" s="69">
        <v>3.6998299999999998E-2</v>
      </c>
      <c r="E36" s="69">
        <f t="shared" si="1"/>
        <v>8.1115899999999991E-2</v>
      </c>
      <c r="F36" s="69">
        <f t="shared" si="2"/>
        <v>9.9841000000000096E-3</v>
      </c>
      <c r="G36" s="69">
        <f t="shared" si="4"/>
        <v>6.7098699999999997E-2</v>
      </c>
    </row>
    <row r="37" spans="1:7">
      <c r="A37" s="68">
        <f t="shared" si="3"/>
        <v>1989</v>
      </c>
      <c r="B37" s="69">
        <v>7.8399999999999997E-2</v>
      </c>
      <c r="C37" s="69">
        <v>4.6396E-2</v>
      </c>
      <c r="D37" s="69">
        <v>2.7240700000000003E-2</v>
      </c>
      <c r="E37" s="69">
        <f t="shared" si="1"/>
        <v>7.3636699999999999E-2</v>
      </c>
      <c r="F37" s="69">
        <f t="shared" si="2"/>
        <v>4.7632999999999981E-3</v>
      </c>
      <c r="G37" s="69">
        <f t="shared" si="4"/>
        <v>6.1886399999999994E-2</v>
      </c>
    </row>
    <row r="38" spans="1:7">
      <c r="A38" s="68">
        <f t="shared" si="3"/>
        <v>1990</v>
      </c>
      <c r="B38" s="69">
        <v>8.0799999999999997E-2</v>
      </c>
      <c r="C38" s="69">
        <v>6.2549499999999994E-2</v>
      </c>
      <c r="D38" s="69">
        <v>5.5556000000000008E-3</v>
      </c>
      <c r="E38" s="69">
        <f t="shared" si="1"/>
        <v>6.8105100000000002E-2</v>
      </c>
      <c r="F38" s="69">
        <f t="shared" si="2"/>
        <v>1.2694899999999995E-2</v>
      </c>
      <c r="G38" s="69">
        <f t="shared" si="4"/>
        <v>6.0669819999999999E-2</v>
      </c>
    </row>
    <row r="39" spans="1:7">
      <c r="A39" s="68">
        <f t="shared" si="3"/>
        <v>1991</v>
      </c>
      <c r="B39" s="69">
        <v>7.0900000000000005E-2</v>
      </c>
      <c r="C39" s="69">
        <v>2.9806300000000001E-2</v>
      </c>
      <c r="D39" s="69">
        <v>1.00476E-2</v>
      </c>
      <c r="E39" s="69">
        <f t="shared" si="1"/>
        <v>3.9853899999999998E-2</v>
      </c>
      <c r="F39" s="69">
        <f t="shared" si="2"/>
        <v>3.1046100000000007E-2</v>
      </c>
      <c r="G39" s="69">
        <f t="shared" si="4"/>
        <v>5.6134119999999996E-2</v>
      </c>
    </row>
    <row r="40" spans="1:7">
      <c r="A40" s="68">
        <f t="shared" si="3"/>
        <v>1992</v>
      </c>
      <c r="B40" s="69">
        <v>6.7699999999999996E-2</v>
      </c>
      <c r="C40" s="69">
        <v>2.9667099999999998E-2</v>
      </c>
      <c r="D40" s="69">
        <v>4.3114800000000002E-2</v>
      </c>
      <c r="E40" s="69">
        <f t="shared" si="1"/>
        <v>7.2781899999999997E-2</v>
      </c>
      <c r="F40" s="69">
        <f t="shared" si="2"/>
        <v>-5.0819000000000003E-3</v>
      </c>
      <c r="G40" s="69">
        <f t="shared" si="4"/>
        <v>6.3811179999999995E-2</v>
      </c>
    </row>
    <row r="41" spans="1:7">
      <c r="A41" s="68">
        <f t="shared" si="3"/>
        <v>1993</v>
      </c>
      <c r="B41" s="69">
        <v>5.7699999999999994E-2</v>
      </c>
      <c r="C41" s="69">
        <v>2.8109600000000002E-2</v>
      </c>
      <c r="D41" s="69">
        <v>2.6944800000000001E-2</v>
      </c>
      <c r="E41" s="69">
        <f t="shared" si="1"/>
        <v>5.5054400000000003E-2</v>
      </c>
      <c r="F41" s="69">
        <f t="shared" si="2"/>
        <v>2.645599999999991E-3</v>
      </c>
      <c r="G41" s="69">
        <f t="shared" si="4"/>
        <v>6.1329759999999997E-2</v>
      </c>
    </row>
    <row r="42" spans="1:7">
      <c r="A42" s="68">
        <f t="shared" si="3"/>
        <v>1994</v>
      </c>
      <c r="B42" s="69">
        <v>7.8100000000000003E-2</v>
      </c>
      <c r="C42" s="69">
        <v>2.5974000000000001E-2</v>
      </c>
      <c r="D42" s="69">
        <v>4.15798E-2</v>
      </c>
      <c r="E42" s="69">
        <f t="shared" si="1"/>
        <v>6.7553799999999997E-2</v>
      </c>
      <c r="F42" s="69">
        <f t="shared" si="2"/>
        <v>1.0546200000000006E-2</v>
      </c>
      <c r="G42" s="69">
        <f t="shared" si="4"/>
        <v>6.349842E-2</v>
      </c>
    </row>
    <row r="43" spans="1:7">
      <c r="A43" s="68">
        <f t="shared" si="3"/>
        <v>1995</v>
      </c>
      <c r="B43" s="69">
        <v>5.7099999999999998E-2</v>
      </c>
      <c r="C43" s="69">
        <v>2.5316499999999999E-2</v>
      </c>
      <c r="D43" s="69">
        <v>2.0110100000000002E-2</v>
      </c>
      <c r="E43" s="69">
        <f t="shared" si="1"/>
        <v>4.5426599999999998E-2</v>
      </c>
      <c r="F43" s="69">
        <f t="shared" si="2"/>
        <v>1.16734E-2</v>
      </c>
      <c r="G43" s="69">
        <f t="shared" si="4"/>
        <v>6.4983659999999999E-2</v>
      </c>
    </row>
    <row r="44" spans="1:7">
      <c r="A44" s="68">
        <f t="shared" si="3"/>
        <v>1996</v>
      </c>
      <c r="B44" s="69">
        <v>6.3E-2</v>
      </c>
      <c r="C44" s="69">
        <v>3.3788200000000004E-2</v>
      </c>
      <c r="D44" s="69">
        <v>4.4450999999999997E-2</v>
      </c>
      <c r="E44" s="69">
        <f t="shared" si="1"/>
        <v>7.8239200000000009E-2</v>
      </c>
      <c r="F44" s="69">
        <f t="shared" si="2"/>
        <v>-1.5239200000000008E-2</v>
      </c>
      <c r="G44" s="69">
        <f t="shared" si="4"/>
        <v>6.8589659999999997E-2</v>
      </c>
    </row>
    <row r="45" spans="1:7">
      <c r="A45" s="68">
        <f t="shared" si="3"/>
        <v>1997</v>
      </c>
      <c r="B45" s="69">
        <v>5.8099999999999999E-2</v>
      </c>
      <c r="C45" s="69">
        <v>1.6970499999999999E-2</v>
      </c>
      <c r="D45" s="69">
        <v>4.3404299999999993E-2</v>
      </c>
      <c r="E45" s="69">
        <f t="shared" si="1"/>
        <v>6.0374799999999992E-2</v>
      </c>
      <c r="F45" s="69">
        <f t="shared" si="2"/>
        <v>-2.2747999999999935E-3</v>
      </c>
      <c r="G45" s="69">
        <f t="shared" si="4"/>
        <v>5.6943859999999999E-2</v>
      </c>
    </row>
    <row r="46" spans="1:7">
      <c r="A46" s="68">
        <f t="shared" si="3"/>
        <v>1998</v>
      </c>
      <c r="B46" s="69">
        <v>4.6500000000000007E-2</v>
      </c>
      <c r="C46" s="69">
        <v>1.6069199999999999E-2</v>
      </c>
      <c r="D46" s="69">
        <v>4.9828499999999998E-2</v>
      </c>
      <c r="E46" s="69">
        <f t="shared" si="1"/>
        <v>6.5897700000000003E-2</v>
      </c>
      <c r="F46" s="69">
        <f t="shared" si="2"/>
        <v>-1.9397699999999997E-2</v>
      </c>
      <c r="G46" s="69">
        <f t="shared" si="4"/>
        <v>5.3709819999999998E-2</v>
      </c>
    </row>
    <row r="47" spans="1:7">
      <c r="A47" s="68">
        <f t="shared" si="3"/>
        <v>1999</v>
      </c>
      <c r="B47" s="69">
        <v>6.2800000000000009E-2</v>
      </c>
      <c r="C47" s="69">
        <v>2.6764E-2</v>
      </c>
      <c r="D47" s="69">
        <v>4.8216000000000002E-2</v>
      </c>
      <c r="E47" s="69">
        <f t="shared" si="1"/>
        <v>7.4980000000000005E-2</v>
      </c>
      <c r="F47" s="69">
        <f t="shared" si="2"/>
        <v>-1.2179999999999996E-2</v>
      </c>
      <c r="G47" s="69">
        <f t="shared" si="4"/>
        <v>5.2331080000000009E-2</v>
      </c>
    </row>
    <row r="48" spans="1:7">
      <c r="A48" s="68">
        <f t="shared" si="3"/>
        <v>2000</v>
      </c>
      <c r="B48" s="69">
        <v>5.2400000000000002E-2</v>
      </c>
      <c r="C48" s="69">
        <v>3.43602E-2</v>
      </c>
      <c r="D48" s="69">
        <v>2.9096400000000001E-2</v>
      </c>
      <c r="E48" s="69">
        <f t="shared" si="1"/>
        <v>6.3456600000000002E-2</v>
      </c>
      <c r="F48" s="69">
        <f t="shared" si="2"/>
        <v>-1.10566E-2</v>
      </c>
      <c r="G48" s="69">
        <f t="shared" si="4"/>
        <v>4.9811099999999997E-2</v>
      </c>
    </row>
    <row r="49" spans="1:7">
      <c r="A49" s="68">
        <f t="shared" si="3"/>
        <v>2001</v>
      </c>
      <c r="B49" s="69">
        <v>5.0900000000000001E-2</v>
      </c>
      <c r="C49" s="69">
        <v>1.6036700000000001E-2</v>
      </c>
      <c r="D49" s="69">
        <v>3.9734999999999996E-3</v>
      </c>
      <c r="E49" s="69">
        <f t="shared" si="1"/>
        <v>2.0010199999999999E-2</v>
      </c>
      <c r="F49" s="69">
        <f t="shared" si="2"/>
        <v>3.0889800000000002E-2</v>
      </c>
      <c r="G49" s="69">
        <f t="shared" si="4"/>
        <v>4.9422039999999993E-2</v>
      </c>
    </row>
    <row r="50" spans="1:7">
      <c r="A50" s="68">
        <f t="shared" si="3"/>
        <v>2002</v>
      </c>
      <c r="B50" s="69">
        <v>4.0300000000000002E-2</v>
      </c>
      <c r="C50" s="69">
        <v>2.48027E-2</v>
      </c>
      <c r="D50" s="69">
        <v>1.94019E-2</v>
      </c>
      <c r="E50" s="69">
        <f t="shared" si="1"/>
        <v>4.4204599999999997E-2</v>
      </c>
      <c r="F50" s="69">
        <f t="shared" si="2"/>
        <v>-3.9045999999999942E-3</v>
      </c>
      <c r="G50" s="69">
        <f t="shared" si="4"/>
        <v>5.5223140000000004E-2</v>
      </c>
    </row>
    <row r="51" spans="1:7">
      <c r="A51" s="68">
        <f t="shared" si="3"/>
        <v>2003</v>
      </c>
      <c r="B51" s="69">
        <v>4.2699999999999995E-2</v>
      </c>
      <c r="C51" s="69">
        <v>2.0352000000000002E-2</v>
      </c>
      <c r="D51" s="69">
        <v>3.8651999999999999E-2</v>
      </c>
      <c r="E51" s="69">
        <f t="shared" si="1"/>
        <v>5.9004000000000001E-2</v>
      </c>
      <c r="F51" s="69">
        <f t="shared" si="2"/>
        <v>-1.6304000000000006E-2</v>
      </c>
      <c r="G51" s="69">
        <f t="shared" si="4"/>
        <v>5.9011419999999995E-2</v>
      </c>
    </row>
    <row r="52" spans="1:7">
      <c r="A52" s="68">
        <f t="shared" si="3"/>
        <v>2004</v>
      </c>
      <c r="B52" s="69">
        <v>4.2300000000000004E-2</v>
      </c>
      <c r="C52" s="69">
        <v>3.34232E-2</v>
      </c>
      <c r="D52" s="69">
        <v>2.8956900000000001E-2</v>
      </c>
      <c r="E52" s="69">
        <f t="shared" si="1"/>
        <v>6.2380100000000001E-2</v>
      </c>
      <c r="F52" s="69">
        <f t="shared" si="2"/>
        <v>-2.0080099999999997E-2</v>
      </c>
      <c r="G52" s="69">
        <f t="shared" si="4"/>
        <v>4.0524999999999999E-2</v>
      </c>
    </row>
    <row r="53" spans="1:7">
      <c r="A53" s="68">
        <f t="shared" si="3"/>
        <v>2005</v>
      </c>
      <c r="B53" s="69">
        <v>4.4699999999999997E-2</v>
      </c>
      <c r="C53" s="69">
        <v>3.3385499999999999E-2</v>
      </c>
      <c r="D53" s="69">
        <v>2.8125799999999999E-2</v>
      </c>
      <c r="E53" s="69">
        <f t="shared" si="1"/>
        <v>6.1511299999999998E-2</v>
      </c>
      <c r="F53" s="69">
        <f t="shared" si="2"/>
        <v>-1.6811300000000001E-2</v>
      </c>
      <c r="G53" s="69">
        <f t="shared" si="4"/>
        <v>3.3532820000000005E-2</v>
      </c>
    </row>
    <row r="54" spans="1:7">
      <c r="A54" s="68">
        <f t="shared" si="3"/>
        <v>2006</v>
      </c>
      <c r="B54" s="69">
        <v>4.5599999999999995E-2</v>
      </c>
      <c r="C54" s="69">
        <v>2.52398E-2</v>
      </c>
      <c r="D54" s="69">
        <v>2.3775900000000003E-2</v>
      </c>
      <c r="E54" s="69">
        <f t="shared" si="1"/>
        <v>4.9015700000000002E-2</v>
      </c>
      <c r="F54" s="69">
        <f t="shared" si="2"/>
        <v>-3.4157000000000076E-3</v>
      </c>
      <c r="G54" s="69">
        <f t="shared" si="4"/>
        <v>2.8872379999999996E-2</v>
      </c>
    </row>
    <row r="55" spans="1:7">
      <c r="A55" s="68">
        <f t="shared" si="3"/>
        <v>2007</v>
      </c>
      <c r="B55" s="69">
        <v>4.0999999999999995E-2</v>
      </c>
      <c r="C55" s="69">
        <v>4.1088100000000002E-2</v>
      </c>
      <c r="D55" s="69">
        <v>2.2057899999999998E-2</v>
      </c>
      <c r="E55" s="69">
        <f t="shared" si="1"/>
        <v>6.3146000000000008E-2</v>
      </c>
      <c r="F55" s="69">
        <f t="shared" si="2"/>
        <v>-2.2146000000000013E-2</v>
      </c>
      <c r="G55" s="69">
        <f t="shared" si="4"/>
        <v>2.906108E-2</v>
      </c>
    </row>
    <row r="56" spans="1:7">
      <c r="A56" s="68">
        <f t="shared" si="3"/>
        <v>2008</v>
      </c>
      <c r="B56" s="69">
        <v>2.4199999999999999E-2</v>
      </c>
      <c r="C56" s="69">
        <v>-2.2230000000000001E-4</v>
      </c>
      <c r="D56" s="69">
        <v>-3.3205800000000001E-2</v>
      </c>
      <c r="E56" s="69">
        <f t="shared" si="1"/>
        <v>-3.3428100000000002E-2</v>
      </c>
      <c r="F56" s="69">
        <f t="shared" si="2"/>
        <v>5.7628100000000002E-2</v>
      </c>
    </row>
    <row r="57" spans="1:7">
      <c r="A57" s="68">
        <f t="shared" si="3"/>
        <v>2009</v>
      </c>
      <c r="B57" s="69">
        <v>3.5900000000000001E-2</v>
      </c>
      <c r="C57" s="69">
        <v>2.8226399999999999E-2</v>
      </c>
      <c r="D57" s="69">
        <v>-8.072E-4</v>
      </c>
      <c r="E57" s="69">
        <f t="shared" si="1"/>
        <v>2.7419199999999998E-2</v>
      </c>
      <c r="F57" s="69">
        <f t="shared" si="2"/>
        <v>8.4808000000000036E-3</v>
      </c>
    </row>
    <row r="58" spans="1:7">
      <c r="A58" s="68">
        <f t="shared" si="3"/>
        <v>2010</v>
      </c>
      <c r="B58" s="69">
        <v>3.2899999999999999E-2</v>
      </c>
      <c r="C58" s="69">
        <v>1.4275500000000002E-2</v>
      </c>
      <c r="D58" s="69">
        <v>2.3933599999999999E-2</v>
      </c>
      <c r="E58" s="69">
        <f t="shared" si="1"/>
        <v>3.8209100000000003E-2</v>
      </c>
      <c r="F58" s="69">
        <f t="shared" si="2"/>
        <v>-5.3091000000000041E-3</v>
      </c>
    </row>
    <row r="59" spans="1:7">
      <c r="A59" s="68">
        <f t="shared" si="3"/>
        <v>2011</v>
      </c>
      <c r="B59" s="69">
        <v>1.9799999999999998E-2</v>
      </c>
      <c r="C59" s="69">
        <v>3.02493E-2</v>
      </c>
      <c r="D59" s="69">
        <v>1.9709899999999999E-2</v>
      </c>
      <c r="E59" s="69">
        <f t="shared" si="1"/>
        <v>4.9959199999999995E-2</v>
      </c>
      <c r="F59" s="69">
        <f t="shared" si="2"/>
        <v>-3.0159199999999997E-2</v>
      </c>
    </row>
    <row r="60" spans="1:7">
      <c r="A60" s="68">
        <f t="shared" si="3"/>
        <v>2012</v>
      </c>
      <c r="B60" s="69">
        <v>1.72E-2</v>
      </c>
      <c r="C60" s="69">
        <v>1.7610500000000001E-2</v>
      </c>
      <c r="D60" s="69">
        <v>1.66952E-2</v>
      </c>
      <c r="E60" s="69">
        <f t="shared" si="1"/>
        <v>3.4305700000000001E-2</v>
      </c>
      <c r="F60" s="69">
        <f t="shared" si="2"/>
        <v>-1.7105700000000001E-2</v>
      </c>
    </row>
    <row r="61" spans="1:7">
      <c r="A61" s="68" t="s">
        <v>110</v>
      </c>
      <c r="B61" s="27">
        <v>6.11084745762712E-2</v>
      </c>
      <c r="C61" s="27">
        <v>3.75342593220339E-2</v>
      </c>
      <c r="D61" s="27">
        <v>3.0815452542372886E-2</v>
      </c>
      <c r="E61" s="27">
        <f>AVERAGE(E2:E60)</f>
        <v>6.8349711864406776E-2</v>
      </c>
      <c r="F61" s="27">
        <f>AVERAGE(F2:F60)</f>
        <v>-7.2412372881355894E-3</v>
      </c>
      <c r="G61" s="27"/>
    </row>
    <row r="62" spans="1:7">
      <c r="A62" s="68" t="s">
        <v>111</v>
      </c>
      <c r="B62" s="27">
        <v>5.8288888888888897E-2</v>
      </c>
      <c r="C62" s="27">
        <v>4.4865725925925921E-2</v>
      </c>
      <c r="D62" s="27">
        <v>3.5424285185185173E-2</v>
      </c>
      <c r="E62" s="27">
        <f>AVERAGE(E2:E28)</f>
        <v>8.0290011111111101E-2</v>
      </c>
      <c r="F62" s="27">
        <f>AVERAGE(F2:F28)</f>
        <v>-2.2001122222222218E-2</v>
      </c>
      <c r="G62" s="27"/>
    </row>
    <row r="63" spans="1:7">
      <c r="A63" s="68" t="s">
        <v>112</v>
      </c>
      <c r="B63" s="27">
        <v>6.3487499999999988E-2</v>
      </c>
      <c r="C63" s="27">
        <v>3.1348334374999995E-2</v>
      </c>
      <c r="D63" s="27">
        <v>2.6926749999999992E-2</v>
      </c>
      <c r="E63" s="27">
        <f>AVERAGE(E29:E60)</f>
        <v>5.8275084375000001E-2</v>
      </c>
      <c r="F63" s="27">
        <f>AVERAGE(F29:F60)</f>
        <v>5.2124156250000012E-3</v>
      </c>
    </row>
  </sheetData>
  <printOptions gridLines="1" gridLinesSet="0"/>
  <pageMargins left="0.75" right="0.75" top="1" bottom="1" header="0.5" footer="0.5"/>
  <pageSetup orientation="portrait" horizontalDpi="4294967292" verticalDpi="4294967292"/>
  <headerFooter alignWithMargins="0">
    <oddHeader>&amp;A</oddHeader>
    <oddFooter>Page &amp;P</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
  <sheetViews>
    <sheetView workbookViewId="0">
      <selection activeCell="A44" sqref="A44"/>
    </sheetView>
  </sheetViews>
  <sheetFormatPr baseColWidth="10" defaultRowHeight="14"/>
  <sheetData>
    <row r="1" spans="1:1">
      <c r="A1" t="s">
        <v>166</v>
      </c>
    </row>
    <row r="2" spans="1:1">
      <c r="A2" t="s">
        <v>164</v>
      </c>
    </row>
    <row r="3" spans="1:1">
      <c r="A3" t="s">
        <v>165</v>
      </c>
    </row>
  </sheetData>
  <printOptions gridLines="1" gridLinesSet="0"/>
  <pageMargins left="0.75" right="0.75" top="1" bottom="1" header="0.5" footer="0.5"/>
  <headerFooter alignWithMargins="0">
    <oddHeader>&amp;A</oddHeader>
    <oddFooter>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Impl premium calculator</vt:lpstr>
      <vt:lpstr>Buyback &amp; Dividend computation</vt:lpstr>
      <vt:lpstr>Expected growth rate</vt:lpstr>
      <vt:lpstr>Implied ERP- Annual since 1960</vt:lpstr>
      <vt:lpstr>Implied ERP (Monthly from 9-08)</vt:lpstr>
      <vt:lpstr>Historical ERP</vt:lpstr>
      <vt:lpstr>S&amp;P 500 Monthly Data (Cap IQ)</vt:lpstr>
      <vt:lpstr>T.Bond vs Nominal growth</vt:lpstr>
      <vt:lpstr>Answers</vt:lpstr>
      <vt:lpstr>Sheet10</vt:lpstr>
      <vt:lpstr>Sheet11</vt:lpstr>
      <vt:lpstr>Sheet12</vt:lpstr>
      <vt:lpstr>Sheet13</vt:lpstr>
      <vt:lpstr>Sheet14</vt:lpstr>
      <vt:lpstr>Sheet15</vt:lpstr>
      <vt:lpstr>Sheet16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Microsoft Office User</cp:lastModifiedBy>
  <cp:lastPrinted>2011-09-21T14:04:20Z</cp:lastPrinted>
  <dcterms:created xsi:type="dcterms:W3CDTF">2005-01-04T16:33:33Z</dcterms:created>
  <dcterms:modified xsi:type="dcterms:W3CDTF">2023-09-01T14:06:33Z</dcterms:modified>
</cp:coreProperties>
</file>