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mc:AlternateContent xmlns:mc="http://schemas.openxmlformats.org/markup-compatibility/2006">
    <mc:Choice Requires="x15">
      <x15ac:absPath xmlns:x15ac="http://schemas.microsoft.com/office/spreadsheetml/2010/11/ac" url="/Users/Shared/Previously Relocated Items/Security/All My Stuff/Home Page 2002/pc/"/>
    </mc:Choice>
  </mc:AlternateContent>
  <xr:revisionPtr revIDLastSave="0" documentId="13_ncr:1_{F69E582F-750F-9A48-9C43-5A718B56DC87}" xr6:coauthVersionLast="47" xr6:coauthVersionMax="47" xr10:uidLastSave="{00000000-0000-0000-0000-000000000000}"/>
  <bookViews>
    <workbookView xWindow="0" yWindow="500" windowWidth="19280" windowHeight="17500" tabRatio="831" firstSheet="8" activeTab="11" xr2:uid="{00000000-000D-0000-FFFF-FFFF00000000}"/>
  </bookViews>
  <sheets>
    <sheet name="Read me first" sheetId="10" r:id="rId1"/>
    <sheet name="Master Inputs Start here" sheetId="7" r:id="rId2"/>
    <sheet name="Valuation Model" sheetId="1" r:id="rId3"/>
    <sheet name="Earnings Normalizer" sheetId="8" r:id="rId4"/>
    <sheet name="R&amp;D converter" sheetId="6" r:id="rId5"/>
    <sheet name="Operating lease converter" sheetId="5" r:id="rId6"/>
    <sheet name="Stories to Numbers" sheetId="17" r:id="rId7"/>
    <sheet name="Option Value" sheetId="9" r:id="rId8"/>
    <sheet name="Cost of capital worksheet" sheetId="4" r:id="rId9"/>
    <sheet name="Ratings estimator" sheetId="3" r:id="rId10"/>
    <sheet name="US Industry averages" sheetId="2" r:id="rId11"/>
    <sheet name="Global Industry averages" sheetId="16" r:id="rId12"/>
    <sheet name="Country ERP" sheetId="14" r:id="rId13"/>
    <sheet name="Trailing 12-month numbers" sheetId="15" r:id="rId14"/>
    <sheet name="Answers" sheetId="12" r:id="rId15"/>
  </sheets>
  <externalReferences>
    <externalReference r:id="rId16"/>
    <externalReference r:id="rId17"/>
  </externalReference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5" i="16" l="1"/>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AA94"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AA93" i="16"/>
  <c r="Z93" i="16"/>
  <c r="Y93" i="16"/>
  <c r="X93" i="16"/>
  <c r="W93" i="16"/>
  <c r="V93" i="16"/>
  <c r="U93" i="16"/>
  <c r="T93" i="16"/>
  <c r="S93" i="16"/>
  <c r="R93" i="16"/>
  <c r="Q93" i="16"/>
  <c r="P93" i="16"/>
  <c r="O93" i="16"/>
  <c r="N93" i="16"/>
  <c r="M93" i="16"/>
  <c r="L93" i="16"/>
  <c r="K93" i="16"/>
  <c r="J93" i="16"/>
  <c r="I93" i="16"/>
  <c r="H93" i="16"/>
  <c r="G93" i="16"/>
  <c r="F93" i="16"/>
  <c r="E93" i="16"/>
  <c r="D93" i="16"/>
  <c r="C93" i="16"/>
  <c r="B93" i="16"/>
  <c r="A93" i="16"/>
  <c r="AA92" i="16"/>
  <c r="Z92" i="16"/>
  <c r="Y92" i="16"/>
  <c r="X92" i="16"/>
  <c r="W92" i="16"/>
  <c r="V92" i="16"/>
  <c r="U92" i="16"/>
  <c r="T92" i="16"/>
  <c r="S92" i="16"/>
  <c r="R92" i="16"/>
  <c r="Q92" i="16"/>
  <c r="P92" i="16"/>
  <c r="O92" i="16"/>
  <c r="N92" i="16"/>
  <c r="M92" i="16"/>
  <c r="L92" i="16"/>
  <c r="K92" i="16"/>
  <c r="J92" i="16"/>
  <c r="I92" i="16"/>
  <c r="H92" i="16"/>
  <c r="G92" i="16"/>
  <c r="F92" i="16"/>
  <c r="E92" i="16"/>
  <c r="D92" i="16"/>
  <c r="C92" i="16"/>
  <c r="B92" i="16"/>
  <c r="A92" i="16"/>
  <c r="AA91" i="16"/>
  <c r="Z91" i="16"/>
  <c r="Y91" i="16"/>
  <c r="X91" i="16"/>
  <c r="W91" i="16"/>
  <c r="V91" i="16"/>
  <c r="U91" i="16"/>
  <c r="T91" i="16"/>
  <c r="S91" i="16"/>
  <c r="R91" i="16"/>
  <c r="Q91" i="16"/>
  <c r="P91" i="16"/>
  <c r="O91" i="16"/>
  <c r="N91" i="16"/>
  <c r="M91" i="16"/>
  <c r="L91" i="16"/>
  <c r="K91" i="16"/>
  <c r="J91" i="16"/>
  <c r="I91" i="16"/>
  <c r="H91" i="16"/>
  <c r="G91" i="16"/>
  <c r="F91" i="16"/>
  <c r="E91" i="16"/>
  <c r="D91" i="16"/>
  <c r="C91" i="16"/>
  <c r="B91" i="16"/>
  <c r="A91" i="16"/>
  <c r="AA90" i="16"/>
  <c r="Z90" i="16"/>
  <c r="Y90" i="16"/>
  <c r="X90" i="16"/>
  <c r="W90" i="16"/>
  <c r="V90" i="16"/>
  <c r="U90" i="16"/>
  <c r="T90" i="16"/>
  <c r="S90" i="16"/>
  <c r="R90" i="16"/>
  <c r="Q90" i="16"/>
  <c r="P90" i="16"/>
  <c r="O90" i="16"/>
  <c r="N90" i="16"/>
  <c r="M90" i="16"/>
  <c r="L90" i="16"/>
  <c r="K90" i="16"/>
  <c r="J90" i="16"/>
  <c r="I90" i="16"/>
  <c r="H90" i="16"/>
  <c r="G90" i="16"/>
  <c r="F90" i="16"/>
  <c r="E90" i="16"/>
  <c r="D90" i="16"/>
  <c r="C90" i="16"/>
  <c r="B90" i="16"/>
  <c r="A90" i="16"/>
  <c r="AA89" i="16"/>
  <c r="Z89" i="16"/>
  <c r="Y89" i="16"/>
  <c r="X89" i="16"/>
  <c r="W89" i="16"/>
  <c r="V89" i="16"/>
  <c r="U89" i="16"/>
  <c r="T89" i="16"/>
  <c r="S89" i="16"/>
  <c r="R89" i="16"/>
  <c r="Q89" i="16"/>
  <c r="P89" i="16"/>
  <c r="O89" i="16"/>
  <c r="N89" i="16"/>
  <c r="M89" i="16"/>
  <c r="L89" i="16"/>
  <c r="K89" i="16"/>
  <c r="J89" i="16"/>
  <c r="I89" i="16"/>
  <c r="H89" i="16"/>
  <c r="G89" i="16"/>
  <c r="F89" i="16"/>
  <c r="E89" i="16"/>
  <c r="D89" i="16"/>
  <c r="C89" i="16"/>
  <c r="B89" i="16"/>
  <c r="A89" i="16"/>
  <c r="AA88" i="16"/>
  <c r="Z88" i="16"/>
  <c r="Y88" i="16"/>
  <c r="X88" i="16"/>
  <c r="W88" i="16"/>
  <c r="V88" i="16"/>
  <c r="U88" i="16"/>
  <c r="T88" i="16"/>
  <c r="S88" i="16"/>
  <c r="R88" i="16"/>
  <c r="Q88" i="16"/>
  <c r="P88" i="16"/>
  <c r="O88" i="16"/>
  <c r="N88" i="16"/>
  <c r="M88" i="16"/>
  <c r="L88" i="16"/>
  <c r="K88" i="16"/>
  <c r="J88" i="16"/>
  <c r="I88" i="16"/>
  <c r="H88" i="16"/>
  <c r="G88" i="16"/>
  <c r="F88" i="16"/>
  <c r="E88" i="16"/>
  <c r="D88" i="16"/>
  <c r="C88" i="16"/>
  <c r="B88" i="16"/>
  <c r="A88" i="16"/>
  <c r="AA87"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AA86" i="16"/>
  <c r="Z86" i="16"/>
  <c r="Y86" i="16"/>
  <c r="X86" i="16"/>
  <c r="W86" i="16"/>
  <c r="V86" i="16"/>
  <c r="U86" i="16"/>
  <c r="T86" i="16"/>
  <c r="S86" i="16"/>
  <c r="R86" i="16"/>
  <c r="Q86" i="16"/>
  <c r="P86" i="16"/>
  <c r="O86" i="16"/>
  <c r="N86" i="16"/>
  <c r="M86" i="16"/>
  <c r="L86" i="16"/>
  <c r="K86" i="16"/>
  <c r="J86" i="16"/>
  <c r="I86" i="16"/>
  <c r="H86" i="16"/>
  <c r="G86" i="16"/>
  <c r="F86" i="16"/>
  <c r="E86" i="16"/>
  <c r="D86" i="16"/>
  <c r="C86" i="16"/>
  <c r="B86" i="16"/>
  <c r="A86" i="16"/>
  <c r="AA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A84" i="16"/>
  <c r="Z84" i="16"/>
  <c r="Y84" i="16"/>
  <c r="X84" i="16"/>
  <c r="W84" i="16"/>
  <c r="V84" i="16"/>
  <c r="U84" i="16"/>
  <c r="T84" i="16"/>
  <c r="S84" i="16"/>
  <c r="R84" i="16"/>
  <c r="Q84" i="16"/>
  <c r="P84" i="16"/>
  <c r="O84" i="16"/>
  <c r="N84" i="16"/>
  <c r="M84" i="16"/>
  <c r="L84" i="16"/>
  <c r="K84" i="16"/>
  <c r="J84" i="16"/>
  <c r="I84" i="16"/>
  <c r="H84" i="16"/>
  <c r="G84" i="16"/>
  <c r="F84" i="16"/>
  <c r="E84" i="16"/>
  <c r="D84" i="16"/>
  <c r="C84" i="16"/>
  <c r="B84" i="16"/>
  <c r="A84" i="16"/>
  <c r="AA83" i="16"/>
  <c r="Z83" i="16"/>
  <c r="Y83" i="16"/>
  <c r="X83" i="16"/>
  <c r="W83" i="16"/>
  <c r="V83" i="16"/>
  <c r="U83" i="16"/>
  <c r="T83" i="16"/>
  <c r="S83" i="16"/>
  <c r="R83" i="16"/>
  <c r="Q83" i="16"/>
  <c r="P83" i="16"/>
  <c r="O83" i="16"/>
  <c r="N83" i="16"/>
  <c r="M83" i="16"/>
  <c r="L83" i="16"/>
  <c r="K83" i="16"/>
  <c r="J83" i="16"/>
  <c r="I83" i="16"/>
  <c r="H83" i="16"/>
  <c r="G83" i="16"/>
  <c r="F83" i="16"/>
  <c r="E83" i="16"/>
  <c r="D83" i="16"/>
  <c r="C83" i="16"/>
  <c r="B83" i="16"/>
  <c r="A83" i="16"/>
  <c r="AA82" i="16"/>
  <c r="Z82" i="16"/>
  <c r="Y82" i="16"/>
  <c r="X82" i="16"/>
  <c r="W82" i="16"/>
  <c r="V82" i="16"/>
  <c r="U82" i="16"/>
  <c r="T82" i="16"/>
  <c r="S82" i="16"/>
  <c r="R82" i="16"/>
  <c r="Q82" i="16"/>
  <c r="P82" i="16"/>
  <c r="O82" i="16"/>
  <c r="N82" i="16"/>
  <c r="M82" i="16"/>
  <c r="L82" i="16"/>
  <c r="K82" i="16"/>
  <c r="J82" i="16"/>
  <c r="I82" i="16"/>
  <c r="H82" i="16"/>
  <c r="G82" i="16"/>
  <c r="F82" i="16"/>
  <c r="E82" i="16"/>
  <c r="D82" i="16"/>
  <c r="C82" i="16"/>
  <c r="B82" i="16"/>
  <c r="A82" i="16"/>
  <c r="AA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A80" i="16"/>
  <c r="Z80" i="16"/>
  <c r="Y80" i="16"/>
  <c r="X80" i="16"/>
  <c r="W80" i="16"/>
  <c r="V80" i="16"/>
  <c r="U80" i="16"/>
  <c r="T80" i="16"/>
  <c r="S80" i="16"/>
  <c r="R80" i="16"/>
  <c r="Q80" i="16"/>
  <c r="P80" i="16"/>
  <c r="O80" i="16"/>
  <c r="N80" i="16"/>
  <c r="M80" i="16"/>
  <c r="L80" i="16"/>
  <c r="K80" i="16"/>
  <c r="J80" i="16"/>
  <c r="I80" i="16"/>
  <c r="H80" i="16"/>
  <c r="G80" i="16"/>
  <c r="F80" i="16"/>
  <c r="E80" i="16"/>
  <c r="D80" i="16"/>
  <c r="C80" i="16"/>
  <c r="B80" i="16"/>
  <c r="A80" i="16"/>
  <c r="AA79"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79" i="16"/>
  <c r="AA78"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78" i="16"/>
  <c r="AA77" i="16"/>
  <c r="Z77" i="16"/>
  <c r="Y77" i="16"/>
  <c r="X77" i="16"/>
  <c r="W77" i="16"/>
  <c r="V77" i="16"/>
  <c r="U77" i="16"/>
  <c r="T77" i="16"/>
  <c r="S77" i="16"/>
  <c r="R77" i="16"/>
  <c r="Q77" i="16"/>
  <c r="P77" i="16"/>
  <c r="O77" i="16"/>
  <c r="N77" i="16"/>
  <c r="M77" i="16"/>
  <c r="L77" i="16"/>
  <c r="K77" i="16"/>
  <c r="J77" i="16"/>
  <c r="I77" i="16"/>
  <c r="H77" i="16"/>
  <c r="G77" i="16"/>
  <c r="F77" i="16"/>
  <c r="E77" i="16"/>
  <c r="D77" i="16"/>
  <c r="C77" i="16"/>
  <c r="B77" i="16"/>
  <c r="A77" i="16"/>
  <c r="AA76" i="16"/>
  <c r="Z76" i="16"/>
  <c r="Y76" i="16"/>
  <c r="X76" i="16"/>
  <c r="W76" i="16"/>
  <c r="V76" i="16"/>
  <c r="U76" i="16"/>
  <c r="T76" i="16"/>
  <c r="S76" i="16"/>
  <c r="R76" i="16"/>
  <c r="Q76" i="16"/>
  <c r="P76" i="16"/>
  <c r="O76" i="16"/>
  <c r="N76" i="16"/>
  <c r="M76" i="16"/>
  <c r="L76" i="16"/>
  <c r="K76" i="16"/>
  <c r="J76" i="16"/>
  <c r="I76" i="16"/>
  <c r="H76" i="16"/>
  <c r="G76" i="16"/>
  <c r="F76" i="16"/>
  <c r="E76" i="16"/>
  <c r="D76" i="16"/>
  <c r="C76" i="16"/>
  <c r="B76" i="16"/>
  <c r="A76" i="16"/>
  <c r="AA75" i="16"/>
  <c r="Z75" i="16"/>
  <c r="Y75" i="16"/>
  <c r="X75" i="16"/>
  <c r="W75" i="16"/>
  <c r="V75" i="16"/>
  <c r="U75" i="16"/>
  <c r="T75" i="16"/>
  <c r="S75" i="16"/>
  <c r="R75" i="16"/>
  <c r="Q75" i="16"/>
  <c r="P75" i="16"/>
  <c r="O75" i="16"/>
  <c r="N75" i="16"/>
  <c r="M75" i="16"/>
  <c r="L75" i="16"/>
  <c r="K75" i="16"/>
  <c r="J75" i="16"/>
  <c r="I75" i="16"/>
  <c r="H75" i="16"/>
  <c r="G75" i="16"/>
  <c r="F75" i="16"/>
  <c r="E75" i="16"/>
  <c r="D75" i="16"/>
  <c r="C75" i="16"/>
  <c r="B75" i="16"/>
  <c r="A75" i="16"/>
  <c r="AA74" i="16"/>
  <c r="Z74" i="16"/>
  <c r="Y74" i="16"/>
  <c r="X74" i="16"/>
  <c r="W74" i="16"/>
  <c r="V74" i="16"/>
  <c r="U74" i="16"/>
  <c r="T74" i="16"/>
  <c r="S74" i="16"/>
  <c r="R74" i="16"/>
  <c r="Q74" i="16"/>
  <c r="P74" i="16"/>
  <c r="O74" i="16"/>
  <c r="N74" i="16"/>
  <c r="M74" i="16"/>
  <c r="L74" i="16"/>
  <c r="K74" i="16"/>
  <c r="J74" i="16"/>
  <c r="I74" i="16"/>
  <c r="H74" i="16"/>
  <c r="G74" i="16"/>
  <c r="F74" i="16"/>
  <c r="E74" i="16"/>
  <c r="D74" i="16"/>
  <c r="C74" i="16"/>
  <c r="B74" i="16"/>
  <c r="A74" i="16"/>
  <c r="AA73" i="16"/>
  <c r="Z73" i="16"/>
  <c r="Y73" i="16"/>
  <c r="X73" i="16"/>
  <c r="W73" i="16"/>
  <c r="V73" i="16"/>
  <c r="U73" i="16"/>
  <c r="T73" i="16"/>
  <c r="S73" i="16"/>
  <c r="R73" i="16"/>
  <c r="Q73" i="16"/>
  <c r="P73" i="16"/>
  <c r="O73" i="16"/>
  <c r="N73" i="16"/>
  <c r="M73" i="16"/>
  <c r="L73" i="16"/>
  <c r="K73" i="16"/>
  <c r="J73" i="16"/>
  <c r="I73" i="16"/>
  <c r="H73" i="16"/>
  <c r="G73" i="16"/>
  <c r="F73" i="16"/>
  <c r="E73" i="16"/>
  <c r="D73" i="16"/>
  <c r="C73" i="16"/>
  <c r="B73" i="16"/>
  <c r="A73" i="16"/>
  <c r="AA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A71" i="16"/>
  <c r="Z71" i="16"/>
  <c r="Y71" i="16"/>
  <c r="X71" i="16"/>
  <c r="W71" i="16"/>
  <c r="V71" i="16"/>
  <c r="U71" i="16"/>
  <c r="T71" i="16"/>
  <c r="S71" i="16"/>
  <c r="R71" i="16"/>
  <c r="Q71" i="16"/>
  <c r="P71" i="16"/>
  <c r="O71" i="16"/>
  <c r="N71" i="16"/>
  <c r="M71" i="16"/>
  <c r="L71" i="16"/>
  <c r="K71" i="16"/>
  <c r="J71" i="16"/>
  <c r="I71" i="16"/>
  <c r="H71" i="16"/>
  <c r="G71" i="16"/>
  <c r="F71" i="16"/>
  <c r="E71" i="16"/>
  <c r="D71" i="16"/>
  <c r="C71" i="16"/>
  <c r="B71" i="16"/>
  <c r="A71" i="16"/>
  <c r="AA70" i="16"/>
  <c r="Z70" i="16"/>
  <c r="Y70" i="16"/>
  <c r="X70" i="16"/>
  <c r="W70" i="16"/>
  <c r="V70" i="16"/>
  <c r="U70" i="16"/>
  <c r="T70" i="16"/>
  <c r="S70" i="16"/>
  <c r="R70" i="16"/>
  <c r="Q70" i="16"/>
  <c r="P70" i="16"/>
  <c r="O70" i="16"/>
  <c r="N70" i="16"/>
  <c r="M70" i="16"/>
  <c r="L70" i="16"/>
  <c r="K70" i="16"/>
  <c r="J70" i="16"/>
  <c r="I70" i="16"/>
  <c r="H70" i="16"/>
  <c r="G70" i="16"/>
  <c r="F70" i="16"/>
  <c r="E70" i="16"/>
  <c r="D70" i="16"/>
  <c r="C70" i="16"/>
  <c r="B70" i="16"/>
  <c r="A70" i="16"/>
  <c r="AA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A68" i="16"/>
  <c r="Z68" i="16"/>
  <c r="Y68" i="16"/>
  <c r="X68" i="16"/>
  <c r="W68" i="16"/>
  <c r="V68" i="16"/>
  <c r="U68" i="16"/>
  <c r="T68" i="16"/>
  <c r="S68" i="16"/>
  <c r="R68" i="16"/>
  <c r="Q68" i="16"/>
  <c r="P68" i="16"/>
  <c r="O68" i="16"/>
  <c r="N68" i="16"/>
  <c r="M68" i="16"/>
  <c r="L68" i="16"/>
  <c r="K68" i="16"/>
  <c r="J68" i="16"/>
  <c r="I68" i="16"/>
  <c r="H68" i="16"/>
  <c r="G68" i="16"/>
  <c r="F68" i="16"/>
  <c r="E68" i="16"/>
  <c r="D68" i="16"/>
  <c r="C68" i="16"/>
  <c r="B68" i="16"/>
  <c r="A68" i="16"/>
  <c r="AA67" i="16"/>
  <c r="Z67" i="16"/>
  <c r="Y67" i="16"/>
  <c r="X67" i="16"/>
  <c r="W67" i="16"/>
  <c r="V67" i="16"/>
  <c r="U67" i="16"/>
  <c r="T67" i="16"/>
  <c r="S67" i="16"/>
  <c r="R67" i="16"/>
  <c r="Q67" i="16"/>
  <c r="P67" i="16"/>
  <c r="O67" i="16"/>
  <c r="N67" i="16"/>
  <c r="M67" i="16"/>
  <c r="L67" i="16"/>
  <c r="K67" i="16"/>
  <c r="J67" i="16"/>
  <c r="I67" i="16"/>
  <c r="H67" i="16"/>
  <c r="G67" i="16"/>
  <c r="F67" i="16"/>
  <c r="E67" i="16"/>
  <c r="D67" i="16"/>
  <c r="C67" i="16"/>
  <c r="B67" i="16"/>
  <c r="A67" i="16"/>
  <c r="AA66" i="16"/>
  <c r="Z66" i="16"/>
  <c r="Y66" i="16"/>
  <c r="X66" i="16"/>
  <c r="W66" i="16"/>
  <c r="V66" i="16"/>
  <c r="U66" i="16"/>
  <c r="T66" i="16"/>
  <c r="S66" i="16"/>
  <c r="R66" i="16"/>
  <c r="Q66" i="16"/>
  <c r="P66" i="16"/>
  <c r="O66" i="16"/>
  <c r="N66" i="16"/>
  <c r="M66" i="16"/>
  <c r="L66" i="16"/>
  <c r="K66" i="16"/>
  <c r="J66" i="16"/>
  <c r="I66" i="16"/>
  <c r="H66" i="16"/>
  <c r="G66" i="16"/>
  <c r="F66" i="16"/>
  <c r="E66" i="16"/>
  <c r="D66" i="16"/>
  <c r="C66" i="16"/>
  <c r="B66" i="16"/>
  <c r="A66" i="16"/>
  <c r="AA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A64" i="16"/>
  <c r="Z64" i="16"/>
  <c r="Y64" i="16"/>
  <c r="X64" i="16"/>
  <c r="W64" i="16"/>
  <c r="V64" i="16"/>
  <c r="U64" i="16"/>
  <c r="T64" i="16"/>
  <c r="S64" i="16"/>
  <c r="R64" i="16"/>
  <c r="Q64" i="16"/>
  <c r="P64" i="16"/>
  <c r="O64" i="16"/>
  <c r="N64" i="16"/>
  <c r="M64" i="16"/>
  <c r="L64" i="16"/>
  <c r="K64" i="16"/>
  <c r="J64" i="16"/>
  <c r="I64" i="16"/>
  <c r="H64" i="16"/>
  <c r="G64" i="16"/>
  <c r="F64" i="16"/>
  <c r="E64" i="16"/>
  <c r="D64" i="16"/>
  <c r="C64" i="16"/>
  <c r="B64" i="16"/>
  <c r="A64" i="16"/>
  <c r="AA63" i="16"/>
  <c r="Z63" i="16"/>
  <c r="Y63" i="16"/>
  <c r="X63" i="16"/>
  <c r="W63" i="16"/>
  <c r="V63" i="16"/>
  <c r="U63" i="16"/>
  <c r="T63" i="16"/>
  <c r="S63" i="16"/>
  <c r="R63" i="16"/>
  <c r="Q63" i="16"/>
  <c r="P63" i="16"/>
  <c r="O63" i="16"/>
  <c r="N63" i="16"/>
  <c r="M63" i="16"/>
  <c r="L63" i="16"/>
  <c r="K63" i="16"/>
  <c r="J63" i="16"/>
  <c r="I63" i="16"/>
  <c r="H63" i="16"/>
  <c r="G63" i="16"/>
  <c r="F63" i="16"/>
  <c r="E63" i="16"/>
  <c r="D63" i="16"/>
  <c r="C63" i="16"/>
  <c r="B63" i="16"/>
  <c r="A63" i="16"/>
  <c r="AA62" i="16"/>
  <c r="Z62" i="16"/>
  <c r="Y62" i="16"/>
  <c r="X62" i="16"/>
  <c r="W62" i="16"/>
  <c r="V62" i="16"/>
  <c r="U62" i="16"/>
  <c r="T62" i="16"/>
  <c r="S62" i="16"/>
  <c r="R62" i="16"/>
  <c r="Q62" i="16"/>
  <c r="P62" i="16"/>
  <c r="O62" i="16"/>
  <c r="N62" i="16"/>
  <c r="M62" i="16"/>
  <c r="L62" i="16"/>
  <c r="K62" i="16"/>
  <c r="J62" i="16"/>
  <c r="I62" i="16"/>
  <c r="H62" i="16"/>
  <c r="G62" i="16"/>
  <c r="F62" i="16"/>
  <c r="E62" i="16"/>
  <c r="D62" i="16"/>
  <c r="C62" i="16"/>
  <c r="B62" i="16"/>
  <c r="A62" i="16"/>
  <c r="AA61"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AA60" i="16"/>
  <c r="Z60" i="16"/>
  <c r="Y60" i="16"/>
  <c r="X60" i="16"/>
  <c r="W60" i="16"/>
  <c r="V60" i="16"/>
  <c r="U60" i="16"/>
  <c r="T60" i="16"/>
  <c r="S60" i="16"/>
  <c r="R60" i="16"/>
  <c r="Q60" i="16"/>
  <c r="P60" i="16"/>
  <c r="O60" i="16"/>
  <c r="N60" i="16"/>
  <c r="M60" i="16"/>
  <c r="L60" i="16"/>
  <c r="K60" i="16"/>
  <c r="J60" i="16"/>
  <c r="I60" i="16"/>
  <c r="H60" i="16"/>
  <c r="G60" i="16"/>
  <c r="F60" i="16"/>
  <c r="E60" i="16"/>
  <c r="D60" i="16"/>
  <c r="C60" i="16"/>
  <c r="B60" i="16"/>
  <c r="A60" i="16"/>
  <c r="AA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c r="AA58"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58" i="16"/>
  <c r="AA57" i="16"/>
  <c r="Z57" i="16"/>
  <c r="Y57" i="16"/>
  <c r="X57" i="16"/>
  <c r="W57" i="16"/>
  <c r="V57" i="16"/>
  <c r="U57" i="16"/>
  <c r="T57" i="16"/>
  <c r="S57" i="16"/>
  <c r="R57" i="16"/>
  <c r="Q57" i="16"/>
  <c r="P57" i="16"/>
  <c r="O57" i="16"/>
  <c r="N57" i="16"/>
  <c r="M57" i="16"/>
  <c r="L57" i="16"/>
  <c r="K57" i="16"/>
  <c r="J57" i="16"/>
  <c r="I57" i="16"/>
  <c r="H57" i="16"/>
  <c r="G57" i="16"/>
  <c r="F57" i="16"/>
  <c r="E57" i="16"/>
  <c r="D57" i="16"/>
  <c r="C57" i="16"/>
  <c r="B57" i="16"/>
  <c r="A57" i="16"/>
  <c r="AA56" i="16"/>
  <c r="Z56" i="16"/>
  <c r="Y56" i="16"/>
  <c r="X56" i="16"/>
  <c r="W56" i="16"/>
  <c r="V56" i="16"/>
  <c r="U56" i="16"/>
  <c r="T56" i="16"/>
  <c r="S56" i="16"/>
  <c r="R56" i="16"/>
  <c r="Q56" i="16"/>
  <c r="P56" i="16"/>
  <c r="O56" i="16"/>
  <c r="N56" i="16"/>
  <c r="M56" i="16"/>
  <c r="L56" i="16"/>
  <c r="K56" i="16"/>
  <c r="J56" i="16"/>
  <c r="I56" i="16"/>
  <c r="H56" i="16"/>
  <c r="G56" i="16"/>
  <c r="F56" i="16"/>
  <c r="E56" i="16"/>
  <c r="D56" i="16"/>
  <c r="C56" i="16"/>
  <c r="B56" i="16"/>
  <c r="A56" i="16"/>
  <c r="AA55" i="16"/>
  <c r="Z55" i="16"/>
  <c r="Y55" i="16"/>
  <c r="X55" i="16"/>
  <c r="W55" i="16"/>
  <c r="V55" i="16"/>
  <c r="U55" i="16"/>
  <c r="T55" i="16"/>
  <c r="S55" i="16"/>
  <c r="R55" i="16"/>
  <c r="Q55" i="16"/>
  <c r="P55" i="16"/>
  <c r="O55" i="16"/>
  <c r="N55" i="16"/>
  <c r="M55" i="16"/>
  <c r="L55" i="16"/>
  <c r="K55" i="16"/>
  <c r="J55" i="16"/>
  <c r="I55" i="16"/>
  <c r="H55" i="16"/>
  <c r="G55" i="16"/>
  <c r="F55" i="16"/>
  <c r="E55" i="16"/>
  <c r="D55" i="16"/>
  <c r="C55" i="16"/>
  <c r="B55" i="16"/>
  <c r="A55" i="16"/>
  <c r="AA54" i="16"/>
  <c r="Z54" i="16"/>
  <c r="Y54" i="16"/>
  <c r="X54" i="16"/>
  <c r="W54" i="16"/>
  <c r="V54" i="16"/>
  <c r="U54" i="16"/>
  <c r="T54" i="16"/>
  <c r="S54" i="16"/>
  <c r="R54" i="16"/>
  <c r="Q54" i="16"/>
  <c r="P54" i="16"/>
  <c r="O54" i="16"/>
  <c r="N54" i="16"/>
  <c r="M54" i="16"/>
  <c r="L54" i="16"/>
  <c r="K54" i="16"/>
  <c r="J54" i="16"/>
  <c r="I54" i="16"/>
  <c r="H54" i="16"/>
  <c r="G54" i="16"/>
  <c r="F54" i="16"/>
  <c r="E54" i="16"/>
  <c r="D54" i="16"/>
  <c r="C54" i="16"/>
  <c r="B54" i="16"/>
  <c r="A54" i="16"/>
  <c r="AA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A52" i="16"/>
  <c r="Z52" i="16"/>
  <c r="Y52" i="16"/>
  <c r="X52" i="16"/>
  <c r="W52" i="16"/>
  <c r="V52" i="16"/>
  <c r="U52" i="16"/>
  <c r="T52" i="16"/>
  <c r="S52" i="16"/>
  <c r="R52" i="16"/>
  <c r="Q52" i="16"/>
  <c r="P52" i="16"/>
  <c r="O52" i="16"/>
  <c r="N52" i="16"/>
  <c r="M52" i="16"/>
  <c r="L52" i="16"/>
  <c r="K52" i="16"/>
  <c r="J52" i="16"/>
  <c r="I52" i="16"/>
  <c r="H52" i="16"/>
  <c r="G52" i="16"/>
  <c r="F52" i="16"/>
  <c r="E52" i="16"/>
  <c r="D52" i="16"/>
  <c r="C52" i="16"/>
  <c r="B52" i="16"/>
  <c r="A52" i="16"/>
  <c r="AA51"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AA50" i="16"/>
  <c r="Z50" i="16"/>
  <c r="Y50" i="16"/>
  <c r="X50" i="16"/>
  <c r="W50" i="16"/>
  <c r="V50" i="16"/>
  <c r="U50" i="16"/>
  <c r="T50" i="16"/>
  <c r="S50" i="16"/>
  <c r="R50" i="16"/>
  <c r="Q50" i="16"/>
  <c r="P50" i="16"/>
  <c r="O50" i="16"/>
  <c r="N50" i="16"/>
  <c r="M50" i="16"/>
  <c r="L50" i="16"/>
  <c r="K50" i="16"/>
  <c r="J50" i="16"/>
  <c r="I50" i="16"/>
  <c r="H50" i="16"/>
  <c r="G50" i="16"/>
  <c r="F50" i="16"/>
  <c r="E50" i="16"/>
  <c r="D50" i="16"/>
  <c r="C50" i="16"/>
  <c r="B50" i="16"/>
  <c r="A50" i="16"/>
  <c r="AA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A48" i="16"/>
  <c r="Z48" i="16"/>
  <c r="Y48" i="16"/>
  <c r="X48" i="16"/>
  <c r="W48" i="16"/>
  <c r="V48" i="16"/>
  <c r="U48" i="16"/>
  <c r="T48" i="16"/>
  <c r="S48" i="16"/>
  <c r="R48" i="16"/>
  <c r="Q48" i="16"/>
  <c r="P48" i="16"/>
  <c r="O48" i="16"/>
  <c r="N48" i="16"/>
  <c r="M48" i="16"/>
  <c r="L48" i="16"/>
  <c r="K48" i="16"/>
  <c r="J48" i="16"/>
  <c r="I48" i="16"/>
  <c r="H48" i="16"/>
  <c r="G48" i="16"/>
  <c r="F48" i="16"/>
  <c r="E48" i="16"/>
  <c r="D48" i="16"/>
  <c r="C48" i="16"/>
  <c r="B48" i="16"/>
  <c r="A48" i="16"/>
  <c r="AA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47" i="16"/>
  <c r="AA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46"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45" i="16"/>
  <c r="AA44" i="16"/>
  <c r="Z44" i="16"/>
  <c r="Y44" i="16"/>
  <c r="X44" i="16"/>
  <c r="W44" i="16"/>
  <c r="V44" i="16"/>
  <c r="U44" i="16"/>
  <c r="T44" i="16"/>
  <c r="S44" i="16"/>
  <c r="R44" i="16"/>
  <c r="Q44" i="16"/>
  <c r="P44" i="16"/>
  <c r="O44" i="16"/>
  <c r="N44" i="16"/>
  <c r="M44" i="16"/>
  <c r="L44" i="16"/>
  <c r="K44" i="16"/>
  <c r="J44" i="16"/>
  <c r="I44" i="16"/>
  <c r="H44" i="16"/>
  <c r="G44" i="16"/>
  <c r="F44" i="16"/>
  <c r="E44" i="16"/>
  <c r="D44" i="16"/>
  <c r="C44" i="16"/>
  <c r="B44" i="16"/>
  <c r="A44" i="16"/>
  <c r="AA43" i="16"/>
  <c r="Z43" i="16"/>
  <c r="Y43" i="16"/>
  <c r="X43" i="16"/>
  <c r="W43" i="16"/>
  <c r="V43" i="16"/>
  <c r="U43" i="16"/>
  <c r="T43" i="16"/>
  <c r="S43" i="16"/>
  <c r="R43" i="16"/>
  <c r="Q43" i="16"/>
  <c r="P43" i="16"/>
  <c r="O43" i="16"/>
  <c r="N43" i="16"/>
  <c r="M43" i="16"/>
  <c r="L43" i="16"/>
  <c r="K43" i="16"/>
  <c r="J43" i="16"/>
  <c r="I43" i="16"/>
  <c r="H43" i="16"/>
  <c r="G43" i="16"/>
  <c r="F43" i="16"/>
  <c r="E43" i="16"/>
  <c r="D43" i="16"/>
  <c r="C43" i="16"/>
  <c r="B43" i="16"/>
  <c r="A43" i="16"/>
  <c r="AA42" i="16"/>
  <c r="Z42" i="16"/>
  <c r="Y42" i="16"/>
  <c r="X42" i="16"/>
  <c r="W42" i="16"/>
  <c r="V42" i="16"/>
  <c r="U42" i="16"/>
  <c r="T42" i="16"/>
  <c r="S42" i="16"/>
  <c r="R42" i="16"/>
  <c r="Q42" i="16"/>
  <c r="P42" i="16"/>
  <c r="O42" i="16"/>
  <c r="N42" i="16"/>
  <c r="M42" i="16"/>
  <c r="L42" i="16"/>
  <c r="K42" i="16"/>
  <c r="J42" i="16"/>
  <c r="I42" i="16"/>
  <c r="H42" i="16"/>
  <c r="G42" i="16"/>
  <c r="F42" i="16"/>
  <c r="E42" i="16"/>
  <c r="D42" i="16"/>
  <c r="C42" i="16"/>
  <c r="B42" i="16"/>
  <c r="A42" i="16"/>
  <c r="AA41" i="16"/>
  <c r="Z41" i="16"/>
  <c r="Y41" i="16"/>
  <c r="X41" i="16"/>
  <c r="W41" i="16"/>
  <c r="V41" i="16"/>
  <c r="U41" i="16"/>
  <c r="T41" i="16"/>
  <c r="S41" i="16"/>
  <c r="R41" i="16"/>
  <c r="Q41" i="16"/>
  <c r="P41" i="16"/>
  <c r="O41" i="16"/>
  <c r="N41" i="16"/>
  <c r="M41" i="16"/>
  <c r="L41" i="16"/>
  <c r="K41" i="16"/>
  <c r="J41" i="16"/>
  <c r="I41" i="16"/>
  <c r="H41" i="16"/>
  <c r="G41" i="16"/>
  <c r="F41" i="16"/>
  <c r="E41" i="16"/>
  <c r="D41" i="16"/>
  <c r="C41" i="16"/>
  <c r="B41" i="16"/>
  <c r="A41" i="16"/>
  <c r="AA40" i="16"/>
  <c r="Z40" i="16"/>
  <c r="Y40" i="16"/>
  <c r="X40" i="16"/>
  <c r="W40" i="16"/>
  <c r="V40" i="16"/>
  <c r="U40" i="16"/>
  <c r="T40" i="16"/>
  <c r="S40" i="16"/>
  <c r="R40" i="16"/>
  <c r="Q40" i="16"/>
  <c r="P40" i="16"/>
  <c r="O40" i="16"/>
  <c r="N40" i="16"/>
  <c r="M40" i="16"/>
  <c r="L40" i="16"/>
  <c r="K40" i="16"/>
  <c r="J40" i="16"/>
  <c r="I40" i="16"/>
  <c r="H40" i="16"/>
  <c r="G40" i="16"/>
  <c r="F40" i="16"/>
  <c r="E40" i="16"/>
  <c r="D40" i="16"/>
  <c r="C40" i="16"/>
  <c r="B40" i="16"/>
  <c r="A40" i="16"/>
  <c r="AA39"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39" i="16"/>
  <c r="AA38" i="16"/>
  <c r="Z38" i="16"/>
  <c r="Y38" i="16"/>
  <c r="X38" i="16"/>
  <c r="W38" i="16"/>
  <c r="V38" i="16"/>
  <c r="U38" i="16"/>
  <c r="T38" i="16"/>
  <c r="S38" i="16"/>
  <c r="R38" i="16"/>
  <c r="Q38" i="16"/>
  <c r="P38" i="16"/>
  <c r="O38" i="16"/>
  <c r="N38" i="16"/>
  <c r="M38" i="16"/>
  <c r="L38" i="16"/>
  <c r="K38" i="16"/>
  <c r="J38" i="16"/>
  <c r="I38" i="16"/>
  <c r="H38" i="16"/>
  <c r="G38" i="16"/>
  <c r="F38" i="16"/>
  <c r="E38" i="16"/>
  <c r="D38" i="16"/>
  <c r="C38" i="16"/>
  <c r="B38" i="16"/>
  <c r="A38" i="16"/>
  <c r="AA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A36" i="16"/>
  <c r="Z36" i="16"/>
  <c r="Y36" i="16"/>
  <c r="X36" i="16"/>
  <c r="W36" i="16"/>
  <c r="V36" i="16"/>
  <c r="U36" i="16"/>
  <c r="T36" i="16"/>
  <c r="S36" i="16"/>
  <c r="R36" i="16"/>
  <c r="Q36" i="16"/>
  <c r="P36" i="16"/>
  <c r="O36" i="16"/>
  <c r="N36" i="16"/>
  <c r="M36" i="16"/>
  <c r="L36" i="16"/>
  <c r="K36" i="16"/>
  <c r="J36" i="16"/>
  <c r="I36" i="16"/>
  <c r="H36" i="16"/>
  <c r="G36" i="16"/>
  <c r="F36" i="16"/>
  <c r="E36" i="16"/>
  <c r="D36" i="16"/>
  <c r="C36" i="16"/>
  <c r="B36" i="16"/>
  <c r="A36" i="16"/>
  <c r="AA35" i="16"/>
  <c r="Z35" i="16"/>
  <c r="Y35" i="16"/>
  <c r="X35" i="16"/>
  <c r="W35" i="16"/>
  <c r="V35" i="16"/>
  <c r="U35" i="16"/>
  <c r="T35" i="16"/>
  <c r="S35" i="16"/>
  <c r="R35" i="16"/>
  <c r="Q35" i="16"/>
  <c r="P35" i="16"/>
  <c r="O35" i="16"/>
  <c r="N35" i="16"/>
  <c r="M35" i="16"/>
  <c r="L35" i="16"/>
  <c r="K35" i="16"/>
  <c r="J35" i="16"/>
  <c r="I35" i="16"/>
  <c r="H35" i="16"/>
  <c r="G35" i="16"/>
  <c r="F35" i="16"/>
  <c r="E35" i="16"/>
  <c r="D35" i="16"/>
  <c r="C35" i="16"/>
  <c r="B35" i="16"/>
  <c r="A35" i="16"/>
  <c r="AA34" i="16"/>
  <c r="Z34" i="16"/>
  <c r="Y34" i="16"/>
  <c r="X34" i="16"/>
  <c r="W34" i="16"/>
  <c r="V34" i="16"/>
  <c r="U34" i="16"/>
  <c r="T34" i="16"/>
  <c r="S34" i="16"/>
  <c r="R34" i="16"/>
  <c r="Q34" i="16"/>
  <c r="P34" i="16"/>
  <c r="O34" i="16"/>
  <c r="N34" i="16"/>
  <c r="M34" i="16"/>
  <c r="L34" i="16"/>
  <c r="K34" i="16"/>
  <c r="J34" i="16"/>
  <c r="I34" i="16"/>
  <c r="H34" i="16"/>
  <c r="G34" i="16"/>
  <c r="F34" i="16"/>
  <c r="E34" i="16"/>
  <c r="D34" i="16"/>
  <c r="C34" i="16"/>
  <c r="B34" i="16"/>
  <c r="A34" i="16"/>
  <c r="AA33" i="16"/>
  <c r="Z33" i="16"/>
  <c r="Y33" i="16"/>
  <c r="X33" i="16"/>
  <c r="W33" i="16"/>
  <c r="V33" i="16"/>
  <c r="U33" i="16"/>
  <c r="T33" i="16"/>
  <c r="S33" i="16"/>
  <c r="R33" i="16"/>
  <c r="Q33" i="16"/>
  <c r="P33" i="16"/>
  <c r="O33" i="16"/>
  <c r="N33" i="16"/>
  <c r="M33" i="16"/>
  <c r="L33" i="16"/>
  <c r="K33" i="16"/>
  <c r="J33" i="16"/>
  <c r="I33" i="16"/>
  <c r="H33" i="16"/>
  <c r="G33" i="16"/>
  <c r="F33" i="16"/>
  <c r="E33" i="16"/>
  <c r="D33" i="16"/>
  <c r="C33" i="16"/>
  <c r="B33" i="16"/>
  <c r="A33" i="16"/>
  <c r="AA32" i="16"/>
  <c r="Z32" i="16"/>
  <c r="Y32" i="16"/>
  <c r="X32" i="16"/>
  <c r="W32" i="16"/>
  <c r="V32" i="16"/>
  <c r="U32" i="16"/>
  <c r="T32" i="16"/>
  <c r="S32" i="16"/>
  <c r="R32" i="16"/>
  <c r="Q32" i="16"/>
  <c r="P32" i="16"/>
  <c r="O32" i="16"/>
  <c r="N32" i="16"/>
  <c r="M32" i="16"/>
  <c r="L32" i="16"/>
  <c r="K32" i="16"/>
  <c r="J32" i="16"/>
  <c r="I32" i="16"/>
  <c r="H32" i="16"/>
  <c r="G32" i="16"/>
  <c r="F32" i="16"/>
  <c r="E32" i="16"/>
  <c r="D32" i="16"/>
  <c r="C32" i="16"/>
  <c r="B32" i="16"/>
  <c r="A32" i="16"/>
  <c r="AA31" i="16"/>
  <c r="Z31" i="16"/>
  <c r="Y31" i="16"/>
  <c r="X31" i="16"/>
  <c r="W31" i="16"/>
  <c r="V31" i="16"/>
  <c r="U31" i="16"/>
  <c r="T31" i="16"/>
  <c r="S31" i="16"/>
  <c r="R31" i="16"/>
  <c r="Q31" i="16"/>
  <c r="P31" i="16"/>
  <c r="O31" i="16"/>
  <c r="N31" i="16"/>
  <c r="M31" i="16"/>
  <c r="L31" i="16"/>
  <c r="K31" i="16"/>
  <c r="J31" i="16"/>
  <c r="I31" i="16"/>
  <c r="H31" i="16"/>
  <c r="G31" i="16"/>
  <c r="F31" i="16"/>
  <c r="E31" i="16"/>
  <c r="D31" i="16"/>
  <c r="C31" i="16"/>
  <c r="B31" i="16"/>
  <c r="A31" i="16"/>
  <c r="AA30" i="16"/>
  <c r="Z30" i="16"/>
  <c r="Y30" i="16"/>
  <c r="X30" i="16"/>
  <c r="W30" i="16"/>
  <c r="V30" i="16"/>
  <c r="U30" i="16"/>
  <c r="T30" i="16"/>
  <c r="S30" i="16"/>
  <c r="R30" i="16"/>
  <c r="Q30" i="16"/>
  <c r="P30" i="16"/>
  <c r="O30" i="16"/>
  <c r="N30" i="16"/>
  <c r="M30" i="16"/>
  <c r="L30" i="16"/>
  <c r="K30" i="16"/>
  <c r="J30" i="16"/>
  <c r="I30" i="16"/>
  <c r="H30" i="16"/>
  <c r="G30" i="16"/>
  <c r="F30" i="16"/>
  <c r="E30" i="16"/>
  <c r="D30" i="16"/>
  <c r="C30" i="16"/>
  <c r="B30" i="16"/>
  <c r="A30" i="16"/>
  <c r="AA29" i="16"/>
  <c r="Z29" i="16"/>
  <c r="Y29" i="16"/>
  <c r="X29" i="16"/>
  <c r="W29" i="16"/>
  <c r="V29" i="16"/>
  <c r="U29" i="16"/>
  <c r="T29" i="16"/>
  <c r="S29" i="16"/>
  <c r="R29" i="16"/>
  <c r="Q29" i="16"/>
  <c r="P29" i="16"/>
  <c r="O29" i="16"/>
  <c r="N29" i="16"/>
  <c r="M29" i="16"/>
  <c r="L29" i="16"/>
  <c r="K29" i="16"/>
  <c r="J29" i="16"/>
  <c r="I29" i="16"/>
  <c r="H29" i="16"/>
  <c r="G29" i="16"/>
  <c r="F29" i="16"/>
  <c r="E29" i="16"/>
  <c r="D29" i="16"/>
  <c r="C29" i="16"/>
  <c r="B29" i="16"/>
  <c r="A29" i="16"/>
  <c r="AA28" i="16"/>
  <c r="Z28" i="16"/>
  <c r="Y28" i="16"/>
  <c r="X28" i="16"/>
  <c r="W28" i="16"/>
  <c r="V28" i="16"/>
  <c r="U28" i="16"/>
  <c r="T28" i="16"/>
  <c r="S28" i="16"/>
  <c r="R28" i="16"/>
  <c r="Q28" i="16"/>
  <c r="P28" i="16"/>
  <c r="O28" i="16"/>
  <c r="N28" i="16"/>
  <c r="M28" i="16"/>
  <c r="L28" i="16"/>
  <c r="K28" i="16"/>
  <c r="J28" i="16"/>
  <c r="I28" i="16"/>
  <c r="H28" i="16"/>
  <c r="G28" i="16"/>
  <c r="F28" i="16"/>
  <c r="E28" i="16"/>
  <c r="D28" i="16"/>
  <c r="C28" i="16"/>
  <c r="B28" i="16"/>
  <c r="A28" i="16"/>
  <c r="AA27" i="16"/>
  <c r="Z27" i="16"/>
  <c r="Y27" i="16"/>
  <c r="X27" i="16"/>
  <c r="W27" i="16"/>
  <c r="V27" i="16"/>
  <c r="U27" i="16"/>
  <c r="T27" i="16"/>
  <c r="S27" i="16"/>
  <c r="R27" i="16"/>
  <c r="Q27" i="16"/>
  <c r="P27" i="16"/>
  <c r="O27" i="16"/>
  <c r="N27" i="16"/>
  <c r="M27" i="16"/>
  <c r="L27" i="16"/>
  <c r="K27" i="16"/>
  <c r="J27" i="16"/>
  <c r="I27" i="16"/>
  <c r="H27" i="16"/>
  <c r="G27" i="16"/>
  <c r="F27" i="16"/>
  <c r="E27" i="16"/>
  <c r="D27" i="16"/>
  <c r="C27" i="16"/>
  <c r="B27" i="16"/>
  <c r="A27" i="16"/>
  <c r="AA26" i="16"/>
  <c r="Z26" i="16"/>
  <c r="Y26" i="16"/>
  <c r="X26" i="16"/>
  <c r="W26" i="16"/>
  <c r="V26" i="16"/>
  <c r="U26" i="16"/>
  <c r="T26" i="16"/>
  <c r="S26" i="16"/>
  <c r="R26" i="16"/>
  <c r="Q26" i="16"/>
  <c r="P26" i="16"/>
  <c r="O26" i="16"/>
  <c r="N26" i="16"/>
  <c r="M26" i="16"/>
  <c r="L26" i="16"/>
  <c r="K26" i="16"/>
  <c r="J26" i="16"/>
  <c r="I26" i="16"/>
  <c r="H26" i="16"/>
  <c r="G26" i="16"/>
  <c r="F26" i="16"/>
  <c r="E26" i="16"/>
  <c r="D26" i="16"/>
  <c r="C26" i="16"/>
  <c r="B26" i="16"/>
  <c r="A26" i="16"/>
  <c r="AA25" i="16"/>
  <c r="Z25" i="16"/>
  <c r="Y25" i="16"/>
  <c r="X25" i="16"/>
  <c r="W25" i="16"/>
  <c r="V25" i="16"/>
  <c r="U25" i="16"/>
  <c r="T25" i="16"/>
  <c r="S25" i="16"/>
  <c r="R25" i="16"/>
  <c r="Q25" i="16"/>
  <c r="P25" i="16"/>
  <c r="O25" i="16"/>
  <c r="N25" i="16"/>
  <c r="M25" i="16"/>
  <c r="L25" i="16"/>
  <c r="K25" i="16"/>
  <c r="J25" i="16"/>
  <c r="I25" i="16"/>
  <c r="H25" i="16"/>
  <c r="G25" i="16"/>
  <c r="F25" i="16"/>
  <c r="E25" i="16"/>
  <c r="D25" i="16"/>
  <c r="C25" i="16"/>
  <c r="B25" i="16"/>
  <c r="A25" i="16"/>
  <c r="AA24" i="16"/>
  <c r="Z24" i="16"/>
  <c r="Y24" i="16"/>
  <c r="X24" i="16"/>
  <c r="W24" i="16"/>
  <c r="V24" i="16"/>
  <c r="U24" i="16"/>
  <c r="T24" i="16"/>
  <c r="S24" i="16"/>
  <c r="R24" i="16"/>
  <c r="Q24" i="16"/>
  <c r="P24" i="16"/>
  <c r="O24" i="16"/>
  <c r="N24" i="16"/>
  <c r="M24" i="16"/>
  <c r="L24" i="16"/>
  <c r="K24" i="16"/>
  <c r="J24" i="16"/>
  <c r="I24" i="16"/>
  <c r="H24" i="16"/>
  <c r="G24" i="16"/>
  <c r="F24" i="16"/>
  <c r="E24" i="16"/>
  <c r="D24" i="16"/>
  <c r="C24" i="16"/>
  <c r="B24" i="16"/>
  <c r="A24" i="16"/>
  <c r="AA23" i="16"/>
  <c r="Z23" i="16"/>
  <c r="Y23" i="16"/>
  <c r="X23" i="16"/>
  <c r="W23" i="16"/>
  <c r="V23" i="16"/>
  <c r="U23" i="16"/>
  <c r="T23" i="16"/>
  <c r="S23" i="16"/>
  <c r="R23" i="16"/>
  <c r="Q23" i="16"/>
  <c r="P23" i="16"/>
  <c r="O23" i="16"/>
  <c r="N23" i="16"/>
  <c r="M23" i="16"/>
  <c r="L23" i="16"/>
  <c r="K23" i="16"/>
  <c r="J23" i="16"/>
  <c r="I23" i="16"/>
  <c r="H23" i="16"/>
  <c r="G23" i="16"/>
  <c r="F23" i="16"/>
  <c r="E23" i="16"/>
  <c r="D23" i="16"/>
  <c r="C23" i="16"/>
  <c r="B23" i="16"/>
  <c r="A23" i="16"/>
  <c r="AA22" i="16"/>
  <c r="Z22" i="16"/>
  <c r="Y22" i="16"/>
  <c r="X22" i="16"/>
  <c r="W22" i="16"/>
  <c r="V22" i="16"/>
  <c r="U22" i="16"/>
  <c r="T22" i="16"/>
  <c r="S22" i="16"/>
  <c r="R22" i="16"/>
  <c r="Q22" i="16"/>
  <c r="P22" i="16"/>
  <c r="O22" i="16"/>
  <c r="N22" i="16"/>
  <c r="M22" i="16"/>
  <c r="L22" i="16"/>
  <c r="K22" i="16"/>
  <c r="J22" i="16"/>
  <c r="I22" i="16"/>
  <c r="H22" i="16"/>
  <c r="G22" i="16"/>
  <c r="F22" i="16"/>
  <c r="E22" i="16"/>
  <c r="D22" i="16"/>
  <c r="C22" i="16"/>
  <c r="B22" i="16"/>
  <c r="A22" i="16"/>
  <c r="AA21" i="16"/>
  <c r="Z21" i="16"/>
  <c r="Y21" i="16"/>
  <c r="X21" i="16"/>
  <c r="W21" i="16"/>
  <c r="V21" i="16"/>
  <c r="U21" i="16"/>
  <c r="T21" i="16"/>
  <c r="S21" i="16"/>
  <c r="R21" i="16"/>
  <c r="Q21" i="16"/>
  <c r="P21" i="16"/>
  <c r="O21" i="16"/>
  <c r="N21" i="16"/>
  <c r="M21" i="16"/>
  <c r="L21" i="16"/>
  <c r="K21" i="16"/>
  <c r="J21" i="16"/>
  <c r="I21" i="16"/>
  <c r="H21" i="16"/>
  <c r="G21" i="16"/>
  <c r="F21" i="16"/>
  <c r="E21" i="16"/>
  <c r="D21" i="16"/>
  <c r="C21" i="16"/>
  <c r="B21" i="16"/>
  <c r="A21" i="16"/>
  <c r="AA20" i="16"/>
  <c r="Z20" i="16"/>
  <c r="Y20" i="16"/>
  <c r="X20" i="16"/>
  <c r="W20" i="16"/>
  <c r="V20" i="16"/>
  <c r="U20" i="16"/>
  <c r="T20" i="16"/>
  <c r="S20" i="16"/>
  <c r="R20" i="16"/>
  <c r="Q20" i="16"/>
  <c r="P20" i="16"/>
  <c r="O20" i="16"/>
  <c r="N20" i="16"/>
  <c r="M20" i="16"/>
  <c r="L20" i="16"/>
  <c r="K20" i="16"/>
  <c r="J20" i="16"/>
  <c r="I20" i="16"/>
  <c r="H20" i="16"/>
  <c r="G20" i="16"/>
  <c r="F20" i="16"/>
  <c r="E20" i="16"/>
  <c r="D20" i="16"/>
  <c r="C20" i="16"/>
  <c r="B20" i="16"/>
  <c r="A20" i="16"/>
  <c r="AA19" i="16"/>
  <c r="Z19" i="16"/>
  <c r="Y19" i="16"/>
  <c r="X19" i="16"/>
  <c r="W19" i="16"/>
  <c r="V19" i="16"/>
  <c r="U19" i="16"/>
  <c r="T19" i="16"/>
  <c r="S19" i="16"/>
  <c r="R19" i="16"/>
  <c r="Q19" i="16"/>
  <c r="P19" i="16"/>
  <c r="O19" i="16"/>
  <c r="N19" i="16"/>
  <c r="M19" i="16"/>
  <c r="L19" i="16"/>
  <c r="K19" i="16"/>
  <c r="J19" i="16"/>
  <c r="I19" i="16"/>
  <c r="H19" i="16"/>
  <c r="G19" i="16"/>
  <c r="F19" i="16"/>
  <c r="E19" i="16"/>
  <c r="D19" i="16"/>
  <c r="C19" i="16"/>
  <c r="B19" i="16"/>
  <c r="A19" i="16"/>
  <c r="AA18" i="16"/>
  <c r="Z18" i="16"/>
  <c r="Y18" i="16"/>
  <c r="X18" i="16"/>
  <c r="W18" i="16"/>
  <c r="V18" i="16"/>
  <c r="U18" i="16"/>
  <c r="T18" i="16"/>
  <c r="S18" i="16"/>
  <c r="R18" i="16"/>
  <c r="Q18" i="16"/>
  <c r="P18" i="16"/>
  <c r="O18" i="16"/>
  <c r="N18" i="16"/>
  <c r="M18" i="16"/>
  <c r="L18" i="16"/>
  <c r="K18" i="16"/>
  <c r="J18" i="16"/>
  <c r="I18" i="16"/>
  <c r="H18" i="16"/>
  <c r="G18" i="16"/>
  <c r="F18" i="16"/>
  <c r="E18" i="16"/>
  <c r="D18" i="16"/>
  <c r="C18" i="16"/>
  <c r="B18" i="16"/>
  <c r="A18" i="16"/>
  <c r="AA17" i="16"/>
  <c r="Z17" i="16"/>
  <c r="Y17" i="16"/>
  <c r="X17" i="16"/>
  <c r="W17" i="16"/>
  <c r="V17" i="16"/>
  <c r="U17" i="16"/>
  <c r="T17" i="16"/>
  <c r="S17" i="16"/>
  <c r="R17" i="16"/>
  <c r="Q17" i="16"/>
  <c r="P17" i="16"/>
  <c r="O17" i="16"/>
  <c r="N17" i="16"/>
  <c r="M17" i="16"/>
  <c r="L17" i="16"/>
  <c r="K17" i="16"/>
  <c r="J17" i="16"/>
  <c r="I17" i="16"/>
  <c r="H17" i="16"/>
  <c r="G17" i="16"/>
  <c r="F17" i="16"/>
  <c r="E17" i="16"/>
  <c r="D17" i="16"/>
  <c r="C17" i="16"/>
  <c r="B17" i="16"/>
  <c r="A17" i="16"/>
  <c r="AA16" i="16"/>
  <c r="Z16" i="16"/>
  <c r="Y16" i="16"/>
  <c r="X16" i="16"/>
  <c r="W16" i="16"/>
  <c r="V16" i="16"/>
  <c r="U16" i="16"/>
  <c r="T16" i="16"/>
  <c r="S16" i="16"/>
  <c r="R16" i="16"/>
  <c r="Q16" i="16"/>
  <c r="P16" i="16"/>
  <c r="O16" i="16"/>
  <c r="N16" i="16"/>
  <c r="M16" i="16"/>
  <c r="L16" i="16"/>
  <c r="K16" i="16"/>
  <c r="J16" i="16"/>
  <c r="I16" i="16"/>
  <c r="H16" i="16"/>
  <c r="G16" i="16"/>
  <c r="F16" i="16"/>
  <c r="E16" i="16"/>
  <c r="D16" i="16"/>
  <c r="C16" i="16"/>
  <c r="B16" i="16"/>
  <c r="A16" i="16"/>
  <c r="AA15" i="16"/>
  <c r="Z15" i="16"/>
  <c r="Y15" i="16"/>
  <c r="X15" i="16"/>
  <c r="W15" i="16"/>
  <c r="V15" i="16"/>
  <c r="U15" i="16"/>
  <c r="T15" i="16"/>
  <c r="S15" i="16"/>
  <c r="R15" i="16"/>
  <c r="Q15" i="16"/>
  <c r="P15" i="16"/>
  <c r="O15" i="16"/>
  <c r="N15" i="16"/>
  <c r="M15" i="16"/>
  <c r="L15" i="16"/>
  <c r="K15" i="16"/>
  <c r="J15" i="16"/>
  <c r="I15" i="16"/>
  <c r="H15" i="16"/>
  <c r="G15" i="16"/>
  <c r="F15" i="16"/>
  <c r="E15" i="16"/>
  <c r="D15" i="16"/>
  <c r="C15" i="16"/>
  <c r="B15" i="16"/>
  <c r="A15" i="16"/>
  <c r="AA14" i="16"/>
  <c r="Z14" i="16"/>
  <c r="Y14" i="16"/>
  <c r="X14" i="16"/>
  <c r="W14" i="16"/>
  <c r="V14" i="16"/>
  <c r="U14" i="16"/>
  <c r="T14" i="16"/>
  <c r="S14" i="16"/>
  <c r="R14" i="16"/>
  <c r="Q14" i="16"/>
  <c r="P14" i="16"/>
  <c r="O14" i="16"/>
  <c r="N14" i="16"/>
  <c r="M14" i="16"/>
  <c r="L14" i="16"/>
  <c r="K14" i="16"/>
  <c r="J14" i="16"/>
  <c r="I14" i="16"/>
  <c r="H14" i="16"/>
  <c r="G14" i="16"/>
  <c r="F14" i="16"/>
  <c r="E14" i="16"/>
  <c r="D14" i="16"/>
  <c r="C14" i="16"/>
  <c r="B14" i="16"/>
  <c r="A14"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A13" i="16"/>
  <c r="AA12" i="16"/>
  <c r="Z12" i="16"/>
  <c r="Y12" i="16"/>
  <c r="X12" i="16"/>
  <c r="W12" i="16"/>
  <c r="V12" i="16"/>
  <c r="U12" i="16"/>
  <c r="T12" i="16"/>
  <c r="S12" i="16"/>
  <c r="R12" i="16"/>
  <c r="Q12" i="16"/>
  <c r="P12" i="16"/>
  <c r="O12" i="16"/>
  <c r="N12" i="16"/>
  <c r="M12" i="16"/>
  <c r="L12" i="16"/>
  <c r="K12" i="16"/>
  <c r="J12" i="16"/>
  <c r="I12" i="16"/>
  <c r="H12" i="16"/>
  <c r="G12" i="16"/>
  <c r="F12" i="16"/>
  <c r="E12" i="16"/>
  <c r="D12" i="16"/>
  <c r="C12" i="16"/>
  <c r="B12" i="16"/>
  <c r="A12" i="16"/>
  <c r="AA11" i="16"/>
  <c r="Z11" i="16"/>
  <c r="Y11" i="16"/>
  <c r="X11" i="16"/>
  <c r="W11" i="16"/>
  <c r="V11" i="16"/>
  <c r="U11" i="16"/>
  <c r="T11" i="16"/>
  <c r="S11" i="16"/>
  <c r="R11" i="16"/>
  <c r="Q11" i="16"/>
  <c r="P11" i="16"/>
  <c r="O11" i="16"/>
  <c r="N11" i="16"/>
  <c r="M11" i="16"/>
  <c r="L11" i="16"/>
  <c r="K11" i="16"/>
  <c r="J11" i="16"/>
  <c r="I11" i="16"/>
  <c r="H11" i="16"/>
  <c r="G11" i="16"/>
  <c r="F11" i="16"/>
  <c r="E11" i="16"/>
  <c r="D11" i="16"/>
  <c r="C11" i="16"/>
  <c r="B11" i="16"/>
  <c r="A11"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10" i="16"/>
  <c r="AA9" i="16"/>
  <c r="Z9" i="16"/>
  <c r="Y9" i="16"/>
  <c r="X9" i="16"/>
  <c r="W9" i="16"/>
  <c r="V9" i="16"/>
  <c r="U9" i="16"/>
  <c r="T9" i="16"/>
  <c r="S9" i="16"/>
  <c r="R9" i="16"/>
  <c r="Q9" i="16"/>
  <c r="P9" i="16"/>
  <c r="O9" i="16"/>
  <c r="N9" i="16"/>
  <c r="M9" i="16"/>
  <c r="L9" i="16"/>
  <c r="K9" i="16"/>
  <c r="J9" i="16"/>
  <c r="I9" i="16"/>
  <c r="H9" i="16"/>
  <c r="G9" i="16"/>
  <c r="F9" i="16"/>
  <c r="E9" i="16"/>
  <c r="D9" i="16"/>
  <c r="C9" i="16"/>
  <c r="B9" i="16"/>
  <c r="A9" i="16"/>
  <c r="AA8" i="16"/>
  <c r="Z8" i="16"/>
  <c r="Y8" i="16"/>
  <c r="X8" i="16"/>
  <c r="W8" i="16"/>
  <c r="V8" i="16"/>
  <c r="U8" i="16"/>
  <c r="T8" i="16"/>
  <c r="S8" i="16"/>
  <c r="R8" i="16"/>
  <c r="Q8" i="16"/>
  <c r="P8" i="16"/>
  <c r="O8" i="16"/>
  <c r="N8" i="16"/>
  <c r="M8" i="16"/>
  <c r="L8" i="16"/>
  <c r="K8" i="16"/>
  <c r="J8" i="16"/>
  <c r="I8" i="16"/>
  <c r="H8" i="16"/>
  <c r="G8" i="16"/>
  <c r="F8" i="16"/>
  <c r="E8" i="16"/>
  <c r="D8" i="16"/>
  <c r="C8" i="16"/>
  <c r="B8" i="16"/>
  <c r="A8" i="16"/>
  <c r="AA7" i="16"/>
  <c r="Z7" i="16"/>
  <c r="Y7" i="16"/>
  <c r="X7" i="16"/>
  <c r="W7" i="16"/>
  <c r="V7" i="16"/>
  <c r="U7" i="16"/>
  <c r="T7" i="16"/>
  <c r="S7" i="16"/>
  <c r="R7" i="16"/>
  <c r="Q7" i="16"/>
  <c r="P7" i="16"/>
  <c r="O7" i="16"/>
  <c r="N7" i="16"/>
  <c r="M7" i="16"/>
  <c r="L7" i="16"/>
  <c r="K7" i="16"/>
  <c r="J7" i="16"/>
  <c r="I7" i="16"/>
  <c r="H7" i="16"/>
  <c r="G7" i="16"/>
  <c r="F7" i="16"/>
  <c r="E7" i="16"/>
  <c r="D7" i="16"/>
  <c r="C7" i="16"/>
  <c r="B7" i="16"/>
  <c r="A7" i="16"/>
  <c r="AA6" i="16"/>
  <c r="Z6" i="16"/>
  <c r="Y6" i="16"/>
  <c r="X6" i="16"/>
  <c r="W6" i="16"/>
  <c r="V6" i="16"/>
  <c r="U6" i="16"/>
  <c r="T6" i="16"/>
  <c r="S6" i="16"/>
  <c r="R6" i="16"/>
  <c r="Q6" i="16"/>
  <c r="P6" i="16"/>
  <c r="O6" i="16"/>
  <c r="N6" i="16"/>
  <c r="M6" i="16"/>
  <c r="L6" i="16"/>
  <c r="K6" i="16"/>
  <c r="J6" i="16"/>
  <c r="I6" i="16"/>
  <c r="H6" i="16"/>
  <c r="G6" i="16"/>
  <c r="F6" i="16"/>
  <c r="E6" i="16"/>
  <c r="D6" i="16"/>
  <c r="C6" i="16"/>
  <c r="B6" i="16"/>
  <c r="A6" i="16"/>
  <c r="AA5" i="16"/>
  <c r="Z5" i="16"/>
  <c r="Y5" i="16"/>
  <c r="X5" i="16"/>
  <c r="W5" i="16"/>
  <c r="V5" i="16"/>
  <c r="U5" i="16"/>
  <c r="T5" i="16"/>
  <c r="S5" i="16"/>
  <c r="R5" i="16"/>
  <c r="Q5" i="16"/>
  <c r="P5" i="16"/>
  <c r="O5" i="16"/>
  <c r="N5" i="16"/>
  <c r="M5" i="16"/>
  <c r="L5" i="16"/>
  <c r="K5" i="16"/>
  <c r="J5" i="16"/>
  <c r="I5" i="16"/>
  <c r="H5" i="16"/>
  <c r="G5" i="16"/>
  <c r="F5" i="16"/>
  <c r="E5" i="16"/>
  <c r="D5" i="16"/>
  <c r="C5" i="16"/>
  <c r="B5" i="16"/>
  <c r="A5" i="16"/>
  <c r="AA4" i="16"/>
  <c r="Z4" i="16"/>
  <c r="Y4" i="16"/>
  <c r="X4" i="16"/>
  <c r="W4" i="16"/>
  <c r="V4" i="16"/>
  <c r="U4" i="16"/>
  <c r="T4" i="16"/>
  <c r="S4" i="16"/>
  <c r="R4" i="16"/>
  <c r="Q4" i="16"/>
  <c r="P4" i="16"/>
  <c r="O4" i="16"/>
  <c r="N4" i="16"/>
  <c r="M4" i="16"/>
  <c r="L4" i="16"/>
  <c r="K4" i="16"/>
  <c r="J4" i="16"/>
  <c r="I4" i="16"/>
  <c r="H4" i="16"/>
  <c r="G4" i="16"/>
  <c r="F4" i="16"/>
  <c r="E4" i="16"/>
  <c r="D4" i="16"/>
  <c r="C4" i="16"/>
  <c r="B4" i="16"/>
  <c r="A4" i="16"/>
  <c r="AA3" i="16"/>
  <c r="Z3" i="16"/>
  <c r="Y3" i="16"/>
  <c r="X3" i="16"/>
  <c r="W3" i="16"/>
  <c r="V3" i="16"/>
  <c r="U3" i="16"/>
  <c r="T3" i="16"/>
  <c r="S3" i="16"/>
  <c r="R3" i="16"/>
  <c r="Q3" i="16"/>
  <c r="P3" i="16"/>
  <c r="O3" i="16"/>
  <c r="N3" i="16"/>
  <c r="M3" i="16"/>
  <c r="L3" i="16"/>
  <c r="K3" i="16"/>
  <c r="J3" i="16"/>
  <c r="I3" i="16"/>
  <c r="H3" i="16"/>
  <c r="G3" i="16"/>
  <c r="F3" i="16"/>
  <c r="E3" i="16"/>
  <c r="D3" i="16"/>
  <c r="C3" i="16"/>
  <c r="B3" i="16"/>
  <c r="A3" i="16"/>
  <c r="AA2" i="16"/>
  <c r="Z2" i="16"/>
  <c r="Y2" i="16"/>
  <c r="X2" i="16"/>
  <c r="W2" i="16"/>
  <c r="V2" i="16"/>
  <c r="U2" i="16"/>
  <c r="T2" i="16"/>
  <c r="S2" i="16"/>
  <c r="R2" i="16"/>
  <c r="Q2" i="16"/>
  <c r="P2" i="16"/>
  <c r="O2" i="16"/>
  <c r="N2" i="16"/>
  <c r="M2" i="16"/>
  <c r="L2" i="16"/>
  <c r="K2" i="16"/>
  <c r="J2" i="16"/>
  <c r="I2" i="16"/>
  <c r="H2" i="16"/>
  <c r="G2" i="16"/>
  <c r="F2" i="16"/>
  <c r="E2" i="16"/>
  <c r="D2" i="16"/>
  <c r="C2" i="16"/>
  <c r="B2" i="16"/>
  <c r="AA95" i="2"/>
  <c r="Z95" i="2"/>
  <c r="Y95" i="2"/>
  <c r="X95" i="2"/>
  <c r="W95" i="2"/>
  <c r="V95" i="2"/>
  <c r="U95" i="2"/>
  <c r="T95" i="2"/>
  <c r="S95" i="2"/>
  <c r="R95" i="2"/>
  <c r="Q95" i="2"/>
  <c r="P95" i="2"/>
  <c r="O95" i="2"/>
  <c r="N95" i="2"/>
  <c r="M95" i="2"/>
  <c r="L95" i="2"/>
  <c r="K95" i="2"/>
  <c r="J95" i="2"/>
  <c r="I95" i="2"/>
  <c r="H95" i="2"/>
  <c r="G95" i="2"/>
  <c r="F95" i="2"/>
  <c r="E95" i="2"/>
  <c r="D95" i="2"/>
  <c r="C95" i="2"/>
  <c r="B95" i="2"/>
  <c r="A95" i="2"/>
  <c r="AA94" i="2"/>
  <c r="Z94" i="2"/>
  <c r="Y94" i="2"/>
  <c r="X94" i="2"/>
  <c r="W94" i="2"/>
  <c r="V94" i="2"/>
  <c r="U94" i="2"/>
  <c r="T94" i="2"/>
  <c r="S94" i="2"/>
  <c r="R94" i="2"/>
  <c r="Q94" i="2"/>
  <c r="P94" i="2"/>
  <c r="O94" i="2"/>
  <c r="N94" i="2"/>
  <c r="M94" i="2"/>
  <c r="L94" i="2"/>
  <c r="K94" i="2"/>
  <c r="J94" i="2"/>
  <c r="I94" i="2"/>
  <c r="H94" i="2"/>
  <c r="G94" i="2"/>
  <c r="F94" i="2"/>
  <c r="E94" i="2"/>
  <c r="D94" i="2"/>
  <c r="C94" i="2"/>
  <c r="B94" i="2"/>
  <c r="A94" i="2"/>
  <c r="AA93" i="2"/>
  <c r="Z93" i="2"/>
  <c r="Y93" i="2"/>
  <c r="X93" i="2"/>
  <c r="W93" i="2"/>
  <c r="V93" i="2"/>
  <c r="U93" i="2"/>
  <c r="T93" i="2"/>
  <c r="S93" i="2"/>
  <c r="R93" i="2"/>
  <c r="Q93" i="2"/>
  <c r="P93" i="2"/>
  <c r="O93" i="2"/>
  <c r="N93" i="2"/>
  <c r="M93" i="2"/>
  <c r="L93" i="2"/>
  <c r="K93" i="2"/>
  <c r="J93" i="2"/>
  <c r="I93" i="2"/>
  <c r="H93" i="2"/>
  <c r="G93" i="2"/>
  <c r="F93" i="2"/>
  <c r="E93" i="2"/>
  <c r="D93" i="2"/>
  <c r="C93" i="2"/>
  <c r="B93" i="2"/>
  <c r="A93" i="2"/>
  <c r="AA92" i="2"/>
  <c r="Z92" i="2"/>
  <c r="Y92" i="2"/>
  <c r="X92" i="2"/>
  <c r="W92" i="2"/>
  <c r="V92" i="2"/>
  <c r="U92" i="2"/>
  <c r="T92" i="2"/>
  <c r="S92" i="2"/>
  <c r="R92" i="2"/>
  <c r="Q92" i="2"/>
  <c r="P92" i="2"/>
  <c r="O92" i="2"/>
  <c r="N92" i="2"/>
  <c r="M92" i="2"/>
  <c r="L92" i="2"/>
  <c r="K92" i="2"/>
  <c r="J92" i="2"/>
  <c r="I92" i="2"/>
  <c r="H92" i="2"/>
  <c r="G92" i="2"/>
  <c r="F92" i="2"/>
  <c r="E92" i="2"/>
  <c r="D92" i="2"/>
  <c r="C92" i="2"/>
  <c r="B92" i="2"/>
  <c r="A92" i="2"/>
  <c r="AA91" i="2"/>
  <c r="Z91" i="2"/>
  <c r="Y91" i="2"/>
  <c r="X91" i="2"/>
  <c r="W91" i="2"/>
  <c r="V91" i="2"/>
  <c r="U91" i="2"/>
  <c r="T91" i="2"/>
  <c r="S91" i="2"/>
  <c r="R91" i="2"/>
  <c r="Q91" i="2"/>
  <c r="P91" i="2"/>
  <c r="O91" i="2"/>
  <c r="N91" i="2"/>
  <c r="M91" i="2"/>
  <c r="L91" i="2"/>
  <c r="K91" i="2"/>
  <c r="J91" i="2"/>
  <c r="I91" i="2"/>
  <c r="H91" i="2"/>
  <c r="G91" i="2"/>
  <c r="F91" i="2"/>
  <c r="E91" i="2"/>
  <c r="D91" i="2"/>
  <c r="C91" i="2"/>
  <c r="B91" i="2"/>
  <c r="A91" i="2"/>
  <c r="AA90" i="2"/>
  <c r="Z90" i="2"/>
  <c r="Y90" i="2"/>
  <c r="X90" i="2"/>
  <c r="W90" i="2"/>
  <c r="V90" i="2"/>
  <c r="U90" i="2"/>
  <c r="T90" i="2"/>
  <c r="S90" i="2"/>
  <c r="R90" i="2"/>
  <c r="Q90" i="2"/>
  <c r="P90" i="2"/>
  <c r="O90" i="2"/>
  <c r="N90" i="2"/>
  <c r="M90" i="2"/>
  <c r="L90" i="2"/>
  <c r="K90" i="2"/>
  <c r="J90" i="2"/>
  <c r="I90" i="2"/>
  <c r="H90" i="2"/>
  <c r="G90" i="2"/>
  <c r="F90" i="2"/>
  <c r="E90" i="2"/>
  <c r="D90" i="2"/>
  <c r="C90" i="2"/>
  <c r="B90" i="2"/>
  <c r="A90" i="2"/>
  <c r="AA89" i="2"/>
  <c r="Z89" i="2"/>
  <c r="Y89" i="2"/>
  <c r="X89" i="2"/>
  <c r="W89" i="2"/>
  <c r="V89" i="2"/>
  <c r="U89" i="2"/>
  <c r="T89" i="2"/>
  <c r="S89" i="2"/>
  <c r="R89" i="2"/>
  <c r="Q89" i="2"/>
  <c r="P89" i="2"/>
  <c r="O89" i="2"/>
  <c r="N89" i="2"/>
  <c r="M89" i="2"/>
  <c r="L89" i="2"/>
  <c r="K89" i="2"/>
  <c r="J89" i="2"/>
  <c r="I89" i="2"/>
  <c r="H89" i="2"/>
  <c r="G89" i="2"/>
  <c r="F89" i="2"/>
  <c r="E89" i="2"/>
  <c r="D89" i="2"/>
  <c r="C89" i="2"/>
  <c r="B89" i="2"/>
  <c r="A89" i="2"/>
  <c r="AA88" i="2"/>
  <c r="Z88" i="2"/>
  <c r="Y88" i="2"/>
  <c r="X88" i="2"/>
  <c r="W88" i="2"/>
  <c r="V88" i="2"/>
  <c r="U88" i="2"/>
  <c r="T88" i="2"/>
  <c r="S88" i="2"/>
  <c r="R88" i="2"/>
  <c r="Q88" i="2"/>
  <c r="P88" i="2"/>
  <c r="O88" i="2"/>
  <c r="N88" i="2"/>
  <c r="M88" i="2"/>
  <c r="L88" i="2"/>
  <c r="K88" i="2"/>
  <c r="J88" i="2"/>
  <c r="I88" i="2"/>
  <c r="H88" i="2"/>
  <c r="G88" i="2"/>
  <c r="F88" i="2"/>
  <c r="E88" i="2"/>
  <c r="D88" i="2"/>
  <c r="C88" i="2"/>
  <c r="B88" i="2"/>
  <c r="A88" i="2"/>
  <c r="AA87" i="2"/>
  <c r="Z87" i="2"/>
  <c r="Y87" i="2"/>
  <c r="X87" i="2"/>
  <c r="W87" i="2"/>
  <c r="V87" i="2"/>
  <c r="U87" i="2"/>
  <c r="T87" i="2"/>
  <c r="S87" i="2"/>
  <c r="R87" i="2"/>
  <c r="Q87" i="2"/>
  <c r="P87" i="2"/>
  <c r="O87" i="2"/>
  <c r="N87" i="2"/>
  <c r="M87" i="2"/>
  <c r="L87" i="2"/>
  <c r="K87" i="2"/>
  <c r="J87" i="2"/>
  <c r="I87" i="2"/>
  <c r="H87" i="2"/>
  <c r="G87" i="2"/>
  <c r="F87" i="2"/>
  <c r="E87" i="2"/>
  <c r="D87" i="2"/>
  <c r="C87" i="2"/>
  <c r="B87" i="2"/>
  <c r="A87" i="2"/>
  <c r="AA86" i="2"/>
  <c r="Z86" i="2"/>
  <c r="Y86" i="2"/>
  <c r="X86" i="2"/>
  <c r="W86" i="2"/>
  <c r="V86" i="2"/>
  <c r="U86" i="2"/>
  <c r="T86" i="2"/>
  <c r="S86" i="2"/>
  <c r="R86" i="2"/>
  <c r="Q86" i="2"/>
  <c r="P86" i="2"/>
  <c r="O86" i="2"/>
  <c r="N86" i="2"/>
  <c r="M86" i="2"/>
  <c r="L86" i="2"/>
  <c r="K86" i="2"/>
  <c r="J86" i="2"/>
  <c r="I86" i="2"/>
  <c r="H86" i="2"/>
  <c r="G86" i="2"/>
  <c r="F86" i="2"/>
  <c r="E86" i="2"/>
  <c r="D86" i="2"/>
  <c r="C86" i="2"/>
  <c r="B86" i="2"/>
  <c r="A86" i="2"/>
  <c r="AA85" i="2"/>
  <c r="Z85" i="2"/>
  <c r="Y85" i="2"/>
  <c r="X85" i="2"/>
  <c r="W85" i="2"/>
  <c r="V85" i="2"/>
  <c r="U85" i="2"/>
  <c r="T85" i="2"/>
  <c r="S85" i="2"/>
  <c r="R85" i="2"/>
  <c r="Q85" i="2"/>
  <c r="P85" i="2"/>
  <c r="O85" i="2"/>
  <c r="N85" i="2"/>
  <c r="M85" i="2"/>
  <c r="L85" i="2"/>
  <c r="K85" i="2"/>
  <c r="J85" i="2"/>
  <c r="I85" i="2"/>
  <c r="H85" i="2"/>
  <c r="G85" i="2"/>
  <c r="F85" i="2"/>
  <c r="E85" i="2"/>
  <c r="D85" i="2"/>
  <c r="C85" i="2"/>
  <c r="B85" i="2"/>
  <c r="A85" i="2"/>
  <c r="AA84" i="2"/>
  <c r="Z84" i="2"/>
  <c r="Y84" i="2"/>
  <c r="X84" i="2"/>
  <c r="W84" i="2"/>
  <c r="V84" i="2"/>
  <c r="U84" i="2"/>
  <c r="T84" i="2"/>
  <c r="S84" i="2"/>
  <c r="R84" i="2"/>
  <c r="Q84" i="2"/>
  <c r="P84" i="2"/>
  <c r="O84" i="2"/>
  <c r="N84" i="2"/>
  <c r="M84" i="2"/>
  <c r="L84" i="2"/>
  <c r="K84" i="2"/>
  <c r="J84" i="2"/>
  <c r="I84" i="2"/>
  <c r="H84" i="2"/>
  <c r="G84" i="2"/>
  <c r="F84" i="2"/>
  <c r="E84" i="2"/>
  <c r="D84" i="2"/>
  <c r="C84" i="2"/>
  <c r="B84" i="2"/>
  <c r="A84" i="2"/>
  <c r="AA83" i="2"/>
  <c r="Z83" i="2"/>
  <c r="Y83" i="2"/>
  <c r="X83" i="2"/>
  <c r="W83" i="2"/>
  <c r="V83" i="2"/>
  <c r="U83" i="2"/>
  <c r="T83" i="2"/>
  <c r="S83" i="2"/>
  <c r="R83" i="2"/>
  <c r="Q83" i="2"/>
  <c r="P83" i="2"/>
  <c r="O83" i="2"/>
  <c r="N83" i="2"/>
  <c r="M83" i="2"/>
  <c r="L83" i="2"/>
  <c r="K83" i="2"/>
  <c r="J83" i="2"/>
  <c r="I83" i="2"/>
  <c r="H83" i="2"/>
  <c r="G83" i="2"/>
  <c r="F83" i="2"/>
  <c r="E83" i="2"/>
  <c r="D83" i="2"/>
  <c r="C83" i="2"/>
  <c r="B83" i="2"/>
  <c r="A83" i="2"/>
  <c r="AA82" i="2"/>
  <c r="Z82" i="2"/>
  <c r="Y82" i="2"/>
  <c r="X82" i="2"/>
  <c r="W82" i="2"/>
  <c r="V82" i="2"/>
  <c r="U82" i="2"/>
  <c r="T82" i="2"/>
  <c r="S82" i="2"/>
  <c r="R82" i="2"/>
  <c r="Q82" i="2"/>
  <c r="P82" i="2"/>
  <c r="O82" i="2"/>
  <c r="N82" i="2"/>
  <c r="M82" i="2"/>
  <c r="L82" i="2"/>
  <c r="K82" i="2"/>
  <c r="J82" i="2"/>
  <c r="I82" i="2"/>
  <c r="H82" i="2"/>
  <c r="G82" i="2"/>
  <c r="F82" i="2"/>
  <c r="E82" i="2"/>
  <c r="D82" i="2"/>
  <c r="C82" i="2"/>
  <c r="B82" i="2"/>
  <c r="A82" i="2"/>
  <c r="AA81" i="2"/>
  <c r="Z81" i="2"/>
  <c r="Y81" i="2"/>
  <c r="X81" i="2"/>
  <c r="W81" i="2"/>
  <c r="V81" i="2"/>
  <c r="U81" i="2"/>
  <c r="T81" i="2"/>
  <c r="S81" i="2"/>
  <c r="R81" i="2"/>
  <c r="Q81" i="2"/>
  <c r="P81" i="2"/>
  <c r="O81" i="2"/>
  <c r="N81" i="2"/>
  <c r="M81" i="2"/>
  <c r="L81" i="2"/>
  <c r="K81" i="2"/>
  <c r="J81" i="2"/>
  <c r="I81" i="2"/>
  <c r="H81" i="2"/>
  <c r="G81" i="2"/>
  <c r="F81" i="2"/>
  <c r="E81" i="2"/>
  <c r="D81" i="2"/>
  <c r="C81" i="2"/>
  <c r="B81" i="2"/>
  <c r="A81" i="2"/>
  <c r="AA80" i="2"/>
  <c r="Z80" i="2"/>
  <c r="Y80" i="2"/>
  <c r="X80" i="2"/>
  <c r="W80" i="2"/>
  <c r="V80" i="2"/>
  <c r="U80" i="2"/>
  <c r="T80" i="2"/>
  <c r="S80" i="2"/>
  <c r="R80" i="2"/>
  <c r="Q80" i="2"/>
  <c r="P80" i="2"/>
  <c r="O80" i="2"/>
  <c r="N80" i="2"/>
  <c r="M80" i="2"/>
  <c r="L80" i="2"/>
  <c r="K80" i="2"/>
  <c r="J80" i="2"/>
  <c r="I80" i="2"/>
  <c r="H80" i="2"/>
  <c r="G80" i="2"/>
  <c r="F80" i="2"/>
  <c r="E80" i="2"/>
  <c r="D80" i="2"/>
  <c r="C80" i="2"/>
  <c r="B80" i="2"/>
  <c r="A80" i="2"/>
  <c r="AA79" i="2"/>
  <c r="Z79" i="2"/>
  <c r="Y79" i="2"/>
  <c r="X79" i="2"/>
  <c r="W79" i="2"/>
  <c r="V79" i="2"/>
  <c r="U79" i="2"/>
  <c r="T79" i="2"/>
  <c r="S79" i="2"/>
  <c r="R79" i="2"/>
  <c r="Q79" i="2"/>
  <c r="P79" i="2"/>
  <c r="O79" i="2"/>
  <c r="N79" i="2"/>
  <c r="M79" i="2"/>
  <c r="L79" i="2"/>
  <c r="K79" i="2"/>
  <c r="J79" i="2"/>
  <c r="I79" i="2"/>
  <c r="H79" i="2"/>
  <c r="G79" i="2"/>
  <c r="F79" i="2"/>
  <c r="E79" i="2"/>
  <c r="D79" i="2"/>
  <c r="C79" i="2"/>
  <c r="B79" i="2"/>
  <c r="A79" i="2"/>
  <c r="AA78" i="2"/>
  <c r="Z78" i="2"/>
  <c r="Y78" i="2"/>
  <c r="X78" i="2"/>
  <c r="W78" i="2"/>
  <c r="V78" i="2"/>
  <c r="U78" i="2"/>
  <c r="T78" i="2"/>
  <c r="S78" i="2"/>
  <c r="R78" i="2"/>
  <c r="Q78" i="2"/>
  <c r="P78" i="2"/>
  <c r="O78" i="2"/>
  <c r="N78" i="2"/>
  <c r="M78" i="2"/>
  <c r="L78" i="2"/>
  <c r="K78" i="2"/>
  <c r="J78" i="2"/>
  <c r="I78" i="2"/>
  <c r="H78" i="2"/>
  <c r="G78" i="2"/>
  <c r="F78" i="2"/>
  <c r="E78" i="2"/>
  <c r="D78" i="2"/>
  <c r="C78" i="2"/>
  <c r="B78" i="2"/>
  <c r="A78" i="2"/>
  <c r="AA77" i="2"/>
  <c r="Z77" i="2"/>
  <c r="Y77" i="2"/>
  <c r="X77" i="2"/>
  <c r="W77" i="2"/>
  <c r="V77" i="2"/>
  <c r="U77" i="2"/>
  <c r="T77" i="2"/>
  <c r="S77" i="2"/>
  <c r="R77" i="2"/>
  <c r="Q77" i="2"/>
  <c r="P77" i="2"/>
  <c r="O77" i="2"/>
  <c r="N77" i="2"/>
  <c r="M77" i="2"/>
  <c r="L77" i="2"/>
  <c r="K77" i="2"/>
  <c r="J77" i="2"/>
  <c r="I77" i="2"/>
  <c r="H77" i="2"/>
  <c r="G77" i="2"/>
  <c r="F77" i="2"/>
  <c r="E77" i="2"/>
  <c r="D77" i="2"/>
  <c r="C77" i="2"/>
  <c r="B77" i="2"/>
  <c r="A77" i="2"/>
  <c r="AA76" i="2"/>
  <c r="Z76" i="2"/>
  <c r="Y76" i="2"/>
  <c r="X76" i="2"/>
  <c r="W76" i="2"/>
  <c r="V76" i="2"/>
  <c r="U76" i="2"/>
  <c r="T76" i="2"/>
  <c r="S76" i="2"/>
  <c r="R76" i="2"/>
  <c r="Q76" i="2"/>
  <c r="P76" i="2"/>
  <c r="O76" i="2"/>
  <c r="N76" i="2"/>
  <c r="M76" i="2"/>
  <c r="L76" i="2"/>
  <c r="K76" i="2"/>
  <c r="J76" i="2"/>
  <c r="I76" i="2"/>
  <c r="H76" i="2"/>
  <c r="G76" i="2"/>
  <c r="F76" i="2"/>
  <c r="E76" i="2"/>
  <c r="D76" i="2"/>
  <c r="C76" i="2"/>
  <c r="B76" i="2"/>
  <c r="A76" i="2"/>
  <c r="AA75" i="2"/>
  <c r="Z75" i="2"/>
  <c r="Y75" i="2"/>
  <c r="X75" i="2"/>
  <c r="W75" i="2"/>
  <c r="V75" i="2"/>
  <c r="U75" i="2"/>
  <c r="T75" i="2"/>
  <c r="S75" i="2"/>
  <c r="R75" i="2"/>
  <c r="Q75" i="2"/>
  <c r="P75" i="2"/>
  <c r="O75" i="2"/>
  <c r="N75" i="2"/>
  <c r="M75" i="2"/>
  <c r="L75" i="2"/>
  <c r="K75" i="2"/>
  <c r="J75" i="2"/>
  <c r="I75" i="2"/>
  <c r="H75" i="2"/>
  <c r="G75" i="2"/>
  <c r="F75" i="2"/>
  <c r="E75" i="2"/>
  <c r="D75" i="2"/>
  <c r="C75" i="2"/>
  <c r="B75" i="2"/>
  <c r="A75" i="2"/>
  <c r="AA74" i="2"/>
  <c r="Z74" i="2"/>
  <c r="Y74" i="2"/>
  <c r="X74" i="2"/>
  <c r="W74" i="2"/>
  <c r="V74" i="2"/>
  <c r="U74" i="2"/>
  <c r="T74" i="2"/>
  <c r="S74" i="2"/>
  <c r="R74" i="2"/>
  <c r="Q74" i="2"/>
  <c r="P74" i="2"/>
  <c r="O74" i="2"/>
  <c r="N74" i="2"/>
  <c r="M74" i="2"/>
  <c r="L74" i="2"/>
  <c r="K74" i="2"/>
  <c r="J74" i="2"/>
  <c r="I74" i="2"/>
  <c r="H74" i="2"/>
  <c r="G74" i="2"/>
  <c r="F74" i="2"/>
  <c r="E74" i="2"/>
  <c r="D74" i="2"/>
  <c r="C74" i="2"/>
  <c r="B74" i="2"/>
  <c r="A74" i="2"/>
  <c r="AA73" i="2"/>
  <c r="Z73" i="2"/>
  <c r="Y73" i="2"/>
  <c r="X73" i="2"/>
  <c r="W73" i="2"/>
  <c r="V73" i="2"/>
  <c r="U73" i="2"/>
  <c r="T73" i="2"/>
  <c r="S73" i="2"/>
  <c r="R73" i="2"/>
  <c r="Q73" i="2"/>
  <c r="P73" i="2"/>
  <c r="O73" i="2"/>
  <c r="N73" i="2"/>
  <c r="M73" i="2"/>
  <c r="L73" i="2"/>
  <c r="K73" i="2"/>
  <c r="J73" i="2"/>
  <c r="I73" i="2"/>
  <c r="H73" i="2"/>
  <c r="G73" i="2"/>
  <c r="F73" i="2"/>
  <c r="E73" i="2"/>
  <c r="D73" i="2"/>
  <c r="C73" i="2"/>
  <c r="B73" i="2"/>
  <c r="A73" i="2"/>
  <c r="AA72" i="2"/>
  <c r="Z72" i="2"/>
  <c r="Y72" i="2"/>
  <c r="X72" i="2"/>
  <c r="W72" i="2"/>
  <c r="V72" i="2"/>
  <c r="U72" i="2"/>
  <c r="T72" i="2"/>
  <c r="S72" i="2"/>
  <c r="R72" i="2"/>
  <c r="Q72" i="2"/>
  <c r="P72" i="2"/>
  <c r="O72" i="2"/>
  <c r="N72" i="2"/>
  <c r="M72" i="2"/>
  <c r="L72" i="2"/>
  <c r="K72" i="2"/>
  <c r="J72" i="2"/>
  <c r="I72" i="2"/>
  <c r="H72" i="2"/>
  <c r="G72" i="2"/>
  <c r="F72" i="2"/>
  <c r="E72" i="2"/>
  <c r="D72" i="2"/>
  <c r="C72" i="2"/>
  <c r="B72" i="2"/>
  <c r="A72" i="2"/>
  <c r="AA71" i="2"/>
  <c r="Z71" i="2"/>
  <c r="Y71" i="2"/>
  <c r="X71" i="2"/>
  <c r="W71" i="2"/>
  <c r="V71" i="2"/>
  <c r="U71" i="2"/>
  <c r="T71" i="2"/>
  <c r="S71" i="2"/>
  <c r="R71" i="2"/>
  <c r="Q71" i="2"/>
  <c r="P71" i="2"/>
  <c r="O71" i="2"/>
  <c r="N71" i="2"/>
  <c r="M71" i="2"/>
  <c r="L71" i="2"/>
  <c r="K71" i="2"/>
  <c r="J71" i="2"/>
  <c r="I71" i="2"/>
  <c r="H71" i="2"/>
  <c r="G71" i="2"/>
  <c r="F71" i="2"/>
  <c r="E71" i="2"/>
  <c r="D71" i="2"/>
  <c r="C71" i="2"/>
  <c r="B71" i="2"/>
  <c r="A71" i="2"/>
  <c r="AA70" i="2"/>
  <c r="Z70" i="2"/>
  <c r="Y70" i="2"/>
  <c r="X70" i="2"/>
  <c r="W70" i="2"/>
  <c r="V70" i="2"/>
  <c r="U70" i="2"/>
  <c r="T70" i="2"/>
  <c r="S70" i="2"/>
  <c r="R70" i="2"/>
  <c r="Q70" i="2"/>
  <c r="P70" i="2"/>
  <c r="O70" i="2"/>
  <c r="N70" i="2"/>
  <c r="M70" i="2"/>
  <c r="L70" i="2"/>
  <c r="K70" i="2"/>
  <c r="J70" i="2"/>
  <c r="I70" i="2"/>
  <c r="H70" i="2"/>
  <c r="G70" i="2"/>
  <c r="F70" i="2"/>
  <c r="E70" i="2"/>
  <c r="D70" i="2"/>
  <c r="C70" i="2"/>
  <c r="B70" i="2"/>
  <c r="A70" i="2"/>
  <c r="AA69" i="2"/>
  <c r="Z69" i="2"/>
  <c r="Y69" i="2"/>
  <c r="X69" i="2"/>
  <c r="W69" i="2"/>
  <c r="V69" i="2"/>
  <c r="U69" i="2"/>
  <c r="T69" i="2"/>
  <c r="S69" i="2"/>
  <c r="R69" i="2"/>
  <c r="Q69" i="2"/>
  <c r="P69" i="2"/>
  <c r="O69" i="2"/>
  <c r="N69" i="2"/>
  <c r="M69" i="2"/>
  <c r="L69" i="2"/>
  <c r="K69" i="2"/>
  <c r="J69" i="2"/>
  <c r="I69" i="2"/>
  <c r="H69" i="2"/>
  <c r="G69" i="2"/>
  <c r="F69" i="2"/>
  <c r="E69" i="2"/>
  <c r="D69" i="2"/>
  <c r="C69" i="2"/>
  <c r="B69" i="2"/>
  <c r="A69" i="2"/>
  <c r="AA68" i="2"/>
  <c r="Z68" i="2"/>
  <c r="Y68" i="2"/>
  <c r="X68" i="2"/>
  <c r="W68" i="2"/>
  <c r="V68" i="2"/>
  <c r="U68" i="2"/>
  <c r="T68" i="2"/>
  <c r="S68" i="2"/>
  <c r="R68" i="2"/>
  <c r="Q68" i="2"/>
  <c r="P68" i="2"/>
  <c r="O68" i="2"/>
  <c r="N68" i="2"/>
  <c r="M68" i="2"/>
  <c r="L68" i="2"/>
  <c r="K68" i="2"/>
  <c r="J68" i="2"/>
  <c r="I68" i="2"/>
  <c r="H68" i="2"/>
  <c r="G68" i="2"/>
  <c r="F68" i="2"/>
  <c r="E68" i="2"/>
  <c r="D68" i="2"/>
  <c r="C68" i="2"/>
  <c r="B68" i="2"/>
  <c r="A68" i="2"/>
  <c r="AA67" i="2"/>
  <c r="Z67" i="2"/>
  <c r="Y67" i="2"/>
  <c r="X67" i="2"/>
  <c r="W67" i="2"/>
  <c r="V67" i="2"/>
  <c r="U67" i="2"/>
  <c r="T67" i="2"/>
  <c r="S67" i="2"/>
  <c r="R67" i="2"/>
  <c r="Q67" i="2"/>
  <c r="P67" i="2"/>
  <c r="O67" i="2"/>
  <c r="N67" i="2"/>
  <c r="M67" i="2"/>
  <c r="L67" i="2"/>
  <c r="K67" i="2"/>
  <c r="J67" i="2"/>
  <c r="I67" i="2"/>
  <c r="H67" i="2"/>
  <c r="G67" i="2"/>
  <c r="F67" i="2"/>
  <c r="E67" i="2"/>
  <c r="D67" i="2"/>
  <c r="C67" i="2"/>
  <c r="B67" i="2"/>
  <c r="A67" i="2"/>
  <c r="AA66" i="2"/>
  <c r="Z66" i="2"/>
  <c r="Y66" i="2"/>
  <c r="X66" i="2"/>
  <c r="W66" i="2"/>
  <c r="V66" i="2"/>
  <c r="U66" i="2"/>
  <c r="T66" i="2"/>
  <c r="S66" i="2"/>
  <c r="R66" i="2"/>
  <c r="Q66" i="2"/>
  <c r="P66" i="2"/>
  <c r="O66" i="2"/>
  <c r="N66" i="2"/>
  <c r="M66" i="2"/>
  <c r="L66" i="2"/>
  <c r="K66" i="2"/>
  <c r="J66" i="2"/>
  <c r="I66" i="2"/>
  <c r="H66" i="2"/>
  <c r="G66" i="2"/>
  <c r="F66" i="2"/>
  <c r="E66" i="2"/>
  <c r="D66" i="2"/>
  <c r="C66" i="2"/>
  <c r="B66" i="2"/>
  <c r="A66" i="2"/>
  <c r="AA65" i="2"/>
  <c r="Z65" i="2"/>
  <c r="Y65" i="2"/>
  <c r="X65" i="2"/>
  <c r="W65" i="2"/>
  <c r="V65" i="2"/>
  <c r="U65" i="2"/>
  <c r="T65" i="2"/>
  <c r="S65" i="2"/>
  <c r="R65" i="2"/>
  <c r="Q65" i="2"/>
  <c r="P65" i="2"/>
  <c r="O65" i="2"/>
  <c r="N65" i="2"/>
  <c r="M65" i="2"/>
  <c r="L65" i="2"/>
  <c r="K65" i="2"/>
  <c r="J65" i="2"/>
  <c r="I65" i="2"/>
  <c r="H65" i="2"/>
  <c r="G65" i="2"/>
  <c r="F65" i="2"/>
  <c r="E65" i="2"/>
  <c r="D65" i="2"/>
  <c r="C65" i="2"/>
  <c r="B65" i="2"/>
  <c r="A65" i="2"/>
  <c r="AA64" i="2"/>
  <c r="Z64" i="2"/>
  <c r="Y64" i="2"/>
  <c r="X64" i="2"/>
  <c r="W64" i="2"/>
  <c r="V64" i="2"/>
  <c r="U64" i="2"/>
  <c r="T64" i="2"/>
  <c r="S64" i="2"/>
  <c r="R64" i="2"/>
  <c r="Q64" i="2"/>
  <c r="P64" i="2"/>
  <c r="O64" i="2"/>
  <c r="N64" i="2"/>
  <c r="M64" i="2"/>
  <c r="L64" i="2"/>
  <c r="K64" i="2"/>
  <c r="J64" i="2"/>
  <c r="I64" i="2"/>
  <c r="H64" i="2"/>
  <c r="G64" i="2"/>
  <c r="F64" i="2"/>
  <c r="E64" i="2"/>
  <c r="D64" i="2"/>
  <c r="C64" i="2"/>
  <c r="B64" i="2"/>
  <c r="A64" i="2"/>
  <c r="AA63" i="2"/>
  <c r="Z63" i="2"/>
  <c r="Y63" i="2"/>
  <c r="X63" i="2"/>
  <c r="W63" i="2"/>
  <c r="V63" i="2"/>
  <c r="U63" i="2"/>
  <c r="T63" i="2"/>
  <c r="S63" i="2"/>
  <c r="R63" i="2"/>
  <c r="Q63" i="2"/>
  <c r="P63" i="2"/>
  <c r="O63" i="2"/>
  <c r="N63" i="2"/>
  <c r="M63" i="2"/>
  <c r="L63" i="2"/>
  <c r="K63" i="2"/>
  <c r="J63" i="2"/>
  <c r="I63" i="2"/>
  <c r="H63" i="2"/>
  <c r="G63" i="2"/>
  <c r="F63" i="2"/>
  <c r="E63" i="2"/>
  <c r="D63" i="2"/>
  <c r="C63" i="2"/>
  <c r="B63" i="2"/>
  <c r="A63" i="2"/>
  <c r="AA62" i="2"/>
  <c r="Z62" i="2"/>
  <c r="Y62" i="2"/>
  <c r="X62" i="2"/>
  <c r="W62" i="2"/>
  <c r="V62" i="2"/>
  <c r="U62" i="2"/>
  <c r="T62" i="2"/>
  <c r="S62" i="2"/>
  <c r="R62" i="2"/>
  <c r="Q62" i="2"/>
  <c r="P62" i="2"/>
  <c r="O62" i="2"/>
  <c r="N62" i="2"/>
  <c r="M62" i="2"/>
  <c r="L62" i="2"/>
  <c r="K62" i="2"/>
  <c r="J62" i="2"/>
  <c r="I62" i="2"/>
  <c r="H62" i="2"/>
  <c r="G62" i="2"/>
  <c r="F62" i="2"/>
  <c r="E62" i="2"/>
  <c r="D62" i="2"/>
  <c r="C62" i="2"/>
  <c r="B62" i="2"/>
  <c r="A62" i="2"/>
  <c r="AA61" i="2"/>
  <c r="Z61" i="2"/>
  <c r="Y61" i="2"/>
  <c r="X61" i="2"/>
  <c r="W61" i="2"/>
  <c r="V61" i="2"/>
  <c r="U61" i="2"/>
  <c r="T61" i="2"/>
  <c r="S61" i="2"/>
  <c r="R61" i="2"/>
  <c r="Q61" i="2"/>
  <c r="P61" i="2"/>
  <c r="O61" i="2"/>
  <c r="N61" i="2"/>
  <c r="M61" i="2"/>
  <c r="L61" i="2"/>
  <c r="K61" i="2"/>
  <c r="J61" i="2"/>
  <c r="I61" i="2"/>
  <c r="H61" i="2"/>
  <c r="G61" i="2"/>
  <c r="F61" i="2"/>
  <c r="E61" i="2"/>
  <c r="D61" i="2"/>
  <c r="C61" i="2"/>
  <c r="B61" i="2"/>
  <c r="A61" i="2"/>
  <c r="AA60" i="2"/>
  <c r="Z60" i="2"/>
  <c r="Y60" i="2"/>
  <c r="X60" i="2"/>
  <c r="W60" i="2"/>
  <c r="V60" i="2"/>
  <c r="U60" i="2"/>
  <c r="T60" i="2"/>
  <c r="S60" i="2"/>
  <c r="R60" i="2"/>
  <c r="Q60" i="2"/>
  <c r="P60" i="2"/>
  <c r="O60" i="2"/>
  <c r="N60" i="2"/>
  <c r="M60" i="2"/>
  <c r="L60" i="2"/>
  <c r="K60" i="2"/>
  <c r="J60" i="2"/>
  <c r="I60" i="2"/>
  <c r="H60" i="2"/>
  <c r="G60" i="2"/>
  <c r="F60" i="2"/>
  <c r="E60" i="2"/>
  <c r="D60" i="2"/>
  <c r="C60" i="2"/>
  <c r="B60" i="2"/>
  <c r="A60" i="2"/>
  <c r="AA59" i="2"/>
  <c r="Z59" i="2"/>
  <c r="Y59" i="2"/>
  <c r="X59" i="2"/>
  <c r="W59" i="2"/>
  <c r="V59" i="2"/>
  <c r="U59" i="2"/>
  <c r="T59" i="2"/>
  <c r="S59" i="2"/>
  <c r="R59" i="2"/>
  <c r="Q59" i="2"/>
  <c r="P59" i="2"/>
  <c r="O59" i="2"/>
  <c r="N59" i="2"/>
  <c r="M59" i="2"/>
  <c r="L59" i="2"/>
  <c r="K59" i="2"/>
  <c r="J59" i="2"/>
  <c r="I59" i="2"/>
  <c r="H59" i="2"/>
  <c r="G59" i="2"/>
  <c r="F59" i="2"/>
  <c r="E59" i="2"/>
  <c r="D59" i="2"/>
  <c r="C59" i="2"/>
  <c r="B59" i="2"/>
  <c r="A59" i="2"/>
  <c r="AA58" i="2"/>
  <c r="Z58" i="2"/>
  <c r="Y58" i="2"/>
  <c r="X58" i="2"/>
  <c r="W58" i="2"/>
  <c r="V58" i="2"/>
  <c r="U58" i="2"/>
  <c r="T58" i="2"/>
  <c r="S58" i="2"/>
  <c r="R58" i="2"/>
  <c r="Q58" i="2"/>
  <c r="P58" i="2"/>
  <c r="O58" i="2"/>
  <c r="N58" i="2"/>
  <c r="M58" i="2"/>
  <c r="L58" i="2"/>
  <c r="K58" i="2"/>
  <c r="J58" i="2"/>
  <c r="I58" i="2"/>
  <c r="H58" i="2"/>
  <c r="G58" i="2"/>
  <c r="F58" i="2"/>
  <c r="E58" i="2"/>
  <c r="D58" i="2"/>
  <c r="C58" i="2"/>
  <c r="B58" i="2"/>
  <c r="A58" i="2"/>
  <c r="AA57" i="2"/>
  <c r="Z57" i="2"/>
  <c r="Y57" i="2"/>
  <c r="X57" i="2"/>
  <c r="W57" i="2"/>
  <c r="V57" i="2"/>
  <c r="U57" i="2"/>
  <c r="T57" i="2"/>
  <c r="S57" i="2"/>
  <c r="R57" i="2"/>
  <c r="Q57" i="2"/>
  <c r="P57" i="2"/>
  <c r="O57" i="2"/>
  <c r="N57" i="2"/>
  <c r="M57" i="2"/>
  <c r="L57" i="2"/>
  <c r="K57" i="2"/>
  <c r="J57" i="2"/>
  <c r="I57" i="2"/>
  <c r="H57" i="2"/>
  <c r="G57" i="2"/>
  <c r="F57" i="2"/>
  <c r="E57" i="2"/>
  <c r="D57" i="2"/>
  <c r="C57" i="2"/>
  <c r="B57" i="2"/>
  <c r="A57" i="2"/>
  <c r="AA56" i="2"/>
  <c r="Z56" i="2"/>
  <c r="Y56" i="2"/>
  <c r="X56" i="2"/>
  <c r="W56" i="2"/>
  <c r="V56" i="2"/>
  <c r="U56" i="2"/>
  <c r="T56" i="2"/>
  <c r="S56" i="2"/>
  <c r="R56" i="2"/>
  <c r="Q56" i="2"/>
  <c r="P56" i="2"/>
  <c r="O56" i="2"/>
  <c r="N56" i="2"/>
  <c r="M56" i="2"/>
  <c r="L56" i="2"/>
  <c r="K56" i="2"/>
  <c r="J56" i="2"/>
  <c r="I56" i="2"/>
  <c r="H56" i="2"/>
  <c r="G56" i="2"/>
  <c r="F56" i="2"/>
  <c r="E56" i="2"/>
  <c r="D56" i="2"/>
  <c r="C56" i="2"/>
  <c r="B56" i="2"/>
  <c r="A56" i="2"/>
  <c r="AA55" i="2"/>
  <c r="Z55" i="2"/>
  <c r="Y55" i="2"/>
  <c r="X55" i="2"/>
  <c r="W55" i="2"/>
  <c r="V55" i="2"/>
  <c r="U55" i="2"/>
  <c r="T55" i="2"/>
  <c r="S55" i="2"/>
  <c r="R55" i="2"/>
  <c r="Q55" i="2"/>
  <c r="P55" i="2"/>
  <c r="O55" i="2"/>
  <c r="N55" i="2"/>
  <c r="M55" i="2"/>
  <c r="L55" i="2"/>
  <c r="K55" i="2"/>
  <c r="J55" i="2"/>
  <c r="I55" i="2"/>
  <c r="H55" i="2"/>
  <c r="G55" i="2"/>
  <c r="F55" i="2"/>
  <c r="E55" i="2"/>
  <c r="D55" i="2"/>
  <c r="C55" i="2"/>
  <c r="B55" i="2"/>
  <c r="A55" i="2"/>
  <c r="AA54" i="2"/>
  <c r="Z54" i="2"/>
  <c r="Y54" i="2"/>
  <c r="X54" i="2"/>
  <c r="W54" i="2"/>
  <c r="V54" i="2"/>
  <c r="U54" i="2"/>
  <c r="T54" i="2"/>
  <c r="S54" i="2"/>
  <c r="R54" i="2"/>
  <c r="Q54" i="2"/>
  <c r="P54" i="2"/>
  <c r="O54" i="2"/>
  <c r="N54" i="2"/>
  <c r="M54" i="2"/>
  <c r="L54" i="2"/>
  <c r="K54" i="2"/>
  <c r="J54" i="2"/>
  <c r="I54" i="2"/>
  <c r="H54" i="2"/>
  <c r="G54" i="2"/>
  <c r="F54" i="2"/>
  <c r="E54" i="2"/>
  <c r="D54" i="2"/>
  <c r="C54" i="2"/>
  <c r="B54" i="2"/>
  <c r="A54" i="2"/>
  <c r="AA53" i="2"/>
  <c r="Z53" i="2"/>
  <c r="Y53" i="2"/>
  <c r="X53" i="2"/>
  <c r="W53" i="2"/>
  <c r="V53" i="2"/>
  <c r="U53" i="2"/>
  <c r="T53" i="2"/>
  <c r="S53" i="2"/>
  <c r="R53" i="2"/>
  <c r="Q53" i="2"/>
  <c r="P53" i="2"/>
  <c r="O53" i="2"/>
  <c r="N53" i="2"/>
  <c r="M53" i="2"/>
  <c r="L53" i="2"/>
  <c r="K53" i="2"/>
  <c r="J53" i="2"/>
  <c r="I53" i="2"/>
  <c r="H53" i="2"/>
  <c r="G53" i="2"/>
  <c r="F53" i="2"/>
  <c r="E53" i="2"/>
  <c r="D53" i="2"/>
  <c r="C53" i="2"/>
  <c r="B53" i="2"/>
  <c r="A53" i="2"/>
  <c r="AA52" i="2"/>
  <c r="Z52" i="2"/>
  <c r="Y52" i="2"/>
  <c r="X52" i="2"/>
  <c r="W52" i="2"/>
  <c r="V52" i="2"/>
  <c r="U52" i="2"/>
  <c r="T52" i="2"/>
  <c r="S52" i="2"/>
  <c r="R52" i="2"/>
  <c r="Q52" i="2"/>
  <c r="P52" i="2"/>
  <c r="O52" i="2"/>
  <c r="N52" i="2"/>
  <c r="M52" i="2"/>
  <c r="L52" i="2"/>
  <c r="K52" i="2"/>
  <c r="J52" i="2"/>
  <c r="I52" i="2"/>
  <c r="H52" i="2"/>
  <c r="G52" i="2"/>
  <c r="F52" i="2"/>
  <c r="E52" i="2"/>
  <c r="D52" i="2"/>
  <c r="C52" i="2"/>
  <c r="B52" i="2"/>
  <c r="A52" i="2"/>
  <c r="AA51" i="2"/>
  <c r="Z51" i="2"/>
  <c r="Y51" i="2"/>
  <c r="X51" i="2"/>
  <c r="W51" i="2"/>
  <c r="V51" i="2"/>
  <c r="U51" i="2"/>
  <c r="T51" i="2"/>
  <c r="S51" i="2"/>
  <c r="R51" i="2"/>
  <c r="Q51" i="2"/>
  <c r="P51" i="2"/>
  <c r="O51" i="2"/>
  <c r="N51" i="2"/>
  <c r="M51" i="2"/>
  <c r="L51" i="2"/>
  <c r="K51" i="2"/>
  <c r="J51" i="2"/>
  <c r="I51" i="2"/>
  <c r="H51" i="2"/>
  <c r="G51" i="2"/>
  <c r="F51" i="2"/>
  <c r="E51" i="2"/>
  <c r="D51" i="2"/>
  <c r="C51" i="2"/>
  <c r="B51" i="2"/>
  <c r="A51" i="2"/>
  <c r="AA50" i="2"/>
  <c r="Z50" i="2"/>
  <c r="Y50" i="2"/>
  <c r="X50" i="2"/>
  <c r="W50" i="2"/>
  <c r="V50" i="2"/>
  <c r="U50" i="2"/>
  <c r="T50" i="2"/>
  <c r="S50" i="2"/>
  <c r="R50" i="2"/>
  <c r="Q50" i="2"/>
  <c r="P50" i="2"/>
  <c r="O50" i="2"/>
  <c r="N50" i="2"/>
  <c r="M50" i="2"/>
  <c r="L50" i="2"/>
  <c r="K50" i="2"/>
  <c r="J50" i="2"/>
  <c r="I50" i="2"/>
  <c r="H50" i="2"/>
  <c r="G50" i="2"/>
  <c r="F50" i="2"/>
  <c r="E50" i="2"/>
  <c r="D50" i="2"/>
  <c r="C50" i="2"/>
  <c r="B50" i="2"/>
  <c r="A50" i="2"/>
  <c r="AA49" i="2"/>
  <c r="Z49" i="2"/>
  <c r="Y49" i="2"/>
  <c r="X49" i="2"/>
  <c r="W49" i="2"/>
  <c r="V49" i="2"/>
  <c r="U49" i="2"/>
  <c r="T49" i="2"/>
  <c r="S49" i="2"/>
  <c r="R49" i="2"/>
  <c r="Q49" i="2"/>
  <c r="P49" i="2"/>
  <c r="O49" i="2"/>
  <c r="N49" i="2"/>
  <c r="M49" i="2"/>
  <c r="L49" i="2"/>
  <c r="K49" i="2"/>
  <c r="J49" i="2"/>
  <c r="I49" i="2"/>
  <c r="H49" i="2"/>
  <c r="G49" i="2"/>
  <c r="F49" i="2"/>
  <c r="E49" i="2"/>
  <c r="D49" i="2"/>
  <c r="C49" i="2"/>
  <c r="B49" i="2"/>
  <c r="A49" i="2"/>
  <c r="AA48" i="2"/>
  <c r="Z48" i="2"/>
  <c r="Y48" i="2"/>
  <c r="X48" i="2"/>
  <c r="W48" i="2"/>
  <c r="V48" i="2"/>
  <c r="U48" i="2"/>
  <c r="T48" i="2"/>
  <c r="S48" i="2"/>
  <c r="R48" i="2"/>
  <c r="Q48" i="2"/>
  <c r="P48" i="2"/>
  <c r="O48" i="2"/>
  <c r="N48" i="2"/>
  <c r="M48" i="2"/>
  <c r="L48" i="2"/>
  <c r="K48" i="2"/>
  <c r="J48" i="2"/>
  <c r="I48" i="2"/>
  <c r="H48" i="2"/>
  <c r="G48" i="2"/>
  <c r="F48" i="2"/>
  <c r="E48" i="2"/>
  <c r="D48" i="2"/>
  <c r="C48" i="2"/>
  <c r="B48" i="2"/>
  <c r="A48" i="2"/>
  <c r="AA47" i="2"/>
  <c r="Z47" i="2"/>
  <c r="Y47" i="2"/>
  <c r="X47" i="2"/>
  <c r="W47" i="2"/>
  <c r="V47" i="2"/>
  <c r="U47" i="2"/>
  <c r="T47" i="2"/>
  <c r="S47" i="2"/>
  <c r="R47" i="2"/>
  <c r="Q47" i="2"/>
  <c r="P47" i="2"/>
  <c r="O47" i="2"/>
  <c r="N47" i="2"/>
  <c r="M47" i="2"/>
  <c r="L47" i="2"/>
  <c r="K47" i="2"/>
  <c r="J47" i="2"/>
  <c r="I47" i="2"/>
  <c r="H47" i="2"/>
  <c r="G47" i="2"/>
  <c r="F47" i="2"/>
  <c r="E47" i="2"/>
  <c r="D47" i="2"/>
  <c r="C47" i="2"/>
  <c r="B47" i="2"/>
  <c r="A47" i="2"/>
  <c r="AA46" i="2"/>
  <c r="Z46" i="2"/>
  <c r="Y46" i="2"/>
  <c r="X46" i="2"/>
  <c r="W46" i="2"/>
  <c r="V46" i="2"/>
  <c r="U46" i="2"/>
  <c r="T46" i="2"/>
  <c r="S46" i="2"/>
  <c r="R46" i="2"/>
  <c r="Q46" i="2"/>
  <c r="P46" i="2"/>
  <c r="O46" i="2"/>
  <c r="N46" i="2"/>
  <c r="M46" i="2"/>
  <c r="L46" i="2"/>
  <c r="K46" i="2"/>
  <c r="J46" i="2"/>
  <c r="I46" i="2"/>
  <c r="H46" i="2"/>
  <c r="G46" i="2"/>
  <c r="F46" i="2"/>
  <c r="E46" i="2"/>
  <c r="D46" i="2"/>
  <c r="C46" i="2"/>
  <c r="B46" i="2"/>
  <c r="A46" i="2"/>
  <c r="AA45" i="2"/>
  <c r="Z45" i="2"/>
  <c r="Y45" i="2"/>
  <c r="X45" i="2"/>
  <c r="W45" i="2"/>
  <c r="V45" i="2"/>
  <c r="U45" i="2"/>
  <c r="T45" i="2"/>
  <c r="S45" i="2"/>
  <c r="R45" i="2"/>
  <c r="Q45" i="2"/>
  <c r="P45" i="2"/>
  <c r="O45" i="2"/>
  <c r="N45" i="2"/>
  <c r="M45" i="2"/>
  <c r="L45" i="2"/>
  <c r="K45" i="2"/>
  <c r="J45" i="2"/>
  <c r="I45" i="2"/>
  <c r="H45" i="2"/>
  <c r="G45" i="2"/>
  <c r="F45" i="2"/>
  <c r="E45" i="2"/>
  <c r="D45" i="2"/>
  <c r="C45" i="2"/>
  <c r="B45" i="2"/>
  <c r="A45" i="2"/>
  <c r="AA44" i="2"/>
  <c r="Z44" i="2"/>
  <c r="Y44" i="2"/>
  <c r="X44" i="2"/>
  <c r="W44" i="2"/>
  <c r="V44" i="2"/>
  <c r="U44" i="2"/>
  <c r="T44" i="2"/>
  <c r="S44" i="2"/>
  <c r="R44" i="2"/>
  <c r="Q44" i="2"/>
  <c r="P44" i="2"/>
  <c r="O44" i="2"/>
  <c r="N44" i="2"/>
  <c r="M44" i="2"/>
  <c r="L44" i="2"/>
  <c r="K44" i="2"/>
  <c r="J44" i="2"/>
  <c r="I44" i="2"/>
  <c r="H44" i="2"/>
  <c r="G44" i="2"/>
  <c r="F44" i="2"/>
  <c r="E44" i="2"/>
  <c r="D44" i="2"/>
  <c r="C44" i="2"/>
  <c r="B44" i="2"/>
  <c r="A44" i="2"/>
  <c r="AA43" i="2"/>
  <c r="Z43" i="2"/>
  <c r="Y43" i="2"/>
  <c r="X43" i="2"/>
  <c r="W43" i="2"/>
  <c r="V43" i="2"/>
  <c r="U43" i="2"/>
  <c r="T43" i="2"/>
  <c r="S43" i="2"/>
  <c r="R43" i="2"/>
  <c r="Q43" i="2"/>
  <c r="P43" i="2"/>
  <c r="O43" i="2"/>
  <c r="N43" i="2"/>
  <c r="M43" i="2"/>
  <c r="L43" i="2"/>
  <c r="K43" i="2"/>
  <c r="J43" i="2"/>
  <c r="I43" i="2"/>
  <c r="H43" i="2"/>
  <c r="G43" i="2"/>
  <c r="F43" i="2"/>
  <c r="E43" i="2"/>
  <c r="D43" i="2"/>
  <c r="C43" i="2"/>
  <c r="B43" i="2"/>
  <c r="A43" i="2"/>
  <c r="AA42" i="2"/>
  <c r="Z42" i="2"/>
  <c r="Y42" i="2"/>
  <c r="X42" i="2"/>
  <c r="W42" i="2"/>
  <c r="V42" i="2"/>
  <c r="U42" i="2"/>
  <c r="T42" i="2"/>
  <c r="S42" i="2"/>
  <c r="R42" i="2"/>
  <c r="Q42" i="2"/>
  <c r="P42" i="2"/>
  <c r="O42" i="2"/>
  <c r="N42" i="2"/>
  <c r="M42" i="2"/>
  <c r="L42" i="2"/>
  <c r="K42" i="2"/>
  <c r="J42" i="2"/>
  <c r="I42" i="2"/>
  <c r="H42" i="2"/>
  <c r="G42" i="2"/>
  <c r="F42" i="2"/>
  <c r="E42" i="2"/>
  <c r="D42" i="2"/>
  <c r="C42" i="2"/>
  <c r="B42" i="2"/>
  <c r="A42" i="2"/>
  <c r="AA41" i="2"/>
  <c r="Z41" i="2"/>
  <c r="Y41" i="2"/>
  <c r="X41" i="2"/>
  <c r="W41" i="2"/>
  <c r="V41" i="2"/>
  <c r="U41" i="2"/>
  <c r="T41" i="2"/>
  <c r="S41" i="2"/>
  <c r="R41" i="2"/>
  <c r="Q41" i="2"/>
  <c r="P41" i="2"/>
  <c r="O41" i="2"/>
  <c r="N41" i="2"/>
  <c r="M41" i="2"/>
  <c r="L41" i="2"/>
  <c r="K41" i="2"/>
  <c r="J41" i="2"/>
  <c r="I41" i="2"/>
  <c r="H41" i="2"/>
  <c r="G41" i="2"/>
  <c r="F41" i="2"/>
  <c r="E41" i="2"/>
  <c r="D41" i="2"/>
  <c r="C41" i="2"/>
  <c r="B41" i="2"/>
  <c r="A41" i="2"/>
  <c r="AA40" i="2"/>
  <c r="Z40" i="2"/>
  <c r="Y40" i="2"/>
  <c r="X40" i="2"/>
  <c r="W40" i="2"/>
  <c r="V40" i="2"/>
  <c r="U40" i="2"/>
  <c r="T40" i="2"/>
  <c r="S40" i="2"/>
  <c r="R40" i="2"/>
  <c r="Q40" i="2"/>
  <c r="P40" i="2"/>
  <c r="O40" i="2"/>
  <c r="N40" i="2"/>
  <c r="M40" i="2"/>
  <c r="L40" i="2"/>
  <c r="K40" i="2"/>
  <c r="J40" i="2"/>
  <c r="I40" i="2"/>
  <c r="H40" i="2"/>
  <c r="G40" i="2"/>
  <c r="F40" i="2"/>
  <c r="E40" i="2"/>
  <c r="D40" i="2"/>
  <c r="C40" i="2"/>
  <c r="B40" i="2"/>
  <c r="A40" i="2"/>
  <c r="AA39" i="2"/>
  <c r="Z39" i="2"/>
  <c r="Y39" i="2"/>
  <c r="X39" i="2"/>
  <c r="W39" i="2"/>
  <c r="V39" i="2"/>
  <c r="U39" i="2"/>
  <c r="T39" i="2"/>
  <c r="S39" i="2"/>
  <c r="R39" i="2"/>
  <c r="Q39" i="2"/>
  <c r="P39" i="2"/>
  <c r="O39" i="2"/>
  <c r="N39" i="2"/>
  <c r="M39" i="2"/>
  <c r="L39" i="2"/>
  <c r="K39" i="2"/>
  <c r="J39" i="2"/>
  <c r="I39" i="2"/>
  <c r="H39" i="2"/>
  <c r="G39" i="2"/>
  <c r="F39" i="2"/>
  <c r="E39" i="2"/>
  <c r="D39" i="2"/>
  <c r="C39" i="2"/>
  <c r="B39" i="2"/>
  <c r="A39" i="2"/>
  <c r="AA38" i="2"/>
  <c r="Z38" i="2"/>
  <c r="Y38" i="2"/>
  <c r="X38" i="2"/>
  <c r="W38" i="2"/>
  <c r="V38" i="2"/>
  <c r="U38" i="2"/>
  <c r="T38" i="2"/>
  <c r="S38" i="2"/>
  <c r="R38" i="2"/>
  <c r="Q38" i="2"/>
  <c r="P38" i="2"/>
  <c r="O38" i="2"/>
  <c r="N38" i="2"/>
  <c r="M38" i="2"/>
  <c r="L38" i="2"/>
  <c r="K38" i="2"/>
  <c r="J38" i="2"/>
  <c r="I38" i="2"/>
  <c r="H38" i="2"/>
  <c r="G38" i="2"/>
  <c r="F38" i="2"/>
  <c r="E38" i="2"/>
  <c r="D38" i="2"/>
  <c r="C38" i="2"/>
  <c r="B38" i="2"/>
  <c r="A38" i="2"/>
  <c r="AA37" i="2"/>
  <c r="Z37" i="2"/>
  <c r="Y37" i="2"/>
  <c r="X37" i="2"/>
  <c r="W37" i="2"/>
  <c r="V37" i="2"/>
  <c r="U37" i="2"/>
  <c r="T37" i="2"/>
  <c r="S37" i="2"/>
  <c r="R37" i="2"/>
  <c r="Q37" i="2"/>
  <c r="P37" i="2"/>
  <c r="O37" i="2"/>
  <c r="N37" i="2"/>
  <c r="M37" i="2"/>
  <c r="L37" i="2"/>
  <c r="K37" i="2"/>
  <c r="J37" i="2"/>
  <c r="I37" i="2"/>
  <c r="H37" i="2"/>
  <c r="G37" i="2"/>
  <c r="F37" i="2"/>
  <c r="E37" i="2"/>
  <c r="D37" i="2"/>
  <c r="C37" i="2"/>
  <c r="B37" i="2"/>
  <c r="A37" i="2"/>
  <c r="AA36" i="2"/>
  <c r="Z36" i="2"/>
  <c r="Y36" i="2"/>
  <c r="X36" i="2"/>
  <c r="W36" i="2"/>
  <c r="V36" i="2"/>
  <c r="U36" i="2"/>
  <c r="T36" i="2"/>
  <c r="S36" i="2"/>
  <c r="R36" i="2"/>
  <c r="Q36" i="2"/>
  <c r="P36" i="2"/>
  <c r="O36" i="2"/>
  <c r="N36" i="2"/>
  <c r="M36" i="2"/>
  <c r="L36" i="2"/>
  <c r="K36" i="2"/>
  <c r="J36" i="2"/>
  <c r="I36" i="2"/>
  <c r="H36" i="2"/>
  <c r="G36" i="2"/>
  <c r="F36" i="2"/>
  <c r="E36" i="2"/>
  <c r="D36" i="2"/>
  <c r="C36" i="2"/>
  <c r="B36" i="2"/>
  <c r="A36" i="2"/>
  <c r="AA35" i="2"/>
  <c r="Z35" i="2"/>
  <c r="Y35" i="2"/>
  <c r="X35" i="2"/>
  <c r="W35" i="2"/>
  <c r="V35" i="2"/>
  <c r="U35" i="2"/>
  <c r="T35" i="2"/>
  <c r="S35" i="2"/>
  <c r="R35" i="2"/>
  <c r="Q35" i="2"/>
  <c r="P35" i="2"/>
  <c r="O35" i="2"/>
  <c r="N35" i="2"/>
  <c r="M35" i="2"/>
  <c r="L35" i="2"/>
  <c r="K35" i="2"/>
  <c r="J35" i="2"/>
  <c r="I35" i="2"/>
  <c r="H35" i="2"/>
  <c r="G35" i="2"/>
  <c r="F35" i="2"/>
  <c r="E35" i="2"/>
  <c r="D35" i="2"/>
  <c r="C35" i="2"/>
  <c r="B35" i="2"/>
  <c r="A35" i="2"/>
  <c r="AA34" i="2"/>
  <c r="Z34" i="2"/>
  <c r="Y34" i="2"/>
  <c r="X34" i="2"/>
  <c r="W34" i="2"/>
  <c r="V34" i="2"/>
  <c r="U34" i="2"/>
  <c r="T34" i="2"/>
  <c r="S34" i="2"/>
  <c r="R34" i="2"/>
  <c r="Q34" i="2"/>
  <c r="P34" i="2"/>
  <c r="O34" i="2"/>
  <c r="N34" i="2"/>
  <c r="M34" i="2"/>
  <c r="L34" i="2"/>
  <c r="K34" i="2"/>
  <c r="J34" i="2"/>
  <c r="I34" i="2"/>
  <c r="H34" i="2"/>
  <c r="G34" i="2"/>
  <c r="F34" i="2"/>
  <c r="E34" i="2"/>
  <c r="D34" i="2"/>
  <c r="C34" i="2"/>
  <c r="B34" i="2"/>
  <c r="A34" i="2"/>
  <c r="AA33" i="2"/>
  <c r="Z33" i="2"/>
  <c r="Y33" i="2"/>
  <c r="X33" i="2"/>
  <c r="W33" i="2"/>
  <c r="V33" i="2"/>
  <c r="U33" i="2"/>
  <c r="T33" i="2"/>
  <c r="S33" i="2"/>
  <c r="R33" i="2"/>
  <c r="Q33" i="2"/>
  <c r="P33" i="2"/>
  <c r="O33" i="2"/>
  <c r="N33" i="2"/>
  <c r="M33" i="2"/>
  <c r="L33" i="2"/>
  <c r="K33" i="2"/>
  <c r="J33" i="2"/>
  <c r="I33" i="2"/>
  <c r="H33" i="2"/>
  <c r="G33" i="2"/>
  <c r="F33" i="2"/>
  <c r="E33" i="2"/>
  <c r="D33" i="2"/>
  <c r="C33" i="2"/>
  <c r="B33" i="2"/>
  <c r="A33" i="2"/>
  <c r="AA32" i="2"/>
  <c r="Z32" i="2"/>
  <c r="Y32" i="2"/>
  <c r="X32" i="2"/>
  <c r="W32" i="2"/>
  <c r="V32" i="2"/>
  <c r="U32" i="2"/>
  <c r="T32" i="2"/>
  <c r="S32" i="2"/>
  <c r="R32" i="2"/>
  <c r="Q32" i="2"/>
  <c r="P32" i="2"/>
  <c r="O32" i="2"/>
  <c r="N32" i="2"/>
  <c r="M32" i="2"/>
  <c r="L32" i="2"/>
  <c r="K32" i="2"/>
  <c r="J32" i="2"/>
  <c r="I32" i="2"/>
  <c r="H32" i="2"/>
  <c r="G32" i="2"/>
  <c r="F32" i="2"/>
  <c r="E32" i="2"/>
  <c r="D32" i="2"/>
  <c r="C32" i="2"/>
  <c r="B32" i="2"/>
  <c r="A32" i="2"/>
  <c r="AA31" i="2"/>
  <c r="Z31" i="2"/>
  <c r="Y31" i="2"/>
  <c r="X31" i="2"/>
  <c r="W31" i="2"/>
  <c r="V31" i="2"/>
  <c r="U31" i="2"/>
  <c r="T31" i="2"/>
  <c r="S31" i="2"/>
  <c r="R31" i="2"/>
  <c r="Q31" i="2"/>
  <c r="P31" i="2"/>
  <c r="O31" i="2"/>
  <c r="N31" i="2"/>
  <c r="M31" i="2"/>
  <c r="L31" i="2"/>
  <c r="K31" i="2"/>
  <c r="J31" i="2"/>
  <c r="I31" i="2"/>
  <c r="H31" i="2"/>
  <c r="G31" i="2"/>
  <c r="F31" i="2"/>
  <c r="E31" i="2"/>
  <c r="D31" i="2"/>
  <c r="C31" i="2"/>
  <c r="B31" i="2"/>
  <c r="A31" i="2"/>
  <c r="AA30" i="2"/>
  <c r="Z30" i="2"/>
  <c r="Y30" i="2"/>
  <c r="X30" i="2"/>
  <c r="W30" i="2"/>
  <c r="V30" i="2"/>
  <c r="U30" i="2"/>
  <c r="T30" i="2"/>
  <c r="S30" i="2"/>
  <c r="R30" i="2"/>
  <c r="Q30" i="2"/>
  <c r="P30" i="2"/>
  <c r="O30" i="2"/>
  <c r="N30" i="2"/>
  <c r="M30" i="2"/>
  <c r="L30" i="2"/>
  <c r="K30" i="2"/>
  <c r="J30" i="2"/>
  <c r="I30" i="2"/>
  <c r="H30" i="2"/>
  <c r="G30" i="2"/>
  <c r="F30" i="2"/>
  <c r="E30" i="2"/>
  <c r="D30" i="2"/>
  <c r="C30" i="2"/>
  <c r="B30" i="2"/>
  <c r="A30" i="2"/>
  <c r="AA29" i="2"/>
  <c r="Z29" i="2"/>
  <c r="Y29" i="2"/>
  <c r="X29" i="2"/>
  <c r="W29" i="2"/>
  <c r="V29" i="2"/>
  <c r="U29" i="2"/>
  <c r="T29" i="2"/>
  <c r="S29" i="2"/>
  <c r="R29" i="2"/>
  <c r="Q29" i="2"/>
  <c r="P29" i="2"/>
  <c r="O29" i="2"/>
  <c r="N29" i="2"/>
  <c r="M29" i="2"/>
  <c r="L29" i="2"/>
  <c r="K29" i="2"/>
  <c r="J29" i="2"/>
  <c r="I29" i="2"/>
  <c r="H29" i="2"/>
  <c r="G29" i="2"/>
  <c r="F29" i="2"/>
  <c r="E29" i="2"/>
  <c r="D29" i="2"/>
  <c r="C29" i="2"/>
  <c r="B29" i="2"/>
  <c r="A29" i="2"/>
  <c r="AA28" i="2"/>
  <c r="Z28" i="2"/>
  <c r="Y28" i="2"/>
  <c r="X28" i="2"/>
  <c r="W28" i="2"/>
  <c r="V28" i="2"/>
  <c r="U28" i="2"/>
  <c r="T28" i="2"/>
  <c r="S28" i="2"/>
  <c r="R28" i="2"/>
  <c r="Q28" i="2"/>
  <c r="P28" i="2"/>
  <c r="O28" i="2"/>
  <c r="N28" i="2"/>
  <c r="M28" i="2"/>
  <c r="L28" i="2"/>
  <c r="K28" i="2"/>
  <c r="J28" i="2"/>
  <c r="I28" i="2"/>
  <c r="H28" i="2"/>
  <c r="G28" i="2"/>
  <c r="F28" i="2"/>
  <c r="E28" i="2"/>
  <c r="D28" i="2"/>
  <c r="C28" i="2"/>
  <c r="B28" i="2"/>
  <c r="A28" i="2"/>
  <c r="AA27" i="2"/>
  <c r="Z27" i="2"/>
  <c r="Y27" i="2"/>
  <c r="X27" i="2"/>
  <c r="W27" i="2"/>
  <c r="V27" i="2"/>
  <c r="U27" i="2"/>
  <c r="T27" i="2"/>
  <c r="S27" i="2"/>
  <c r="R27" i="2"/>
  <c r="Q27" i="2"/>
  <c r="P27" i="2"/>
  <c r="O27" i="2"/>
  <c r="N27" i="2"/>
  <c r="M27" i="2"/>
  <c r="L27" i="2"/>
  <c r="K27" i="2"/>
  <c r="J27" i="2"/>
  <c r="I27" i="2"/>
  <c r="H27" i="2"/>
  <c r="G27" i="2"/>
  <c r="F27" i="2"/>
  <c r="E27" i="2"/>
  <c r="D27" i="2"/>
  <c r="C27" i="2"/>
  <c r="B27" i="2"/>
  <c r="A27" i="2"/>
  <c r="AA26" i="2"/>
  <c r="Z26" i="2"/>
  <c r="Y26" i="2"/>
  <c r="X26" i="2"/>
  <c r="W26" i="2"/>
  <c r="V26" i="2"/>
  <c r="U26" i="2"/>
  <c r="T26" i="2"/>
  <c r="S26" i="2"/>
  <c r="R26" i="2"/>
  <c r="Q26" i="2"/>
  <c r="P26" i="2"/>
  <c r="O26" i="2"/>
  <c r="N26" i="2"/>
  <c r="M26" i="2"/>
  <c r="L26" i="2"/>
  <c r="K26" i="2"/>
  <c r="J26" i="2"/>
  <c r="I26" i="2"/>
  <c r="H26" i="2"/>
  <c r="G26" i="2"/>
  <c r="F26" i="2"/>
  <c r="E26" i="2"/>
  <c r="D26" i="2"/>
  <c r="C26" i="2"/>
  <c r="B26" i="2"/>
  <c r="A26" i="2"/>
  <c r="AA25" i="2"/>
  <c r="Z25" i="2"/>
  <c r="Y25" i="2"/>
  <c r="X25" i="2"/>
  <c r="W25" i="2"/>
  <c r="V25" i="2"/>
  <c r="U25" i="2"/>
  <c r="T25" i="2"/>
  <c r="S25" i="2"/>
  <c r="R25" i="2"/>
  <c r="Q25" i="2"/>
  <c r="P25" i="2"/>
  <c r="O25" i="2"/>
  <c r="N25" i="2"/>
  <c r="M25" i="2"/>
  <c r="L25" i="2"/>
  <c r="K25" i="2"/>
  <c r="J25" i="2"/>
  <c r="I25" i="2"/>
  <c r="H25" i="2"/>
  <c r="G25" i="2"/>
  <c r="F25" i="2"/>
  <c r="E25" i="2"/>
  <c r="D25" i="2"/>
  <c r="C25" i="2"/>
  <c r="B25" i="2"/>
  <c r="A25" i="2"/>
  <c r="AA24" i="2"/>
  <c r="Z24" i="2"/>
  <c r="Y24" i="2"/>
  <c r="X24" i="2"/>
  <c r="W24" i="2"/>
  <c r="V24" i="2"/>
  <c r="U24" i="2"/>
  <c r="T24" i="2"/>
  <c r="S24" i="2"/>
  <c r="R24" i="2"/>
  <c r="Q24" i="2"/>
  <c r="P24" i="2"/>
  <c r="O24" i="2"/>
  <c r="N24" i="2"/>
  <c r="M24" i="2"/>
  <c r="L24" i="2"/>
  <c r="K24" i="2"/>
  <c r="J24" i="2"/>
  <c r="I24" i="2"/>
  <c r="H24" i="2"/>
  <c r="G24" i="2"/>
  <c r="F24" i="2"/>
  <c r="E24" i="2"/>
  <c r="D24" i="2"/>
  <c r="C24" i="2"/>
  <c r="B24" i="2"/>
  <c r="A24" i="2"/>
  <c r="AA23" i="2"/>
  <c r="Z23" i="2"/>
  <c r="Y23" i="2"/>
  <c r="X23" i="2"/>
  <c r="W23" i="2"/>
  <c r="V23" i="2"/>
  <c r="U23" i="2"/>
  <c r="T23" i="2"/>
  <c r="S23" i="2"/>
  <c r="R23" i="2"/>
  <c r="Q23" i="2"/>
  <c r="P23" i="2"/>
  <c r="O23" i="2"/>
  <c r="N23" i="2"/>
  <c r="M23" i="2"/>
  <c r="L23" i="2"/>
  <c r="K23" i="2"/>
  <c r="J23" i="2"/>
  <c r="I23" i="2"/>
  <c r="H23" i="2"/>
  <c r="G23" i="2"/>
  <c r="F23" i="2"/>
  <c r="E23" i="2"/>
  <c r="D23" i="2"/>
  <c r="C23" i="2"/>
  <c r="B23" i="2"/>
  <c r="A23" i="2"/>
  <c r="AA22" i="2"/>
  <c r="Z22" i="2"/>
  <c r="Y22" i="2"/>
  <c r="X22" i="2"/>
  <c r="W22" i="2"/>
  <c r="V22" i="2"/>
  <c r="U22" i="2"/>
  <c r="T22" i="2"/>
  <c r="S22" i="2"/>
  <c r="R22" i="2"/>
  <c r="Q22" i="2"/>
  <c r="P22" i="2"/>
  <c r="O22" i="2"/>
  <c r="N22" i="2"/>
  <c r="M22" i="2"/>
  <c r="L22" i="2"/>
  <c r="K22" i="2"/>
  <c r="J22" i="2"/>
  <c r="I22" i="2"/>
  <c r="H22" i="2"/>
  <c r="G22" i="2"/>
  <c r="F22" i="2"/>
  <c r="E22" i="2"/>
  <c r="D22" i="2"/>
  <c r="C22" i="2"/>
  <c r="B22" i="2"/>
  <c r="A22" i="2"/>
  <c r="AA21" i="2"/>
  <c r="Z21" i="2"/>
  <c r="Y21" i="2"/>
  <c r="X21" i="2"/>
  <c r="W21" i="2"/>
  <c r="V21" i="2"/>
  <c r="U21" i="2"/>
  <c r="T21" i="2"/>
  <c r="S21" i="2"/>
  <c r="R21" i="2"/>
  <c r="Q21" i="2"/>
  <c r="P21" i="2"/>
  <c r="O21" i="2"/>
  <c r="N21" i="2"/>
  <c r="M21" i="2"/>
  <c r="L21" i="2"/>
  <c r="K21" i="2"/>
  <c r="J21" i="2"/>
  <c r="I21" i="2"/>
  <c r="H21" i="2"/>
  <c r="G21" i="2"/>
  <c r="F21" i="2"/>
  <c r="E21" i="2"/>
  <c r="D21" i="2"/>
  <c r="C21" i="2"/>
  <c r="B21" i="2"/>
  <c r="A21" i="2"/>
  <c r="AA20" i="2"/>
  <c r="Z20" i="2"/>
  <c r="Y20" i="2"/>
  <c r="X20" i="2"/>
  <c r="W20" i="2"/>
  <c r="V20" i="2"/>
  <c r="U20" i="2"/>
  <c r="T20" i="2"/>
  <c r="S20" i="2"/>
  <c r="R20" i="2"/>
  <c r="Q20" i="2"/>
  <c r="P20" i="2"/>
  <c r="O20" i="2"/>
  <c r="N20" i="2"/>
  <c r="M20" i="2"/>
  <c r="L20" i="2"/>
  <c r="K20" i="2"/>
  <c r="J20" i="2"/>
  <c r="I20" i="2"/>
  <c r="H20" i="2"/>
  <c r="G20" i="2"/>
  <c r="F20" i="2"/>
  <c r="E20" i="2"/>
  <c r="D20" i="2"/>
  <c r="C20" i="2"/>
  <c r="B20" i="2"/>
  <c r="A20" i="2"/>
  <c r="AA19" i="2"/>
  <c r="Z19" i="2"/>
  <c r="Y19" i="2"/>
  <c r="X19" i="2"/>
  <c r="W19" i="2"/>
  <c r="V19" i="2"/>
  <c r="U19" i="2"/>
  <c r="T19" i="2"/>
  <c r="S19" i="2"/>
  <c r="R19" i="2"/>
  <c r="Q19" i="2"/>
  <c r="P19" i="2"/>
  <c r="O19" i="2"/>
  <c r="N19" i="2"/>
  <c r="M19" i="2"/>
  <c r="L19" i="2"/>
  <c r="K19" i="2"/>
  <c r="J19" i="2"/>
  <c r="I19" i="2"/>
  <c r="H19" i="2"/>
  <c r="G19" i="2"/>
  <c r="F19" i="2"/>
  <c r="E19" i="2"/>
  <c r="D19" i="2"/>
  <c r="C19" i="2"/>
  <c r="B19" i="2"/>
  <c r="A19" i="2"/>
  <c r="AA18" i="2"/>
  <c r="Z18" i="2"/>
  <c r="Y18" i="2"/>
  <c r="X18" i="2"/>
  <c r="W18" i="2"/>
  <c r="V18" i="2"/>
  <c r="U18" i="2"/>
  <c r="T18" i="2"/>
  <c r="S18" i="2"/>
  <c r="R18" i="2"/>
  <c r="Q18" i="2"/>
  <c r="P18" i="2"/>
  <c r="O18" i="2"/>
  <c r="N18" i="2"/>
  <c r="M18" i="2"/>
  <c r="L18" i="2"/>
  <c r="K18" i="2"/>
  <c r="J18" i="2"/>
  <c r="I18" i="2"/>
  <c r="H18" i="2"/>
  <c r="G18" i="2"/>
  <c r="F18" i="2"/>
  <c r="E18" i="2"/>
  <c r="D18" i="2"/>
  <c r="C18" i="2"/>
  <c r="B18" i="2"/>
  <c r="A18" i="2"/>
  <c r="AA17" i="2"/>
  <c r="Z17" i="2"/>
  <c r="Y17" i="2"/>
  <c r="X17" i="2"/>
  <c r="W17" i="2"/>
  <c r="V17" i="2"/>
  <c r="U17" i="2"/>
  <c r="T17" i="2"/>
  <c r="S17" i="2"/>
  <c r="R17" i="2"/>
  <c r="Q17" i="2"/>
  <c r="P17" i="2"/>
  <c r="O17" i="2"/>
  <c r="N17" i="2"/>
  <c r="M17" i="2"/>
  <c r="L17" i="2"/>
  <c r="K17" i="2"/>
  <c r="J17" i="2"/>
  <c r="I17" i="2"/>
  <c r="H17" i="2"/>
  <c r="G17" i="2"/>
  <c r="F17" i="2"/>
  <c r="E17" i="2"/>
  <c r="D17" i="2"/>
  <c r="C17" i="2"/>
  <c r="B17" i="2"/>
  <c r="A17" i="2"/>
  <c r="AA16" i="2"/>
  <c r="Z16" i="2"/>
  <c r="Y16" i="2"/>
  <c r="X16" i="2"/>
  <c r="W16" i="2"/>
  <c r="V16" i="2"/>
  <c r="U16" i="2"/>
  <c r="T16" i="2"/>
  <c r="S16" i="2"/>
  <c r="R16" i="2"/>
  <c r="Q16" i="2"/>
  <c r="P16" i="2"/>
  <c r="O16" i="2"/>
  <c r="N16" i="2"/>
  <c r="M16" i="2"/>
  <c r="L16" i="2"/>
  <c r="K16" i="2"/>
  <c r="J16" i="2"/>
  <c r="I16" i="2"/>
  <c r="H16" i="2"/>
  <c r="G16" i="2"/>
  <c r="F16" i="2"/>
  <c r="E16" i="2"/>
  <c r="D16" i="2"/>
  <c r="C16" i="2"/>
  <c r="B16" i="2"/>
  <c r="A16" i="2"/>
  <c r="AA15" i="2"/>
  <c r="Z15" i="2"/>
  <c r="Y15" i="2"/>
  <c r="X15" i="2"/>
  <c r="W15" i="2"/>
  <c r="V15" i="2"/>
  <c r="U15" i="2"/>
  <c r="T15" i="2"/>
  <c r="S15" i="2"/>
  <c r="R15" i="2"/>
  <c r="Q15" i="2"/>
  <c r="P15" i="2"/>
  <c r="O15" i="2"/>
  <c r="N15" i="2"/>
  <c r="M15" i="2"/>
  <c r="L15" i="2"/>
  <c r="K15" i="2"/>
  <c r="J15" i="2"/>
  <c r="I15" i="2"/>
  <c r="H15" i="2"/>
  <c r="G15" i="2"/>
  <c r="F15" i="2"/>
  <c r="E15" i="2"/>
  <c r="D15" i="2"/>
  <c r="C15" i="2"/>
  <c r="B15" i="2"/>
  <c r="A15" i="2"/>
  <c r="AA14" i="2"/>
  <c r="Z14" i="2"/>
  <c r="Y14" i="2"/>
  <c r="X14" i="2"/>
  <c r="W14" i="2"/>
  <c r="V14" i="2"/>
  <c r="U14" i="2"/>
  <c r="T14" i="2"/>
  <c r="S14" i="2"/>
  <c r="R14" i="2"/>
  <c r="Q14" i="2"/>
  <c r="P14" i="2"/>
  <c r="O14" i="2"/>
  <c r="N14" i="2"/>
  <c r="M14" i="2"/>
  <c r="L14" i="2"/>
  <c r="K14" i="2"/>
  <c r="J14" i="2"/>
  <c r="I14" i="2"/>
  <c r="H14" i="2"/>
  <c r="G14" i="2"/>
  <c r="F14" i="2"/>
  <c r="E14" i="2"/>
  <c r="D14" i="2"/>
  <c r="C14" i="2"/>
  <c r="B14" i="2"/>
  <c r="A14" i="2"/>
  <c r="AA13" i="2"/>
  <c r="Z13" i="2"/>
  <c r="Y13" i="2"/>
  <c r="X13" i="2"/>
  <c r="W13" i="2"/>
  <c r="V13" i="2"/>
  <c r="U13" i="2"/>
  <c r="T13" i="2"/>
  <c r="S13" i="2"/>
  <c r="R13" i="2"/>
  <c r="Q13" i="2"/>
  <c r="P13" i="2"/>
  <c r="O13" i="2"/>
  <c r="N13" i="2"/>
  <c r="M13" i="2"/>
  <c r="L13" i="2"/>
  <c r="K13" i="2"/>
  <c r="J13" i="2"/>
  <c r="I13" i="2"/>
  <c r="H13" i="2"/>
  <c r="G13" i="2"/>
  <c r="F13" i="2"/>
  <c r="E13" i="2"/>
  <c r="D13" i="2"/>
  <c r="C13" i="2"/>
  <c r="B13" i="2"/>
  <c r="A13" i="2"/>
  <c r="AA12" i="2"/>
  <c r="Z12" i="2"/>
  <c r="Y12" i="2"/>
  <c r="X12" i="2"/>
  <c r="W12" i="2"/>
  <c r="V12" i="2"/>
  <c r="U12" i="2"/>
  <c r="T12" i="2"/>
  <c r="S12" i="2"/>
  <c r="R12" i="2"/>
  <c r="Q12" i="2"/>
  <c r="P12" i="2"/>
  <c r="O12" i="2"/>
  <c r="N12" i="2"/>
  <c r="M12" i="2"/>
  <c r="L12" i="2"/>
  <c r="K12" i="2"/>
  <c r="J12" i="2"/>
  <c r="I12" i="2"/>
  <c r="H12" i="2"/>
  <c r="G12" i="2"/>
  <c r="F12" i="2"/>
  <c r="E12" i="2"/>
  <c r="D12" i="2"/>
  <c r="C12" i="2"/>
  <c r="B12" i="2"/>
  <c r="A12" i="2"/>
  <c r="AA11" i="2"/>
  <c r="Z11" i="2"/>
  <c r="Y11" i="2"/>
  <c r="X11" i="2"/>
  <c r="W11" i="2"/>
  <c r="V11" i="2"/>
  <c r="U11" i="2"/>
  <c r="T11" i="2"/>
  <c r="S11" i="2"/>
  <c r="R11" i="2"/>
  <c r="Q11" i="2"/>
  <c r="P11" i="2"/>
  <c r="O11" i="2"/>
  <c r="N11" i="2"/>
  <c r="M11" i="2"/>
  <c r="L11" i="2"/>
  <c r="K11" i="2"/>
  <c r="J11" i="2"/>
  <c r="I11" i="2"/>
  <c r="H11" i="2"/>
  <c r="G11" i="2"/>
  <c r="F11" i="2"/>
  <c r="E11" i="2"/>
  <c r="D11" i="2"/>
  <c r="C11" i="2"/>
  <c r="B11" i="2"/>
  <c r="A11" i="2"/>
  <c r="AA10" i="2"/>
  <c r="Z10" i="2"/>
  <c r="Y10" i="2"/>
  <c r="X10" i="2"/>
  <c r="W10" i="2"/>
  <c r="V10" i="2"/>
  <c r="U10" i="2"/>
  <c r="T10" i="2"/>
  <c r="S10" i="2"/>
  <c r="R10" i="2"/>
  <c r="Q10" i="2"/>
  <c r="P10" i="2"/>
  <c r="O10" i="2"/>
  <c r="N10" i="2"/>
  <c r="M10" i="2"/>
  <c r="L10" i="2"/>
  <c r="K10" i="2"/>
  <c r="J10" i="2"/>
  <c r="I10" i="2"/>
  <c r="H10" i="2"/>
  <c r="G10" i="2"/>
  <c r="F10" i="2"/>
  <c r="E10" i="2"/>
  <c r="D10" i="2"/>
  <c r="C10" i="2"/>
  <c r="B10" i="2"/>
  <c r="A10" i="2"/>
  <c r="AA9" i="2"/>
  <c r="Z9" i="2"/>
  <c r="Y9" i="2"/>
  <c r="X9" i="2"/>
  <c r="W9" i="2"/>
  <c r="V9" i="2"/>
  <c r="U9" i="2"/>
  <c r="T9" i="2"/>
  <c r="S9" i="2"/>
  <c r="R9" i="2"/>
  <c r="Q9" i="2"/>
  <c r="P9" i="2"/>
  <c r="O9" i="2"/>
  <c r="N9" i="2"/>
  <c r="M9" i="2"/>
  <c r="L9" i="2"/>
  <c r="K9" i="2"/>
  <c r="J9" i="2"/>
  <c r="I9" i="2"/>
  <c r="H9" i="2"/>
  <c r="G9" i="2"/>
  <c r="F9" i="2"/>
  <c r="E9" i="2"/>
  <c r="D9" i="2"/>
  <c r="C9" i="2"/>
  <c r="B9" i="2"/>
  <c r="A9" i="2"/>
  <c r="AA8" i="2"/>
  <c r="Z8" i="2"/>
  <c r="Y8" i="2"/>
  <c r="X8" i="2"/>
  <c r="W8" i="2"/>
  <c r="V8" i="2"/>
  <c r="U8" i="2"/>
  <c r="T8" i="2"/>
  <c r="S8" i="2"/>
  <c r="R8" i="2"/>
  <c r="Q8" i="2"/>
  <c r="P8" i="2"/>
  <c r="O8" i="2"/>
  <c r="N8" i="2"/>
  <c r="M8" i="2"/>
  <c r="L8" i="2"/>
  <c r="K8" i="2"/>
  <c r="J8" i="2"/>
  <c r="I8" i="2"/>
  <c r="H8" i="2"/>
  <c r="G8" i="2"/>
  <c r="F8" i="2"/>
  <c r="E8" i="2"/>
  <c r="D8" i="2"/>
  <c r="C8" i="2"/>
  <c r="B8" i="2"/>
  <c r="A8" i="2"/>
  <c r="AA7" i="2"/>
  <c r="Z7" i="2"/>
  <c r="Y7" i="2"/>
  <c r="X7" i="2"/>
  <c r="W7" i="2"/>
  <c r="V7" i="2"/>
  <c r="U7" i="2"/>
  <c r="T7" i="2"/>
  <c r="S7" i="2"/>
  <c r="R7" i="2"/>
  <c r="Q7" i="2"/>
  <c r="P7" i="2"/>
  <c r="O7" i="2"/>
  <c r="N7" i="2"/>
  <c r="M7" i="2"/>
  <c r="L7" i="2"/>
  <c r="K7" i="2"/>
  <c r="J7" i="2"/>
  <c r="I7" i="2"/>
  <c r="H7" i="2"/>
  <c r="G7" i="2"/>
  <c r="F7" i="2"/>
  <c r="E7" i="2"/>
  <c r="D7" i="2"/>
  <c r="C7" i="2"/>
  <c r="B7" i="2"/>
  <c r="A7" i="2"/>
  <c r="AA6" i="2"/>
  <c r="Z6" i="2"/>
  <c r="Y6" i="2"/>
  <c r="X6" i="2"/>
  <c r="W6" i="2"/>
  <c r="V6" i="2"/>
  <c r="U6" i="2"/>
  <c r="T6" i="2"/>
  <c r="S6" i="2"/>
  <c r="R6" i="2"/>
  <c r="Q6" i="2"/>
  <c r="P6" i="2"/>
  <c r="O6" i="2"/>
  <c r="N6" i="2"/>
  <c r="M6" i="2"/>
  <c r="L6" i="2"/>
  <c r="K6" i="2"/>
  <c r="J6" i="2"/>
  <c r="I6" i="2"/>
  <c r="H6" i="2"/>
  <c r="G6" i="2"/>
  <c r="F6" i="2"/>
  <c r="E6" i="2"/>
  <c r="D6" i="2"/>
  <c r="C6" i="2"/>
  <c r="B6" i="2"/>
  <c r="A6" i="2"/>
  <c r="AA5" i="2"/>
  <c r="Z5" i="2"/>
  <c r="Y5" i="2"/>
  <c r="X5" i="2"/>
  <c r="W5" i="2"/>
  <c r="V5" i="2"/>
  <c r="U5" i="2"/>
  <c r="T5" i="2"/>
  <c r="S5" i="2"/>
  <c r="R5" i="2"/>
  <c r="Q5" i="2"/>
  <c r="P5" i="2"/>
  <c r="O5" i="2"/>
  <c r="N5" i="2"/>
  <c r="M5" i="2"/>
  <c r="L5" i="2"/>
  <c r="K5" i="2"/>
  <c r="J5" i="2"/>
  <c r="I5" i="2"/>
  <c r="H5" i="2"/>
  <c r="G5" i="2"/>
  <c r="F5" i="2"/>
  <c r="E5" i="2"/>
  <c r="D5" i="2"/>
  <c r="C5" i="2"/>
  <c r="B5" i="2"/>
  <c r="A5" i="2"/>
  <c r="AA4" i="2"/>
  <c r="Z4" i="2"/>
  <c r="Y4" i="2"/>
  <c r="X4" i="2"/>
  <c r="W4" i="2"/>
  <c r="V4" i="2"/>
  <c r="U4" i="2"/>
  <c r="T4" i="2"/>
  <c r="S4" i="2"/>
  <c r="R4" i="2"/>
  <c r="Q4" i="2"/>
  <c r="P4" i="2"/>
  <c r="O4" i="2"/>
  <c r="N4" i="2"/>
  <c r="M4" i="2"/>
  <c r="L4" i="2"/>
  <c r="K4" i="2"/>
  <c r="J4" i="2"/>
  <c r="I4" i="2"/>
  <c r="H4" i="2"/>
  <c r="G4" i="2"/>
  <c r="F4" i="2"/>
  <c r="E4" i="2"/>
  <c r="D4" i="2"/>
  <c r="C4" i="2"/>
  <c r="B4" i="2"/>
  <c r="A4" i="2"/>
  <c r="AA3" i="2"/>
  <c r="Z3" i="2"/>
  <c r="Y3" i="2"/>
  <c r="X3" i="2"/>
  <c r="W3" i="2"/>
  <c r="V3" i="2"/>
  <c r="U3" i="2"/>
  <c r="T3" i="2"/>
  <c r="S3" i="2"/>
  <c r="R3" i="2"/>
  <c r="Q3" i="2"/>
  <c r="P3" i="2"/>
  <c r="O3" i="2"/>
  <c r="N3" i="2"/>
  <c r="M3" i="2"/>
  <c r="L3" i="2"/>
  <c r="K3" i="2"/>
  <c r="J3" i="2"/>
  <c r="I3" i="2"/>
  <c r="H3" i="2"/>
  <c r="G3" i="2"/>
  <c r="F3" i="2"/>
  <c r="E3" i="2"/>
  <c r="D3" i="2"/>
  <c r="C3" i="2"/>
  <c r="B3" i="2"/>
  <c r="A3" i="2"/>
  <c r="AA2" i="2"/>
  <c r="Z2" i="2"/>
  <c r="Y2" i="2"/>
  <c r="X2" i="2"/>
  <c r="W2" i="2"/>
  <c r="V2" i="2"/>
  <c r="U2" i="2"/>
  <c r="T2" i="2"/>
  <c r="S2" i="2"/>
  <c r="R2" i="2"/>
  <c r="Q2" i="2"/>
  <c r="P2" i="2"/>
  <c r="O2" i="2"/>
  <c r="N2" i="2"/>
  <c r="M2" i="2"/>
  <c r="L2" i="2"/>
  <c r="K2" i="2"/>
  <c r="J2" i="2"/>
  <c r="I2" i="2"/>
  <c r="H2" i="2"/>
  <c r="G2" i="2"/>
  <c r="F2" i="2"/>
  <c r="E2" i="2"/>
  <c r="D2" i="2"/>
  <c r="C2" i="2"/>
  <c r="B2" i="2"/>
  <c r="B194" i="14"/>
  <c r="B193" i="14"/>
  <c r="B192" i="14"/>
  <c r="B191" i="14"/>
  <c r="B190" i="14"/>
  <c r="B189" i="14"/>
  <c r="B188" i="14"/>
  <c r="B187" i="14"/>
  <c r="B186" i="14"/>
  <c r="B185"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I5" i="4" l="1"/>
  <c r="K5" i="4" s="1"/>
  <c r="K6" i="4"/>
  <c r="K7" i="4"/>
  <c r="K8" i="4"/>
  <c r="K9" i="4"/>
  <c r="K10" i="4"/>
  <c r="K11" i="4"/>
  <c r="K12" i="4"/>
  <c r="K13" i="4"/>
  <c r="K14" i="4"/>
  <c r="K15" i="4"/>
  <c r="I15" i="4"/>
  <c r="I14" i="4"/>
  <c r="I13" i="4"/>
  <c r="I12" i="4"/>
  <c r="I11" i="4"/>
  <c r="I10" i="4"/>
  <c r="I9" i="4"/>
  <c r="I8" i="4"/>
  <c r="I7" i="4"/>
  <c r="I6" i="4"/>
  <c r="F7" i="3"/>
  <c r="B16" i="4"/>
  <c r="B13" i="4"/>
  <c r="B8" i="4"/>
  <c r="B5" i="4"/>
  <c r="D12" i="3"/>
  <c r="D40" i="4"/>
  <c r="D38" i="4"/>
  <c r="C32" i="4"/>
  <c r="C34" i="4"/>
  <c r="C40" i="4"/>
  <c r="K63" i="4"/>
  <c r="K62" i="4"/>
  <c r="K61" i="4"/>
  <c r="K60" i="4"/>
  <c r="K59" i="4"/>
  <c r="K58" i="4"/>
  <c r="K57" i="4"/>
  <c r="K56" i="4"/>
  <c r="K55" i="4"/>
  <c r="K54" i="4"/>
  <c r="K53" i="4"/>
  <c r="I63" i="4"/>
  <c r="J63" i="4" s="1"/>
  <c r="I62" i="4"/>
  <c r="J62" i="4" s="1"/>
  <c r="I61" i="4"/>
  <c r="J61" i="4" s="1"/>
  <c r="I60" i="4"/>
  <c r="J60" i="4" s="1"/>
  <c r="I59" i="4"/>
  <c r="J59" i="4" s="1"/>
  <c r="I58" i="4"/>
  <c r="J58" i="4" s="1"/>
  <c r="I57" i="4"/>
  <c r="J57" i="4" s="1"/>
  <c r="I56" i="4"/>
  <c r="J56" i="4" s="1"/>
  <c r="I55" i="4"/>
  <c r="J55" i="4" s="1"/>
  <c r="I54" i="4"/>
  <c r="J54" i="4" s="1"/>
  <c r="I53" i="4"/>
  <c r="J53" i="4" s="1"/>
  <c r="I47" i="4"/>
  <c r="J47" i="4" s="1"/>
  <c r="I46" i="4"/>
  <c r="K46" i="4" s="1"/>
  <c r="I45" i="4"/>
  <c r="K45" i="4" s="1"/>
  <c r="I44" i="4"/>
  <c r="K44" i="4" s="1"/>
  <c r="I43" i="4"/>
  <c r="K43" i="4" s="1"/>
  <c r="I42" i="4"/>
  <c r="K42" i="4" s="1"/>
  <c r="I41" i="4"/>
  <c r="J41" i="4" s="1"/>
  <c r="I40" i="4"/>
  <c r="J40" i="4" s="1"/>
  <c r="I39" i="4"/>
  <c r="J39" i="4" s="1"/>
  <c r="I38" i="4"/>
  <c r="K38" i="4" s="1"/>
  <c r="G29" i="4"/>
  <c r="G28" i="4"/>
  <c r="G27" i="4"/>
  <c r="G26" i="4"/>
  <c r="G25" i="4"/>
  <c r="G24" i="4"/>
  <c r="G23" i="4"/>
  <c r="G22" i="4"/>
  <c r="G21" i="4"/>
  <c r="H52" i="4"/>
  <c r="H64" i="4"/>
  <c r="H48" i="4"/>
  <c r="H22" i="4"/>
  <c r="H32" i="4"/>
  <c r="J24" i="4" s="1"/>
  <c r="K24" i="4" s="1"/>
  <c r="H18" i="4"/>
  <c r="J5" i="4"/>
  <c r="J17" i="4"/>
  <c r="K17" i="4"/>
  <c r="J16" i="4"/>
  <c r="K16" i="4"/>
  <c r="J15" i="4"/>
  <c r="J14" i="4"/>
  <c r="J13" i="4"/>
  <c r="J12" i="4"/>
  <c r="J11" i="4"/>
  <c r="J10" i="4"/>
  <c r="J9" i="4"/>
  <c r="J8" i="4"/>
  <c r="J7" i="4"/>
  <c r="J6" i="4"/>
  <c r="J22" i="4"/>
  <c r="J23" i="4"/>
  <c r="J21" i="4"/>
  <c r="J18" i="4"/>
  <c r="J28" i="4"/>
  <c r="J31" i="4"/>
  <c r="K31" i="4"/>
  <c r="I26" i="4"/>
  <c r="I25" i="4"/>
  <c r="D52" i="3"/>
  <c r="D51" i="3"/>
  <c r="D50" i="3"/>
  <c r="D49" i="3"/>
  <c r="D48" i="3"/>
  <c r="D47" i="3"/>
  <c r="D46" i="3"/>
  <c r="D45" i="3"/>
  <c r="D44" i="3"/>
  <c r="D43" i="3"/>
  <c r="D42" i="3"/>
  <c r="D41" i="3"/>
  <c r="D40" i="3"/>
  <c r="D39" i="3"/>
  <c r="D38" i="3"/>
  <c r="I29" i="4"/>
  <c r="I21" i="4"/>
  <c r="I23" i="4"/>
  <c r="I24" i="4"/>
  <c r="I27" i="4"/>
  <c r="I28" i="4"/>
  <c r="K28" i="4" s="1"/>
  <c r="I22" i="4"/>
  <c r="E15" i="1"/>
  <c r="C11" i="17"/>
  <c r="E24" i="1"/>
  <c r="C15" i="17"/>
  <c r="E23" i="1"/>
  <c r="C12" i="17"/>
  <c r="D2" i="1"/>
  <c r="D7" i="1"/>
  <c r="C21" i="7"/>
  <c r="D12" i="1"/>
  <c r="D5" i="1"/>
  <c r="B15" i="7"/>
  <c r="B19" i="7"/>
  <c r="B20" i="7"/>
  <c r="D10" i="1"/>
  <c r="C45" i="1"/>
  <c r="B16" i="7"/>
  <c r="D21" i="1"/>
  <c r="D14" i="1"/>
  <c r="D37" i="1"/>
  <c r="S42" i="1"/>
  <c r="D8" i="1"/>
  <c r="D18" i="1"/>
  <c r="D17" i="1"/>
  <c r="D19" i="1"/>
  <c r="B32" i="7"/>
  <c r="B4" i="4"/>
  <c r="B38" i="4"/>
  <c r="B21" i="7"/>
  <c r="D51" i="1"/>
  <c r="D22" i="1"/>
  <c r="E22" i="1"/>
  <c r="D56" i="1"/>
  <c r="E17" i="1"/>
  <c r="F17" i="1"/>
  <c r="E19" i="1"/>
  <c r="E16" i="1"/>
  <c r="D55" i="1"/>
  <c r="D57" i="1"/>
  <c r="E20" i="1"/>
  <c r="F72" i="1"/>
  <c r="C30" i="17"/>
  <c r="F64" i="1"/>
  <c r="C24" i="17"/>
  <c r="F67" i="1"/>
  <c r="F69" i="1"/>
  <c r="C27" i="17"/>
  <c r="B1" i="17"/>
  <c r="D14" i="15"/>
  <c r="C14" i="15"/>
  <c r="B14" i="15"/>
  <c r="D9" i="15"/>
  <c r="B9" i="15"/>
  <c r="D7" i="15"/>
  <c r="E5" i="15"/>
  <c r="E4" i="15"/>
  <c r="E3" i="15"/>
  <c r="E2" i="15"/>
  <c r="E21" i="1"/>
  <c r="F17" i="9"/>
  <c r="D4" i="9"/>
  <c r="C17" i="9"/>
  <c r="B62" i="7"/>
  <c r="A25" i="6"/>
  <c r="E25" i="6"/>
  <c r="B25" i="6"/>
  <c r="A12" i="6"/>
  <c r="A26" i="6"/>
  <c r="B26" i="6"/>
  <c r="A13" i="6"/>
  <c r="A27" i="6"/>
  <c r="B27" i="6"/>
  <c r="B28" i="6"/>
  <c r="B29" i="6"/>
  <c r="B24" i="5"/>
  <c r="G20" i="8"/>
  <c r="G19" i="8"/>
  <c r="B21" i="8"/>
  <c r="C21" i="8"/>
  <c r="D21" i="8"/>
  <c r="E21" i="8"/>
  <c r="F21" i="8"/>
  <c r="B24" i="6"/>
  <c r="D24" i="6"/>
  <c r="C24" i="6"/>
  <c r="B30" i="6"/>
  <c r="B31" i="6"/>
  <c r="B32" i="6"/>
  <c r="B33" i="6"/>
  <c r="B34" i="6"/>
  <c r="D17" i="5"/>
  <c r="D20" i="5"/>
  <c r="B29" i="5"/>
  <c r="A24" i="5"/>
  <c r="A25" i="5"/>
  <c r="B25" i="5"/>
  <c r="A26" i="5"/>
  <c r="B26" i="5"/>
  <c r="A27" i="5"/>
  <c r="B27" i="5"/>
  <c r="A28" i="5"/>
  <c r="B28" i="5"/>
  <c r="A29" i="5"/>
  <c r="D9" i="1"/>
  <c r="F14" i="1"/>
  <c r="F22" i="1"/>
  <c r="D3" i="9"/>
  <c r="C14" i="9"/>
  <c r="C16" i="9"/>
  <c r="D5" i="9"/>
  <c r="F16" i="9"/>
  <c r="D7" i="9"/>
  <c r="F15" i="9"/>
  <c r="F18" i="9"/>
  <c r="D8" i="9"/>
  <c r="F13" i="9"/>
  <c r="D2" i="9"/>
  <c r="C13" i="9"/>
  <c r="F37" i="1"/>
  <c r="E37" i="1"/>
  <c r="E42" i="1"/>
  <c r="D9" i="9"/>
  <c r="F14" i="9"/>
  <c r="B10" i="17"/>
  <c r="R37" i="1"/>
  <c r="R43" i="1"/>
  <c r="B33" i="7"/>
  <c r="B12" i="4"/>
  <c r="C31" i="4"/>
  <c r="C42" i="1"/>
  <c r="P37" i="1"/>
  <c r="P47" i="1"/>
  <c r="P39" i="1"/>
  <c r="C25" i="6"/>
  <c r="D25" i="6"/>
  <c r="N37" i="1"/>
  <c r="P41" i="1"/>
  <c r="N39" i="1"/>
  <c r="G37" i="1"/>
  <c r="D27" i="1"/>
  <c r="G21" i="8"/>
  <c r="D11" i="8"/>
  <c r="D14" i="8"/>
  <c r="D42" i="1"/>
  <c r="L37" i="1"/>
  <c r="J37" i="1"/>
  <c r="C16" i="17"/>
  <c r="C17" i="17"/>
  <c r="H37" i="1"/>
  <c r="D18" i="5"/>
  <c r="E26" i="6"/>
  <c r="C26" i="6"/>
  <c r="D26" i="6"/>
  <c r="E27" i="6"/>
  <c r="C27" i="6"/>
  <c r="D27" i="6"/>
  <c r="R47" i="1"/>
  <c r="R44" i="1"/>
  <c r="N42" i="1"/>
  <c r="N49" i="1"/>
  <c r="Q37" i="1"/>
  <c r="M37" i="1"/>
  <c r="I37" i="1"/>
  <c r="B64" i="7"/>
  <c r="D35" i="1"/>
  <c r="R38" i="1"/>
  <c r="N46" i="1"/>
  <c r="N40" i="1"/>
  <c r="N41" i="1"/>
  <c r="P48" i="1"/>
  <c r="R48" i="1"/>
  <c r="R45" i="1"/>
  <c r="R39" i="1"/>
  <c r="A14" i="6"/>
  <c r="E18" i="1"/>
  <c r="N38" i="1"/>
  <c r="N48" i="1"/>
  <c r="N47" i="1"/>
  <c r="N44" i="1"/>
  <c r="R42" i="1"/>
  <c r="R49" i="1"/>
  <c r="O37" i="1"/>
  <c r="K37" i="1"/>
  <c r="G42" i="1"/>
  <c r="R46" i="1"/>
  <c r="R40" i="1"/>
  <c r="R41" i="1"/>
  <c r="H24" i="1"/>
  <c r="H42" i="1"/>
  <c r="P42" i="1"/>
  <c r="P38" i="1"/>
  <c r="P40" i="1"/>
  <c r="P49" i="1"/>
  <c r="I42" i="1"/>
  <c r="M42" i="1"/>
  <c r="J42" i="1"/>
  <c r="L42" i="1"/>
  <c r="P43" i="1"/>
  <c r="P45" i="1"/>
  <c r="P46" i="1"/>
  <c r="P44" i="1"/>
  <c r="K42" i="1"/>
  <c r="N43" i="1"/>
  <c r="N45" i="1"/>
  <c r="F42" i="1"/>
  <c r="Q49" i="1"/>
  <c r="Q39" i="1"/>
  <c r="Q40" i="1"/>
  <c r="Q41" i="1"/>
  <c r="Q42" i="1"/>
  <c r="Q45" i="1"/>
  <c r="Q46" i="1"/>
  <c r="Q44" i="1"/>
  <c r="Q47" i="1"/>
  <c r="Q43" i="1"/>
  <c r="Q48" i="1"/>
  <c r="Q38" i="1"/>
  <c r="O39" i="1"/>
  <c r="O45" i="1"/>
  <c r="O44" i="1"/>
  <c r="O47" i="1"/>
  <c r="O43" i="1"/>
  <c r="O48" i="1"/>
  <c r="O41" i="1"/>
  <c r="O38" i="1"/>
  <c r="O49" i="1"/>
  <c r="O42" i="1"/>
  <c r="O40" i="1"/>
  <c r="O46" i="1"/>
  <c r="A15" i="6"/>
  <c r="A28" i="6"/>
  <c r="F20" i="1"/>
  <c r="F15" i="1"/>
  <c r="D54" i="1"/>
  <c r="D58" i="1"/>
  <c r="A29" i="6"/>
  <c r="A16" i="6"/>
  <c r="C13" i="17"/>
  <c r="C14" i="17"/>
  <c r="F23" i="1"/>
  <c r="C28" i="6"/>
  <c r="D28" i="6"/>
  <c r="E28" i="6"/>
  <c r="A30" i="6"/>
  <c r="A17" i="6"/>
  <c r="E29" i="6"/>
  <c r="C29" i="6"/>
  <c r="D29" i="6"/>
  <c r="A18" i="6"/>
  <c r="A31" i="6"/>
  <c r="C30" i="6"/>
  <c r="D30" i="6"/>
  <c r="E30" i="6"/>
  <c r="E31" i="6"/>
  <c r="C31" i="6"/>
  <c r="D31" i="6"/>
  <c r="A32" i="6"/>
  <c r="A19" i="6"/>
  <c r="A20" i="6"/>
  <c r="A34" i="6"/>
  <c r="A33" i="6"/>
  <c r="E32" i="6"/>
  <c r="C32" i="6"/>
  <c r="D32" i="6"/>
  <c r="C33" i="6"/>
  <c r="D33" i="6"/>
  <c r="E33" i="6"/>
  <c r="E34" i="6"/>
  <c r="C34" i="6"/>
  <c r="D34" i="6"/>
  <c r="D35" i="6"/>
  <c r="E35" i="6"/>
  <c r="D37" i="6"/>
  <c r="D40" i="6"/>
  <c r="D39" i="6"/>
  <c r="K18" i="4" l="1"/>
  <c r="B9" i="4" s="1"/>
  <c r="K21" i="4"/>
  <c r="K23" i="4"/>
  <c r="K22" i="4"/>
  <c r="J26" i="4"/>
  <c r="J32" i="4" s="1"/>
  <c r="J29" i="4"/>
  <c r="K29" i="4" s="1"/>
  <c r="J27" i="4"/>
  <c r="K27" i="4" s="1"/>
  <c r="K26" i="4"/>
  <c r="J30" i="4"/>
  <c r="K30" i="4" s="1"/>
  <c r="J25" i="4"/>
  <c r="K25" i="4" s="1"/>
  <c r="I52" i="4"/>
  <c r="J52" i="4" s="1"/>
  <c r="J64" i="4" s="1"/>
  <c r="J44" i="4"/>
  <c r="J43" i="4"/>
  <c r="K52" i="4"/>
  <c r="K40" i="4"/>
  <c r="K39" i="4"/>
  <c r="J45" i="4"/>
  <c r="K47" i="4"/>
  <c r="I36" i="4"/>
  <c r="J36" i="4" s="1"/>
  <c r="I37" i="4"/>
  <c r="J37" i="4" s="1"/>
  <c r="K41" i="4"/>
  <c r="J38" i="4"/>
  <c r="J42" i="4"/>
  <c r="J46" i="4"/>
  <c r="K32" i="4" l="1"/>
  <c r="K37" i="4"/>
  <c r="K64" i="4"/>
  <c r="K36" i="4"/>
  <c r="J48" i="4"/>
  <c r="K48" i="4" l="1"/>
  <c r="B7" i="4" s="1"/>
  <c r="B23" i="4" l="1"/>
  <c r="C33" i="4"/>
  <c r="C35" i="4"/>
  <c r="C38" i="4"/>
  <c r="E38" i="4"/>
  <c r="B39" i="4"/>
  <c r="C39" i="4"/>
  <c r="D39" i="4"/>
  <c r="E39" i="4"/>
  <c r="B40" i="4"/>
  <c r="E40" i="4"/>
  <c r="B61" i="7"/>
  <c r="B69" i="7"/>
  <c r="B70" i="7"/>
  <c r="B73" i="7"/>
  <c r="C14" i="5"/>
  <c r="C24" i="5"/>
  <c r="C25" i="5"/>
  <c r="C26" i="5"/>
  <c r="C27" i="5"/>
  <c r="C28" i="5"/>
  <c r="C29" i="5"/>
  <c r="C30" i="5"/>
  <c r="F33" i="5"/>
  <c r="F34" i="5"/>
  <c r="F35" i="5"/>
  <c r="C15" i="9"/>
  <c r="B20" i="9"/>
  <c r="B21" i="9"/>
  <c r="B23" i="9"/>
  <c r="B24" i="9"/>
  <c r="C26" i="9"/>
  <c r="D27" i="9"/>
  <c r="F5" i="3"/>
  <c r="F6" i="3"/>
  <c r="D9" i="3"/>
  <c r="D10" i="3"/>
  <c r="D11" i="3"/>
  <c r="D13" i="3"/>
  <c r="B11" i="17"/>
  <c r="B12" i="17"/>
  <c r="B13" i="17"/>
  <c r="B14" i="17"/>
  <c r="B15" i="17"/>
  <c r="B16" i="17"/>
  <c r="B17" i="17"/>
  <c r="C20" i="17"/>
  <c r="E20" i="17"/>
  <c r="F20" i="17"/>
  <c r="C21" i="17"/>
  <c r="E21" i="17"/>
  <c r="F21" i="17"/>
  <c r="C22" i="17"/>
  <c r="C23" i="17"/>
  <c r="C25" i="17"/>
  <c r="C26" i="17"/>
  <c r="C28" i="17"/>
  <c r="C29" i="17"/>
  <c r="C31" i="17"/>
  <c r="D3" i="1"/>
  <c r="D4" i="1"/>
  <c r="D6" i="1"/>
  <c r="D11" i="1"/>
  <c r="D15" i="1"/>
  <c r="D16" i="1"/>
  <c r="F16" i="1"/>
  <c r="D20" i="1"/>
  <c r="D23" i="1"/>
  <c r="D24" i="1"/>
  <c r="D28" i="1"/>
  <c r="D29" i="1"/>
  <c r="D30" i="1"/>
  <c r="D31" i="1"/>
  <c r="D34" i="1"/>
  <c r="D38" i="1"/>
  <c r="E38" i="1"/>
  <c r="F38" i="1"/>
  <c r="G38" i="1"/>
  <c r="H38" i="1"/>
  <c r="I38" i="1"/>
  <c r="J38" i="1"/>
  <c r="K38" i="1"/>
  <c r="L38" i="1"/>
  <c r="M38" i="1"/>
  <c r="D39" i="1"/>
  <c r="E39" i="1"/>
  <c r="F39" i="1"/>
  <c r="G39" i="1"/>
  <c r="H39" i="1"/>
  <c r="I39" i="1"/>
  <c r="J39" i="1"/>
  <c r="K39" i="1"/>
  <c r="L39" i="1"/>
  <c r="M39" i="1"/>
  <c r="D40" i="1"/>
  <c r="E40" i="1"/>
  <c r="F40" i="1"/>
  <c r="G40" i="1"/>
  <c r="H40" i="1"/>
  <c r="I40" i="1"/>
  <c r="J40" i="1"/>
  <c r="K40" i="1"/>
  <c r="L40" i="1"/>
  <c r="M40" i="1"/>
  <c r="C41" i="1"/>
  <c r="D41" i="1"/>
  <c r="E41" i="1"/>
  <c r="F41" i="1"/>
  <c r="G41" i="1"/>
  <c r="H41" i="1"/>
  <c r="I41" i="1"/>
  <c r="J41" i="1"/>
  <c r="K41" i="1"/>
  <c r="L41" i="1"/>
  <c r="M41" i="1"/>
  <c r="C43" i="1"/>
  <c r="D43" i="1"/>
  <c r="E43" i="1"/>
  <c r="F43" i="1"/>
  <c r="G43" i="1"/>
  <c r="H43" i="1"/>
  <c r="I43" i="1"/>
  <c r="J43" i="1"/>
  <c r="K43" i="1"/>
  <c r="L43" i="1"/>
  <c r="M43" i="1"/>
  <c r="S43" i="1"/>
  <c r="C44" i="1"/>
  <c r="D44" i="1"/>
  <c r="E44" i="1"/>
  <c r="F44" i="1"/>
  <c r="G44" i="1"/>
  <c r="H44" i="1"/>
  <c r="I44" i="1"/>
  <c r="J44" i="1"/>
  <c r="K44" i="1"/>
  <c r="L44" i="1"/>
  <c r="M44" i="1"/>
  <c r="S44" i="1"/>
  <c r="D45" i="1"/>
  <c r="E45" i="1"/>
  <c r="F45" i="1"/>
  <c r="G45" i="1"/>
  <c r="H45" i="1"/>
  <c r="I45" i="1"/>
  <c r="J45" i="1"/>
  <c r="K45" i="1"/>
  <c r="L45" i="1"/>
  <c r="M45" i="1"/>
  <c r="S45" i="1"/>
  <c r="C46" i="1"/>
  <c r="D46" i="1"/>
  <c r="E46" i="1"/>
  <c r="F46" i="1"/>
  <c r="G46" i="1"/>
  <c r="H46" i="1"/>
  <c r="I46" i="1"/>
  <c r="J46" i="1"/>
  <c r="K46" i="1"/>
  <c r="L46" i="1"/>
  <c r="M46" i="1"/>
  <c r="S46" i="1"/>
  <c r="D47" i="1"/>
  <c r="E47" i="1"/>
  <c r="F47" i="1"/>
  <c r="G47" i="1"/>
  <c r="H47" i="1"/>
  <c r="I47" i="1"/>
  <c r="J47" i="1"/>
  <c r="K47" i="1"/>
  <c r="L47" i="1"/>
  <c r="M47" i="1"/>
  <c r="D48" i="1"/>
  <c r="E48" i="1"/>
  <c r="F48" i="1"/>
  <c r="G48" i="1"/>
  <c r="H48" i="1"/>
  <c r="I48" i="1"/>
  <c r="J48" i="1"/>
  <c r="K48" i="1"/>
  <c r="L48" i="1"/>
  <c r="M48" i="1"/>
  <c r="D49" i="1"/>
  <c r="E49" i="1"/>
  <c r="F49" i="1"/>
  <c r="G49" i="1"/>
  <c r="H49" i="1"/>
  <c r="I49" i="1"/>
  <c r="J49" i="1"/>
  <c r="K49" i="1"/>
  <c r="L49" i="1"/>
  <c r="M49" i="1"/>
  <c r="D52" i="1"/>
  <c r="D53" i="1"/>
  <c r="D59" i="1"/>
  <c r="F61" i="1"/>
  <c r="F62" i="1"/>
  <c r="F63" i="1"/>
  <c r="F65" i="1"/>
  <c r="F66" i="1"/>
  <c r="F68" i="1"/>
  <c r="F70" i="1"/>
  <c r="F71" i="1"/>
  <c r="F7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6" authorId="0" shapeId="0" xr:uid="{00000000-0006-0000-0100-000001000000}">
      <text>
        <r>
          <rPr>
            <b/>
            <sz val="9"/>
            <color indexed="81"/>
            <rFont val="Geneva"/>
            <family val="2"/>
          </rPr>
          <t>Aswath Damodaran:</t>
        </r>
        <r>
          <rPr>
            <sz val="9"/>
            <color indexed="81"/>
            <rFont val="Geneva"/>
            <family val="2"/>
          </rPr>
          <t xml:space="preserve">
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7" authorId="0" shapeId="0" xr:uid="{00000000-0006-0000-01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Operating leases are similar to financial expenses. If you say "yes" here, I will convert operating leases, but you have to input the numbers for your firm in the operating lease worksheet.</t>
        </r>
      </text>
    </comment>
    <comment ref="B8" authorId="0" shapeId="0" xr:uid="{00000000-0006-0000-0100-00000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firm with negative operating income, or operating income much lower than that earned in previous years, answer yes.</t>
        </r>
      </text>
    </comment>
    <comment ref="B12" authorId="0" shapeId="0" xr:uid="{00000000-0006-0000-0100-000004000000}">
      <text>
        <r>
          <rPr>
            <b/>
            <sz val="9"/>
            <color rgb="FF000000"/>
            <rFont val="Geneva"/>
            <family val="2"/>
          </rPr>
          <t>Aswath Damodaran:</t>
        </r>
        <r>
          <rPr>
            <sz val="9"/>
            <color rgb="FF000000"/>
            <rFont val="Geneva"/>
            <family val="2"/>
          </rPr>
          <t xml:space="preserve">
</t>
        </r>
        <r>
          <rPr>
            <sz val="9"/>
            <color rgb="FF000000"/>
            <rFont val="Geneva"/>
            <family val="2"/>
          </rPr>
          <t>Enter the current EBIT for the firm. If your current EBIT is negative, you will have to normalize EBIT or use the hgrowth.xls spreadsheet/</t>
        </r>
      </text>
    </comment>
    <comment ref="B13" authorId="0" shapeId="0" xr:uid="{00000000-0006-0000-0100-000005000000}">
      <text>
        <r>
          <rPr>
            <b/>
            <sz val="9"/>
            <color rgb="FF000000"/>
            <rFont val="Geneva"/>
            <family val="2"/>
          </rPr>
          <t>Aswath Damodaran:</t>
        </r>
        <r>
          <rPr>
            <sz val="9"/>
            <color rgb="FF000000"/>
            <rFont val="Geneva"/>
            <family val="2"/>
          </rPr>
          <t xml:space="preserve">
</t>
        </r>
        <r>
          <rPr>
            <sz val="9"/>
            <color rgb="FF000000"/>
            <rFont val="Geneva"/>
            <family val="2"/>
          </rPr>
          <t>Enter the total interest expenses, corresponding to the dollar debt that you enter below.</t>
        </r>
      </text>
    </comment>
    <comment ref="B14" authorId="0" shapeId="0" xr:uid="{00000000-0006-0000-0100-000006000000}">
      <text>
        <r>
          <rPr>
            <b/>
            <sz val="9"/>
            <color indexed="81"/>
            <rFont val="Geneva"/>
            <family val="2"/>
          </rPr>
          <t>Aswath Damodaran:</t>
        </r>
        <r>
          <rPr>
            <sz val="9"/>
            <color indexed="81"/>
            <rFont val="Geneva"/>
            <family val="2"/>
          </rPr>
          <t xml:space="preserve">
Enter the current capital expenditures, including acquisitions made. You might want to normalize this, if it is volatile. If you company grows through acquisitions, include the cost of the acquisitions in this number.</t>
        </r>
      </text>
    </comment>
    <comment ref="B15" authorId="0" shapeId="0" xr:uid="{00000000-0006-0000-0100-000007000000}">
      <text>
        <r>
          <rPr>
            <b/>
            <sz val="9"/>
            <color indexed="81"/>
            <rFont val="Geneva"/>
            <family val="2"/>
          </rPr>
          <t>Aswath Damodaran:</t>
        </r>
        <r>
          <rPr>
            <sz val="9"/>
            <color indexed="81"/>
            <rFont val="Geneva"/>
            <family val="2"/>
          </rPr>
          <t xml:space="preserve">
Enter the aggreate depreciation and amortization claimed by the firm.</t>
        </r>
      </text>
    </comment>
    <comment ref="B17" authorId="0" shapeId="0" xr:uid="{00000000-0006-0000-0100-000008000000}">
      <text>
        <r>
          <rPr>
            <b/>
            <sz val="9"/>
            <color indexed="81"/>
            <rFont val="Geneva"/>
            <family val="2"/>
          </rPr>
          <t>Aswath Damodaran:</t>
        </r>
        <r>
          <rPr>
            <sz val="9"/>
            <color indexed="81"/>
            <rFont val="Geneva"/>
            <family val="2"/>
          </rPr>
          <t xml:space="preserve">
Enter the effective tax rate if it is greater than 35%, or 35% if the effective tax rate is lower.</t>
        </r>
      </text>
    </comment>
    <comment ref="B18" authorId="0" shapeId="0" xr:uid="{00000000-0006-0000-0100-000009000000}">
      <text>
        <r>
          <rPr>
            <b/>
            <sz val="9"/>
            <color rgb="FF000000"/>
            <rFont val="Geneva"/>
            <family val="2"/>
          </rPr>
          <t>Aswath Damodaran:</t>
        </r>
        <r>
          <rPr>
            <sz val="9"/>
            <color rgb="FF000000"/>
            <rFont val="Geneva"/>
            <family val="2"/>
          </rPr>
          <t xml:space="preserve">
</t>
        </r>
        <r>
          <rPr>
            <sz val="9"/>
            <color rgb="FF000000"/>
            <rFont val="Geneva"/>
            <family val="2"/>
          </rPr>
          <t>Enter aggregate revenues during the year.</t>
        </r>
      </text>
    </comment>
    <comment ref="B19" authorId="0" shapeId="0" xr:uid="{00000000-0006-0000-0100-00000A000000}">
      <text>
        <r>
          <rPr>
            <b/>
            <sz val="9"/>
            <color indexed="81"/>
            <rFont val="Geneva"/>
            <family val="2"/>
          </rPr>
          <t>Aswath Damodaran:</t>
        </r>
        <r>
          <rPr>
            <sz val="9"/>
            <color indexed="81"/>
            <rFont val="Geneva"/>
            <family val="2"/>
          </rPr>
          <t xml:space="preserve">
Non-cash WC = Difference between non-cash current assets and non-debt current liabilities. Use your judgment when it comes to items such as deferred taxes or expenses. </t>
        </r>
      </text>
    </comment>
    <comment ref="B20" authorId="0" shapeId="0" xr:uid="{00000000-0006-0000-0100-00000B000000}">
      <text>
        <r>
          <rPr>
            <b/>
            <sz val="9"/>
            <color indexed="81"/>
            <rFont val="Geneva"/>
            <family val="2"/>
          </rPr>
          <t>Aswath Damodaran:</t>
        </r>
        <r>
          <rPr>
            <sz val="9"/>
            <color indexed="81"/>
            <rFont val="Geneva"/>
            <family val="2"/>
          </rPr>
          <t xml:space="preserve">
Enter the change in non-cash working capital from last year to this year.</t>
        </r>
      </text>
    </comment>
    <comment ref="B21" authorId="0" shapeId="0" xr:uid="{00000000-0006-0000-0100-00000C000000}">
      <text>
        <r>
          <rPr>
            <b/>
            <sz val="9"/>
            <color indexed="81"/>
            <rFont val="Geneva"/>
            <family val="2"/>
          </rPr>
          <t>Aswath Damodaran:</t>
        </r>
        <r>
          <rPr>
            <sz val="9"/>
            <color indexed="81"/>
            <rFont val="Geneva"/>
            <family val="2"/>
          </rPr>
          <t xml:space="preserve">
Enter total interest-bearing debt. This should include both short term and long term debt. If you have convertible debt, enter only debt portion here. (The rest has to go into equity) Don’t include leases. </t>
        </r>
      </text>
    </comment>
    <comment ref="C21" authorId="0" shapeId="0" xr:uid="{00000000-0006-0000-0100-00000D000000}">
      <text>
        <r>
          <rPr>
            <b/>
            <sz val="9"/>
            <color indexed="81"/>
            <rFont val="Geneva"/>
            <family val="2"/>
          </rPr>
          <t>Aswath Damodaran:</t>
        </r>
        <r>
          <rPr>
            <sz val="9"/>
            <color indexed="81"/>
            <rFont val="Geneva"/>
            <family val="2"/>
          </rPr>
          <t xml:space="preserve">
I use the book value of debt from the end of last year to compute return on capital.</t>
        </r>
      </text>
    </comment>
    <comment ref="B22" authorId="0" shapeId="0" xr:uid="{00000000-0006-0000-0100-00000E000000}">
      <text>
        <r>
          <rPr>
            <b/>
            <sz val="9"/>
            <color indexed="81"/>
            <rFont val="Geneva"/>
            <family val="2"/>
          </rPr>
          <t>Aswath Damodaran:</t>
        </r>
        <r>
          <rPr>
            <sz val="9"/>
            <color indexed="81"/>
            <rFont val="Geneva"/>
            <family val="2"/>
          </rPr>
          <t xml:space="preserve">
Enter the total shareholders equity or book value of equity. If you have multiple classes of shares, include th ebook equity of all of them..</t>
        </r>
      </text>
    </comment>
    <comment ref="C22" authorId="0" shapeId="0" xr:uid="{00000000-0006-0000-0100-00000F000000}">
      <text>
        <r>
          <rPr>
            <b/>
            <sz val="9"/>
            <color indexed="81"/>
            <rFont val="Geneva"/>
            <family val="2"/>
          </rPr>
          <t>Aswath Damodaran:</t>
        </r>
        <r>
          <rPr>
            <sz val="9"/>
            <color indexed="81"/>
            <rFont val="Geneva"/>
            <family val="2"/>
          </rPr>
          <t xml:space="preserve">
I use book value of equity from end of previous year to compute return on equity.</t>
        </r>
      </text>
    </comment>
    <comment ref="B24" authorId="0" shapeId="0" xr:uid="{00000000-0006-0000-0100-000010000000}">
      <text>
        <r>
          <rPr>
            <b/>
            <sz val="9"/>
            <color indexed="81"/>
            <rFont val="Geneva"/>
            <family val="2"/>
          </rPr>
          <t>Aswath Damodaran:</t>
        </r>
        <r>
          <rPr>
            <sz val="9"/>
            <color indexed="81"/>
            <rFont val="Geneva"/>
            <family val="2"/>
          </rPr>
          <t xml:space="preserve">
Enter the current value of cash and marketable securites</t>
        </r>
      </text>
    </comment>
    <comment ref="B25" authorId="0" shapeId="0" xr:uid="{00000000-0006-0000-0100-000011000000}">
      <text>
        <r>
          <rPr>
            <b/>
            <sz val="9"/>
            <color rgb="FF000000"/>
            <rFont val="Geneva"/>
            <family val="2"/>
          </rPr>
          <t>Aswath Damodaran:</t>
        </r>
        <r>
          <rPr>
            <sz val="9"/>
            <color rgb="FF000000"/>
            <rFont val="Geneva"/>
            <family val="2"/>
          </rPr>
          <t xml:space="preserve">
</t>
        </r>
        <r>
          <rPr>
            <sz val="9"/>
            <color rgb="FF000000"/>
            <rFont val="Geneva"/>
            <family val="2"/>
          </rPr>
          <t>Enter the estimated market value of any other non-operating assets, including minority holdings in subsidiaries. Do not iuse this as a catch-all for other assets on the balance sheet. If you do, you risk double counting assets that are already generating cash flows. For most US companies, this number shoudl be zero. For companies that are peices of large holding groups, it can be a significant number.</t>
        </r>
      </text>
    </comment>
    <comment ref="B26" authorId="0" shapeId="0" xr:uid="{00000000-0006-0000-0100-000012000000}">
      <text>
        <r>
          <rPr>
            <b/>
            <sz val="9"/>
            <color rgb="FF000000"/>
            <rFont val="Geneva"/>
            <family val="2"/>
          </rPr>
          <t>Aswath Damodaran:</t>
        </r>
        <r>
          <rPr>
            <sz val="9"/>
            <color rgb="FF000000"/>
            <rFont val="Geneva"/>
            <family val="2"/>
          </rPr>
          <t xml:space="preserve">
</t>
        </r>
        <r>
          <rPr>
            <sz val="9"/>
            <color rgb="FF000000"/>
            <rFont val="Geneva"/>
            <family val="2"/>
          </rPr>
          <t>If you have consolidated a subsidiary that you don't own 100% of, this item should show up as a liability. If possible, estimate the market value of this item.</t>
        </r>
      </text>
    </comment>
    <comment ref="B29" authorId="0" shapeId="0" xr:uid="{D21EC18B-D4C1-5A4D-80E7-CA657D2B3E19}">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31" authorId="0" shapeId="0" xr:uid="{00000000-0006-0000-0100-000014000000}">
      <text>
        <r>
          <rPr>
            <b/>
            <sz val="9"/>
            <color rgb="FF000000"/>
            <rFont val="Geneva"/>
            <family val="2"/>
          </rPr>
          <t>Aswath Damodaran:</t>
        </r>
        <r>
          <rPr>
            <sz val="9"/>
            <color rgb="FF000000"/>
            <rFont val="Geneva"/>
            <family val="2"/>
          </rPr>
          <t xml:space="preserve">
</t>
        </r>
        <r>
          <rPr>
            <sz val="9"/>
            <color rgb="FF000000"/>
            <rFont val="Geneva"/>
            <family val="2"/>
          </rPr>
          <t>Enter the current market price. If this is a private firm, leave blank.</t>
        </r>
      </text>
    </comment>
    <comment ref="B32" authorId="0" shapeId="0" xr:uid="{00000000-0006-0000-0100-000015000000}">
      <text>
        <r>
          <rPr>
            <b/>
            <sz val="9"/>
            <color rgb="FF000000"/>
            <rFont val="Geneva"/>
            <family val="2"/>
          </rPr>
          <t>Aswath Damodaran:</t>
        </r>
        <r>
          <rPr>
            <sz val="9"/>
            <color rgb="FF000000"/>
            <rFont val="Geneva"/>
            <family val="2"/>
          </rPr>
          <t xml:space="preserve">
</t>
        </r>
        <r>
          <rPr>
            <sz val="9"/>
            <color rgb="FF000000"/>
            <rFont val="Geneva"/>
            <family val="2"/>
          </rPr>
          <t>Enter the primary number of shares outstanding. If you have more than one class of shares, count all classes of shares in this count (and make sure it is in the smame units as your other inputs; if in millions, enter this as millions too...)</t>
        </r>
      </text>
    </comment>
    <comment ref="B33" authorId="0" shapeId="0" xr:uid="{00000000-0006-0000-0100-000016000000}">
      <text>
        <r>
          <rPr>
            <b/>
            <sz val="9"/>
            <color indexed="81"/>
            <rFont val="Geneva"/>
            <family val="2"/>
          </rPr>
          <t>Aswath Damodaran:</t>
        </r>
        <r>
          <rPr>
            <sz val="9"/>
            <color indexed="81"/>
            <rFont val="Geneva"/>
            <family val="2"/>
          </rPr>
          <t xml:space="preserve">
If you can estimate the market value of the debt (not including operating leases), input the number here. If not, re-enter the book value from above.</t>
        </r>
      </text>
    </comment>
    <comment ref="B35" authorId="0" shapeId="0" xr:uid="{E2909568-9D43-7347-98C4-3FB6EE22191D}">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36" authorId="0" shapeId="0" xr:uid="{00000000-0006-0000-0100-000018000000}">
      <text>
        <r>
          <rPr>
            <b/>
            <sz val="9"/>
            <color indexed="81"/>
            <rFont val="Geneva"/>
            <family val="2"/>
          </rPr>
          <t>Aswath Damodaran:</t>
        </r>
        <r>
          <rPr>
            <sz val="9"/>
            <color indexed="81"/>
            <rFont val="Geneva"/>
            <family val="2"/>
          </rPr>
          <t xml:space="preserve">
For a private firm, you can try using the industry average debt ratio to compute cost of capital.</t>
        </r>
      </text>
    </comment>
    <comment ref="B39" authorId="0" shapeId="0" xr:uid="{00000000-0006-0000-0100-000019000000}">
      <text>
        <r>
          <rPr>
            <b/>
            <sz val="9"/>
            <color rgb="FF000000"/>
            <rFont val="Geneva"/>
            <family val="2"/>
          </rPr>
          <t>Aswath Damodaran:</t>
        </r>
        <r>
          <rPr>
            <sz val="9"/>
            <color rgb="FF000000"/>
            <rFont val="Geneva"/>
            <family val="2"/>
          </rPr>
          <t xml:space="preserve">
</t>
        </r>
        <r>
          <rPr>
            <sz val="9"/>
            <color rgb="FF000000"/>
            <rFont val="Geneva"/>
            <family val="2"/>
          </rPr>
          <t>Enter the risk free rate in the same currency that your cash flows are in. While you may start with a long term government bond rate in that currency, you may have to adjust it to make it risk free.</t>
        </r>
      </text>
    </comment>
    <comment ref="B40" authorId="0" shapeId="0" xr:uid="{00000000-0006-0000-0100-00001A000000}">
      <text>
        <r>
          <rPr>
            <b/>
            <sz val="9"/>
            <color rgb="FF000000"/>
            <rFont val="Geneva"/>
            <family val="2"/>
          </rPr>
          <t>Aswath Damodaran:</t>
        </r>
        <r>
          <rPr>
            <sz val="9"/>
            <color rgb="FF000000"/>
            <rFont val="Geneva"/>
            <family val="2"/>
          </rPr>
          <t xml:space="preserve">
</t>
        </r>
        <r>
          <rPr>
            <sz val="9"/>
            <color rgb="FF000000"/>
            <rFont val="Geneva"/>
            <family val="2"/>
          </rPr>
          <t xml:space="preserve">Enter the risk premium for equities over riskfree investments. You can use an implied or historical premium. If you have an emerging market company, add the country risk premium to the mature market premium to get to the equity risk premium.
</t>
        </r>
        <r>
          <rPr>
            <sz val="9"/>
            <color rgb="FF000000"/>
            <rFont val="Geneva"/>
            <family val="2"/>
          </rPr>
          <t>If your company operates in multiple markets, you should try the Cost of capital worksheet to get your equity risk premium.</t>
        </r>
      </text>
    </comment>
    <comment ref="B43" authorId="0" shapeId="0" xr:uid="{8E0B077B-3974-A848-BAA1-A4CC68D01B2C}">
      <text>
        <r>
          <rPr>
            <b/>
            <sz val="9"/>
            <color indexed="81"/>
            <rFont val="Geneva"/>
            <family val="2"/>
          </rPr>
          <t>Aswath Damodaran:</t>
        </r>
        <r>
          <rPr>
            <sz val="9"/>
            <color indexed="81"/>
            <rFont val="Geneva"/>
            <family val="2"/>
          </rPr>
          <t xml:space="preserve">
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44" authorId="0" shapeId="0" xr:uid="{00000000-0006-0000-0100-00001C000000}">
      <text>
        <r>
          <rPr>
            <b/>
            <sz val="9"/>
            <color rgb="FF000000"/>
            <rFont val="Geneva"/>
            <family val="2"/>
          </rPr>
          <t>Aswath Damodaran:</t>
        </r>
        <r>
          <rPr>
            <sz val="9"/>
            <color rgb="FF000000"/>
            <rFont val="Geneva"/>
            <family val="2"/>
          </rPr>
          <t xml:space="preserve">
</t>
        </r>
        <r>
          <rPr>
            <sz val="9"/>
            <color rgb="FF000000"/>
            <rFont val="Geneva"/>
            <family val="2"/>
          </rPr>
          <t xml:space="preserve">1: Large or stable firm
</t>
        </r>
        <r>
          <rPr>
            <sz val="9"/>
            <color rgb="FF000000"/>
            <rFont val="Geneva"/>
            <family val="2"/>
          </rPr>
          <t xml:space="preserve">2. Small or risky firm
</t>
        </r>
        <r>
          <rPr>
            <sz val="9"/>
            <color rgb="FF000000"/>
            <rFont val="Geneva"/>
            <family val="2"/>
          </rPr>
          <t>3: Financial Service firm</t>
        </r>
      </text>
    </comment>
    <comment ref="B45" authorId="0" shapeId="0" xr:uid="{00000000-0006-0000-0100-00001D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current S&amp;P rating for the firm.</t>
        </r>
      </text>
    </comment>
    <comment ref="B46" authorId="0" shapeId="0" xr:uid="{00000000-0006-0000-01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current pre-tax cost of debt based upon the rating.</t>
        </r>
      </text>
    </comment>
    <comment ref="B49" authorId="0" shapeId="0" xr:uid="{3D243973-D0C3-2747-9415-A11D5F9176A2}">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50" authorId="0" shapeId="0" xr:uid="{00000000-0006-0000-01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number of shares that these options are entitled to.</t>
        </r>
      </text>
    </comment>
    <comment ref="B51" authorId="0" shapeId="0" xr:uid="{00000000-0006-0000-0100-000021000000}">
      <text>
        <r>
          <rPr>
            <b/>
            <sz val="9"/>
            <color indexed="81"/>
            <rFont val="Geneva"/>
            <family val="2"/>
          </rPr>
          <t>Aswath Damodaran:</t>
        </r>
        <r>
          <rPr>
            <sz val="9"/>
            <color indexed="81"/>
            <rFont val="Geneva"/>
            <family val="2"/>
          </rPr>
          <t xml:space="preserve">
Enter the weighted (by number of options) exercise price on options.</t>
        </r>
      </text>
    </comment>
    <comment ref="B52" authorId="0" shapeId="0" xr:uid="{00000000-0006-0000-01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(by number of options) maturity of the options</t>
        </r>
      </text>
    </comment>
    <comment ref="B53" authorId="0" shapeId="0" xr:uid="{00000000-0006-0000-0100-000023000000}">
      <text>
        <r>
          <rPr>
            <b/>
            <sz val="9"/>
            <color indexed="81"/>
            <rFont val="Geneva"/>
            <family val="2"/>
          </rPr>
          <t>Aswath Damodaran:</t>
        </r>
        <r>
          <rPr>
            <sz val="9"/>
            <color indexed="81"/>
            <rFont val="Geneva"/>
            <family val="2"/>
          </rPr>
          <t xml:space="preserve">
Enter the standard deviation in the stock price. The industry average standard deviation is in the industry average worksheet.</t>
        </r>
      </text>
    </comment>
    <comment ref="B54" authorId="0" shapeId="0" xr:uid="{00000000-0006-0000-0100-000024000000}">
      <text>
        <r>
          <rPr>
            <b/>
            <sz val="9"/>
            <color indexed="81"/>
            <rFont val="Geneva"/>
            <family val="2"/>
          </rPr>
          <t>Aswath Damodaran:</t>
        </r>
        <r>
          <rPr>
            <sz val="9"/>
            <color indexed="81"/>
            <rFont val="Geneva"/>
            <family val="2"/>
          </rPr>
          <t xml:space="preserve">
This is to value your option. It is generally safer to leave this at the "Current Price". If you want the options to be valued using your estimate of value per share, you should use "Estimated value". </t>
        </r>
      </text>
    </comment>
    <comment ref="B58" authorId="0" shapeId="0" xr:uid="{00000000-0006-0000-0100-000025000000}">
      <text>
        <r>
          <rPr>
            <b/>
            <sz val="9"/>
            <color rgb="FF000000"/>
            <rFont val="Geneva"/>
            <family val="2"/>
          </rPr>
          <t>Aswath Damodaran:</t>
        </r>
        <r>
          <rPr>
            <sz val="9"/>
            <color rgb="FF000000"/>
            <rFont val="Geneva"/>
            <family val="2"/>
          </rPr>
          <t xml:space="preserve">
</t>
        </r>
        <r>
          <rPr>
            <sz val="9"/>
            <color rgb="FF000000"/>
            <rFont val="Geneva"/>
            <family val="2"/>
          </rPr>
          <t>Enter the length of period for which your firm will be able to grow at a rate higher than the economy. (Restricted to 15 years)</t>
        </r>
      </text>
    </comment>
    <comment ref="B59" authorId="0" shapeId="0" xr:uid="{00000000-0006-0000-0100-000026000000}">
      <text>
        <r>
          <rPr>
            <b/>
            <sz val="9"/>
            <color indexed="81"/>
            <rFont val="Geneva"/>
            <family val="2"/>
          </rPr>
          <t xml:space="preserve">Aswath Damodaran:
</t>
        </r>
        <r>
          <rPr>
            <sz val="9"/>
            <color indexed="81"/>
            <rFont val="Geneva"/>
            <family val="2"/>
          </rPr>
          <t>Enter the current beta for the firm. Use the bottom-up beta, if you can get it. For a private firm, use bottom-up beta. If you want to use my industry average betas and your company is in multiple businesses, try the Cost of capital worksheet.</t>
        </r>
      </text>
    </comment>
    <comment ref="B60" authorId="0" shapeId="0" xr:uid="{D83E10C4-EC58-7B4B-B40B-B5FD2856A211}">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62" authorId="0" shapeId="0" xr:uid="{00000000-0006-0000-0100-00002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want to immediately change the debt ratio, enter the number you want to move to here.</t>
        </r>
      </text>
    </comment>
    <comment ref="B63" authorId="0" shapeId="0" xr:uid="{E113CF1C-2590-7247-A043-2F915C61EE0C}">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66" authorId="0" shapeId="0" xr:uid="{07DE7BD7-1088-894F-8AD0-5B26415ECAB5}">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67" authorId="0" shapeId="0" xr:uid="{00000000-0006-0000-0100-000029000000}">
      <text>
        <r>
          <rPr>
            <b/>
            <sz val="9"/>
            <color indexed="81"/>
            <rFont val="Geneva"/>
            <family val="2"/>
          </rPr>
          <t>Aswath Damodaran:</t>
        </r>
        <r>
          <rPr>
            <sz val="9"/>
            <color indexed="81"/>
            <rFont val="Geneva"/>
            <family val="2"/>
          </rPr>
          <t xml:space="preserve">
This can be an external estimate of growth (from analysts) or a historical growth rate in earnings.</t>
        </r>
      </text>
    </comment>
    <comment ref="B69" authorId="0" shapeId="0" xr:uid="{00000000-0006-0000-0100-00002A000000}">
      <text>
        <r>
          <rPr>
            <b/>
            <sz val="9"/>
            <color indexed="81"/>
            <rFont val="Geneva"/>
            <family val="2"/>
          </rPr>
          <t>Aswath Damodaran:</t>
        </r>
        <r>
          <rPr>
            <sz val="9"/>
            <color indexed="81"/>
            <rFont val="Geneva"/>
            <family val="2"/>
          </rPr>
          <t xml:space="preserve">
DO NOT INPUT. This is estimated using your inputs from above.</t>
        </r>
      </text>
    </comment>
    <comment ref="B70" authorId="0" shapeId="0" xr:uid="{00000000-0006-0000-0100-00002B000000}">
      <text>
        <r>
          <rPr>
            <b/>
            <sz val="9"/>
            <color indexed="81"/>
            <rFont val="Geneva"/>
            <family val="2"/>
          </rPr>
          <t>Aswath Damodaran:</t>
        </r>
        <r>
          <rPr>
            <sz val="9"/>
            <color indexed="81"/>
            <rFont val="Geneva"/>
            <family val="2"/>
          </rPr>
          <t xml:space="preserve">
DO NOT INPUT. This is based upon your inputs above.</t>
        </r>
      </text>
    </comment>
    <comment ref="B71" authorId="0" shapeId="0" xr:uid="{F80532C2-4EC9-6748-9630-FC9E9538ADF9}">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B72" authorId="0" shapeId="0" xr:uid="{00000000-0006-0000-0100-00002C000000}">
      <text>
        <r>
          <rPr>
            <b/>
            <sz val="9"/>
            <color indexed="81"/>
            <rFont val="Geneva"/>
            <family val="2"/>
          </rPr>
          <t>Aswath Damodaran:</t>
        </r>
        <r>
          <rPr>
            <sz val="9"/>
            <color indexed="81"/>
            <rFont val="Geneva"/>
            <family val="2"/>
          </rPr>
          <t xml:space="preserve">
If you do not believe that your firm's return on capital is good estimate of what you will make on future investments, override that number with your own estimate.</t>
        </r>
      </text>
    </comment>
    <comment ref="B73" authorId="0" shapeId="0" xr:uid="{00000000-0006-0000-0100-00002D000000}">
      <text>
        <r>
          <rPr>
            <b/>
            <sz val="9"/>
            <color indexed="81"/>
            <rFont val="Geneva"/>
            <family val="2"/>
          </rPr>
          <t>Aswath Damodaran:</t>
        </r>
        <r>
          <rPr>
            <sz val="9"/>
            <color indexed="81"/>
            <rFont val="Geneva"/>
            <family val="2"/>
          </rPr>
          <t xml:space="preserve">
If youe computed reinvestment rate is negative or an unrealistic number, you can override it. (Look at the industry average and your own company's history)</t>
        </r>
      </text>
    </comment>
    <comment ref="B75" authorId="0" shapeId="0" xr:uid="{00000000-0006-0000-0100-00002E000000}">
      <text>
        <r>
          <rPr>
            <b/>
            <sz val="9"/>
            <color indexed="81"/>
            <rFont val="Geneva"/>
            <family val="2"/>
          </rPr>
          <t>Aswath Damodaran:</t>
        </r>
        <r>
          <rPr>
            <sz val="9"/>
            <color indexed="81"/>
            <rFont val="Geneva"/>
            <family val="2"/>
          </rPr>
          <t xml:space="preserve">
If you answer yes, I will adjust the cost of capital and the reinvestment rate to stable growth levels gradually during the second half of your high growth phase.</t>
        </r>
      </text>
    </comment>
    <comment ref="B78" authorId="0" shapeId="0" xr:uid="{00000000-0006-0000-0100-00002F000000}">
      <text>
        <r>
          <rPr>
            <b/>
            <sz val="9"/>
            <color rgb="FF000000"/>
            <rFont val="Geneva"/>
            <family val="2"/>
          </rPr>
          <t>Aswath Damodaran:</t>
        </r>
        <r>
          <rPr>
            <sz val="9"/>
            <color rgb="FF000000"/>
            <rFont val="Geneva"/>
            <family val="2"/>
          </rPr>
          <t xml:space="preserve">
</t>
        </r>
        <r>
          <rPr>
            <sz val="9"/>
            <color rgb="FF000000"/>
            <rFont val="Geneva"/>
            <family val="2"/>
          </rPr>
          <t>This is a growth rate that is sustainable forever. It should be less than or equal to the growth rate of the economy (defined in real or nominal terms). The risk free rate is a good proxy for the growth rate in the economy.</t>
        </r>
      </text>
    </comment>
    <comment ref="B79" authorId="0" shapeId="0" xr:uid="{00000000-0006-0000-0100-000030000000}">
      <text>
        <r>
          <rPr>
            <b/>
            <sz val="9"/>
            <color indexed="81"/>
            <rFont val="Geneva"/>
            <family val="2"/>
          </rPr>
          <t>Aswath Damodaran:</t>
        </r>
        <r>
          <rPr>
            <sz val="9"/>
            <color indexed="81"/>
            <rFont val="Geneva"/>
            <family val="2"/>
          </rPr>
          <t xml:space="preserve">
In stable growth, this number should be between 0.8 and 1.2. If you have a high beta firm, move it down to 1.2. If you have a low beta firm move to 0.8. (I have set up an if statement to do this, but override it, at your discretion.)</t>
        </r>
      </text>
    </comment>
    <comment ref="B80" authorId="0" shapeId="0" xr:uid="{00000000-0006-0000-0100-000031000000}">
      <text>
        <r>
          <rPr>
            <b/>
            <sz val="9"/>
            <color indexed="81"/>
            <rFont val="Geneva"/>
            <family val="2"/>
          </rPr>
          <t>Aswath Damodaran:</t>
        </r>
        <r>
          <rPr>
            <sz val="9"/>
            <color indexed="81"/>
            <rFont val="Geneva"/>
            <family val="2"/>
          </rPr>
          <t xml:space="preserve">
I have set it equal to your high growth input. You can override it and reset it.</t>
        </r>
      </text>
    </comment>
    <comment ref="B81" authorId="0" shapeId="0" xr:uid="{00000000-0006-0000-0100-000032000000}">
      <text>
        <r>
          <rPr>
            <b/>
            <sz val="9"/>
            <color indexed="81"/>
            <rFont val="Geneva"/>
            <family val="2"/>
          </rPr>
          <t>Aswath Damodaran:</t>
        </r>
        <r>
          <rPr>
            <sz val="9"/>
            <color indexed="81"/>
            <rFont val="Geneva"/>
            <family val="2"/>
          </rPr>
          <t xml:space="preserve">
I have set it equal to your high growth input. You can override it and reset it.</t>
        </r>
      </text>
    </comment>
    <comment ref="B82" authorId="0" shapeId="0" xr:uid="{00000000-0006-0000-0100-000033000000}">
      <text>
        <r>
          <rPr>
            <b/>
            <sz val="9"/>
            <color indexed="81"/>
            <rFont val="Geneva"/>
            <family val="2"/>
          </rPr>
          <t>Aswath Damodaran:</t>
        </r>
        <r>
          <rPr>
            <sz val="9"/>
            <color indexed="81"/>
            <rFont val="Geneva"/>
            <family val="2"/>
          </rPr>
          <t xml:space="preserve">
I have set it equal to your high growth input. You can override it and reset it.</t>
        </r>
      </text>
    </comment>
    <comment ref="B83" authorId="0" shapeId="0" xr:uid="{00000000-0006-0000-0100-000034000000}">
      <text>
        <r>
          <rPr>
            <b/>
            <sz val="9"/>
            <color indexed="81"/>
            <rFont val="Geneva"/>
            <family val="2"/>
          </rPr>
          <t>Aswath Damodaran:</t>
        </r>
        <r>
          <rPr>
            <sz val="9"/>
            <color indexed="81"/>
            <rFont val="Geneva"/>
            <family val="2"/>
          </rPr>
          <t xml:space="preserve">
I have set it equal to your high growth input. You can override it and reset it.</t>
        </r>
      </text>
    </comment>
    <comment ref="B85" authorId="0" shapeId="0" xr:uid="{00000000-0006-0000-0100-000035000000}">
      <text>
        <r>
          <rPr>
            <b/>
            <sz val="9"/>
            <color indexed="81"/>
            <rFont val="Geneva"/>
            <family val="2"/>
          </rPr>
          <t>Aswath Damodaran:</t>
        </r>
        <r>
          <rPr>
            <sz val="9"/>
            <color indexed="81"/>
            <rFont val="Geneva"/>
            <family val="2"/>
          </rPr>
          <t xml:space="preserve">
If you say Yes, I will compute your reinvestment rate in the terminal year to be g/ROC</t>
        </r>
      </text>
    </comment>
    <comment ref="B86" authorId="0" shapeId="0" xr:uid="{00000000-0006-0000-0100-000036000000}">
      <text>
        <r>
          <rPr>
            <b/>
            <sz val="9"/>
            <color indexed="81"/>
            <rFont val="Geneva"/>
            <family val="2"/>
          </rPr>
          <t>Aswath Damodaran:</t>
        </r>
        <r>
          <rPr>
            <sz val="9"/>
            <color indexed="81"/>
            <rFont val="Geneva"/>
            <family val="2"/>
          </rPr>
          <t xml:space="preserve">
Enter one of the following:
1. Firm's current ROC, if those returns are sustainable in the long term.,
2. Industry average ROC, if you expect firm to approach industry norms
3. Firm's own cost on capital, if competition will drive out excess returns.
As a default, I have set it equal to the return on capital during the high growth period, but you can override it.</t>
        </r>
      </text>
    </comment>
    <comment ref="B87" authorId="0" shapeId="0" xr:uid="{00000000-0006-0000-0100-000037000000}">
      <text>
        <r>
          <rPr>
            <b/>
            <sz val="9"/>
            <color indexed="81"/>
            <rFont val="Geneva"/>
            <family val="2"/>
          </rPr>
          <t>Aswath Damodaran:</t>
        </r>
        <r>
          <rPr>
            <sz val="9"/>
            <color indexed="81"/>
            <rFont val="Geneva"/>
            <family val="2"/>
          </rPr>
          <t xml:space="preserve">
Enter the industry average cap ex/depreciation ratio. Do not set below 100%. That will make your net cap ex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2" authorId="0" shapeId="0" xr:uid="{00000000-0006-0000-0200-000001000000}">
      <text>
        <r>
          <rPr>
            <b/>
            <sz val="9"/>
            <color indexed="81"/>
            <rFont val="Geneva"/>
            <family val="2"/>
          </rPr>
          <t>Aswath Damodaran:</t>
        </r>
        <r>
          <rPr>
            <sz val="9"/>
            <color indexed="81"/>
            <rFont val="Geneva"/>
            <family val="2"/>
          </rPr>
          <t xml:space="preserve">
1: Historical average earnings
2: Historical average ROC
3. Sector average margin</t>
        </r>
      </text>
    </comment>
    <comment ref="D5" authorId="0" shapeId="0" xr:uid="{00000000-0006-0000-0200-000002000000}">
      <text>
        <r>
          <rPr>
            <b/>
            <sz val="9"/>
            <color indexed="81"/>
            <rFont val="Geneva"/>
            <family val="2"/>
          </rPr>
          <t>Aswath Damodaran:</t>
        </r>
        <r>
          <rPr>
            <sz val="9"/>
            <color indexed="81"/>
            <rFont val="Geneva"/>
            <family val="2"/>
          </rPr>
          <t xml:space="preserve">
Enter the average EBIT over the historical period chosen (eg. Last 5 years)</t>
        </r>
      </text>
    </comment>
    <comment ref="D8" authorId="0" shapeId="0" xr:uid="{00000000-0006-0000-0200-000003000000}">
      <text>
        <r>
          <rPr>
            <b/>
            <sz val="9"/>
            <color indexed="81"/>
            <rFont val="Geneva"/>
            <family val="2"/>
          </rPr>
          <t>Aswath Damodaran:</t>
        </r>
        <r>
          <rPr>
            <sz val="9"/>
            <color indexed="81"/>
            <rFont val="Geneva"/>
            <family val="2"/>
          </rPr>
          <t xml:space="preserve">
Use the average pre-tax return on capital over the historical period. (EBIT/BV of Capital)</t>
        </r>
      </text>
    </comment>
    <comment ref="D11" authorId="0" shapeId="0" xr:uid="{00000000-0006-0000-0200-000004000000}">
      <text>
        <r>
          <rPr>
            <b/>
            <sz val="9"/>
            <color indexed="81"/>
            <rFont val="Geneva"/>
            <family val="2"/>
          </rPr>
          <t>Aswath Damodaran:</t>
        </r>
        <r>
          <rPr>
            <sz val="9"/>
            <color indexed="81"/>
            <rFont val="Geneva"/>
            <family val="2"/>
          </rPr>
          <t xml:space="preserve">
Look at the attached industry average worksheet.</t>
        </r>
      </text>
    </comment>
    <comment ref="D14" authorId="0" shapeId="0" xr:uid="{00000000-0006-0000-0200-000005000000}">
      <text>
        <r>
          <rPr>
            <b/>
            <sz val="9"/>
            <color indexed="81"/>
            <rFont val="Geneva"/>
            <family val="2"/>
          </rPr>
          <t>Aswath Damodaran:</t>
        </r>
        <r>
          <rPr>
            <sz val="9"/>
            <color indexed="81"/>
            <rFont val="Geneva"/>
            <family val="2"/>
          </rPr>
          <t xml:space="preserve">
DO NOT INPUT. This is being calculated based upon your inputs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3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7" authorId="0" shapeId="0" xr:uid="{F3303CB5-9697-A242-B813-42268D840D9A}">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9" authorId="0" shapeId="0" xr:uid="{0ACF6E84-8F0C-EE49-829E-5DDE08553306}">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13" authorId="0" shapeId="0" xr:uid="{2D618343-6F62-6E41-BAB2-458689B40FEB}">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14" authorId="0" shapeId="0" xr:uid="{5682F7DB-B5E6-B440-A00E-28CCBEA7D7D0}">
      <text>
        <r>
          <rPr>
            <b/>
            <sz val="9"/>
            <color indexed="81"/>
            <rFont val="Geneva"/>
            <family val="2"/>
          </rPr>
          <t>Aswath Damodaran:</t>
        </r>
        <r>
          <rPr>
            <sz val="9"/>
            <color indexed="81"/>
            <rFont val="Geneva"/>
            <family val="2"/>
          </rPr>
          <t xml:space="preserve">
Generally found in footnotes to financial statements.</t>
        </r>
      </text>
    </comment>
    <comment ref="B15" authorId="0" shapeId="0" xr:uid="{D5CD92E7-7C00-9445-BD2E-DE32BCB7C403}">
      <text>
        <r>
          <rPr>
            <b/>
            <sz val="9"/>
            <color indexed="81"/>
            <rFont val="Geneva"/>
            <family val="2"/>
          </rPr>
          <t>Aswath Damodaran:</t>
        </r>
        <r>
          <rPr>
            <sz val="9"/>
            <color indexed="81"/>
            <rFont val="Geneva"/>
            <family val="2"/>
          </rPr>
          <t xml:space="preserve">
Current, long term cost of borrowing money. If you have a rating use it, if not use a synthetic rating.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4BB6BA51-E4D6-404B-B095-8D9A1B9A097C}">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3CA567CC-B142-D94F-8020-2DF72105198C}">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30F100C9-BF1B-C244-941E-390BDD55E8AC}">
      <text>
        <r>
          <rPr>
            <b/>
            <sz val="9"/>
            <color indexed="81"/>
            <rFont val="Geneva"/>
            <family val="2"/>
          </rPr>
          <t>Aswath Damodaran:</t>
        </r>
        <r>
          <rPr>
            <sz val="9"/>
            <color indexed="81"/>
            <rFont val="Geneva"/>
            <family val="2"/>
          </rPr>
          <t xml:space="preserve">
I use a 10 year government bond rate.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2073AF73-A9FC-C547-8B52-94B79E60032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sharedStrings.xml><?xml version="1.0" encoding="utf-8"?>
<sst xmlns="http://schemas.openxmlformats.org/spreadsheetml/2006/main" count="1118" uniqueCount="794">
  <si>
    <t>! Operating lease expense - Depreciation</t>
    <phoneticPr fontId="25" type="noConversion"/>
  </si>
  <si>
    <t>Electric Utility (West)</t>
  </si>
  <si>
    <t>Interest  coverage ratio =</t>
  </si>
  <si>
    <t>The questions below, especially the yes or no ones, can be confusing. Please read the comments on the input cells.</t>
    <phoneticPr fontId="25" type="noConversion"/>
  </si>
  <si>
    <t>Debt Value of leases =</t>
  </si>
  <si>
    <t>Imputed Return on capital forever =</t>
  </si>
  <si>
    <t>Input Diagnostics</t>
  </si>
  <si>
    <t>B81-83</t>
  </si>
  <si>
    <t>! If in doubt, use the lookup table below</t>
  </si>
  <si>
    <t>Do you want to capitalize R&amp;D expenses?</t>
  </si>
  <si>
    <t>Operating Lease Converter</t>
  </si>
  <si>
    <t>Inputs</t>
  </si>
  <si>
    <t>to estimate the number of years of expenses in yr 6</t>
  </si>
  <si>
    <t>financial statements, and review and change the inputs for the valuation.</t>
  </si>
  <si>
    <t>Medical Supplies</t>
  </si>
  <si>
    <t>Reported Debt =</t>
  </si>
  <si>
    <t>Telecom. Equipment</t>
  </si>
  <si>
    <t>Beta used for stock =</t>
  </si>
  <si>
    <t>Growth rate during stable growth period =</t>
  </si>
  <si>
    <t>Average maturity</t>
  </si>
  <si>
    <t>positive. It allows for up to 15 years of high growth, and can be used either as a 2-stage or a 3-stage model.</t>
  </si>
  <si>
    <t>The inputs are in the following pages:</t>
  </si>
  <si>
    <t>Chemical (Specialty)</t>
  </si>
  <si>
    <t>Coal/Alternate Energy</t>
  </si>
  <si>
    <t>Computer &amp; Peripherals</t>
  </si>
  <si>
    <t>Computer Software &amp; Svcs</t>
  </si>
  <si>
    <t>Copper</t>
  </si>
  <si>
    <t>Reinvestment Rate</t>
  </si>
  <si>
    <t>If no, enter the ratio of working capital to revenues to use in analysis</t>
  </si>
  <si>
    <t>inputs adjusted during the second half of the high growth phase.</t>
  </si>
  <si>
    <t>Before you start</t>
  </si>
  <si>
    <t>Amortization of asset for current year =</t>
  </si>
  <si>
    <t>Risk Premium =</t>
  </si>
  <si>
    <t>Length of High Growth Period =</t>
  </si>
  <si>
    <t>Forever</t>
  </si>
  <si>
    <t>Cost of Debt =</t>
  </si>
  <si>
    <t>Total</t>
  </si>
  <si>
    <t>Tax Rate =</t>
  </si>
  <si>
    <t>Tax Rate to use in stable growth period =</t>
  </si>
  <si>
    <t>Important: Be consistent about the units you use. If you use millions, use millions for all of your inputs.</t>
  </si>
  <si>
    <t>Office Equip &amp; Supplies</t>
  </si>
  <si>
    <t>Manuf. Housing/Rec Veh</t>
  </si>
  <si>
    <t>Electric Utility (East)</t>
  </si>
  <si>
    <t>income, the book value of assets and the book value of equity.</t>
  </si>
  <si>
    <t>Normalized EBIT (before adjustments)</t>
  </si>
  <si>
    <t>Pre-tax Operating Margin for Sector =</t>
  </si>
  <si>
    <t>! Look at industry average</t>
  </si>
  <si>
    <t>Adjusted EBIT =</t>
  </si>
  <si>
    <t>Adjusted Book Value of Debt =</t>
  </si>
  <si>
    <t>greater than</t>
  </si>
  <si>
    <t>Debt Ratio used in Cost of Capital Calculation=</t>
  </si>
  <si>
    <t>! If negative, go back and choose to normalize earnings.</t>
  </si>
  <si>
    <t>Enter the type of firm =</t>
  </si>
  <si>
    <t>Current</t>
  </si>
  <si>
    <t>Valuation</t>
  </si>
  <si>
    <t xml:space="preserve">for a stable growth phase (2-stage model) or it can be adjusted to allow for a transition phase (3-stage model). </t>
  </si>
  <si>
    <t>Restated Financials</t>
  </si>
  <si>
    <t>Current Interest Expense =</t>
  </si>
  <si>
    <t>If you have negative operating income, you will either have to normalize it to make it positive, or use the highgrowth.xls spreadsheet.</t>
  </si>
  <si>
    <t>Enter the expiration of the option =</t>
  </si>
  <si>
    <t xml:space="preserve">2. Industry averages: Here, you can look up industry averages for variables such as beta, return on capital, </t>
  </si>
  <si>
    <t>Insurance (Diversified)</t>
  </si>
  <si>
    <t>Standard Deviation in stock price</t>
  </si>
  <si>
    <t>There are two other worksheets that you might find useful at the end of this spreadsheet</t>
  </si>
  <si>
    <t>Oilfield Services/Equip.</t>
  </si>
  <si>
    <t>Diversified Co.</t>
  </si>
  <si>
    <t>Drug</t>
  </si>
  <si>
    <t>Drugstore</t>
  </si>
  <si>
    <t>Educational Services</t>
  </si>
  <si>
    <t>Number of firms</t>
  </si>
  <si>
    <t>This spreadsheet converts R&amp;D expenses from operating to capital expenses. It makes the appropriate adjustments to operating income, net</t>
  </si>
  <si>
    <t>Thrift</t>
  </si>
  <si>
    <t>Telecom. Services</t>
  </si>
  <si>
    <t>Enter the standard deviation in stock prices =</t>
  </si>
  <si>
    <t>Paper &amp; Forest Products</t>
  </si>
  <si>
    <t>The spreadsheet has circular reasoning. This is not a problem. Go into calculation options (in excel) and check</t>
  </si>
  <si>
    <t>the iteration box.</t>
  </si>
  <si>
    <t>Debt/(Debt +Equity) =</t>
  </si>
  <si>
    <t>Cost of Capital</t>
  </si>
  <si>
    <t>Cost of Capital =</t>
  </si>
  <si>
    <t>Do you want to keep the debt ratio computed from your inputs?</t>
  </si>
  <si>
    <t>Electrical Equipment</t>
  </si>
  <si>
    <t>! Commitment beyond year 6 converted into an annuity for ten years</t>
  </si>
  <si>
    <t>Do you want to estimate the firm's synthetic rating =</t>
  </si>
  <si>
    <t># Warrants issued=</t>
  </si>
  <si>
    <t>Cumulated Cost of Capital</t>
  </si>
  <si>
    <t>If historical average,</t>
  </si>
  <si>
    <t>If not, what is the current rating of the firm?</t>
  </si>
  <si>
    <t>Enter the cost of debt associated with the rating =</t>
  </si>
  <si>
    <t>Depreciation on Operating Lease Asset =</t>
  </si>
  <si>
    <t>! I use straight line depreciation</t>
  </si>
  <si>
    <t>Non-technological Service</t>
  </si>
  <si>
    <t>Adjusted Capital Spending</t>
  </si>
  <si>
    <t>Financial Services</t>
  </si>
  <si>
    <t>Normalized Earnings before interest and taxes =</t>
  </si>
  <si>
    <t>Inputs for synthetic rating estimation</t>
  </si>
  <si>
    <t>Average Earnings before interest and taxes =</t>
  </si>
  <si>
    <t>Value at the end of growth phase =</t>
  </si>
  <si>
    <t>Present Value of FCFF in high growth phase =</t>
  </si>
  <si>
    <t>3 years</t>
  </si>
  <si>
    <t>Research, with Patenting</t>
  </si>
  <si>
    <t>Long Gestation Period</t>
  </si>
  <si>
    <t>Length of high growth period =</t>
  </si>
  <si>
    <t>Petroleum (Integrated)</t>
  </si>
  <si>
    <t>reinvestment rates and working capital.</t>
  </si>
  <si>
    <t>Do you have equity options (management options, warrants) outstanding?</t>
  </si>
  <si>
    <t>Adjusted S =</t>
  </si>
  <si>
    <t>Adjusted K =</t>
  </si>
  <si>
    <t>Do you want to use the stock price to value the option or your estimated value?</t>
  </si>
  <si>
    <t>Stock Price=</t>
  </si>
  <si>
    <t xml:space="preserve">1. Bottom-up beta estimator: will estimate your levered beta, given an unlevered beta (which you will have to </t>
  </si>
  <si>
    <t>input.</t>
  </si>
  <si>
    <t>Number of years embedded in yr 6 estimate =</t>
  </si>
  <si>
    <t>Metal Fabricating</t>
  </si>
  <si>
    <t>Metals &amp; Mining (Div.)</t>
  </si>
  <si>
    <t>Value of operating assets of the firm =</t>
  </si>
  <si>
    <t>Value of Research Asset =</t>
  </si>
  <si>
    <t>Estimated Bond Rating =</t>
  </si>
  <si>
    <t>Current Revenues =</t>
  </si>
  <si>
    <t>Current Non-cash Working Capital =</t>
  </si>
  <si>
    <t>Chg. Working Capital =</t>
  </si>
  <si>
    <t>Master Input Sheet</t>
  </si>
  <si>
    <t>Market Debt/Capital</t>
  </si>
  <si>
    <t>Growth Rate =</t>
  </si>
  <si>
    <t>If no,  enter capital expenditure as % of depreciation in stable growth</t>
  </si>
  <si>
    <t>BBB</t>
  </si>
  <si>
    <t>Insurance (Prop/Casualty)</t>
  </si>
  <si>
    <t>Internet</t>
  </si>
  <si>
    <t>Investment Co. (Domestic)</t>
  </si>
  <si>
    <t>Investment Co. (Foreign)</t>
  </si>
  <si>
    <t>Investment Co. (Income)</t>
  </si>
  <si>
    <t>Machinery</t>
  </si>
  <si>
    <t>Sales/Capital</t>
  </si>
  <si>
    <t>Petroleum (Producing)</t>
  </si>
  <si>
    <t>Water Utility</t>
  </si>
  <si>
    <t>6 and beyond</t>
  </si>
  <si>
    <t>Light Manufacturing</t>
  </si>
  <si>
    <t>5 years</t>
  </si>
  <si>
    <t>! If yes, use the rating estimator worksheet that is attached</t>
  </si>
  <si>
    <t>The maximum allowed is ten years</t>
  </si>
  <si>
    <t>Previous year-end</t>
  </si>
  <si>
    <t>Normalizing Earnings</t>
  </si>
  <si>
    <t>Debt/ (Equity + Debt)  =</t>
  </si>
  <si>
    <t>If yes, the debt ratio that will be used to compute the cost of capital is</t>
  </si>
  <si>
    <t>Present Value of Terminal Value of Firm =</t>
  </si>
  <si>
    <t>Market Value of outstanding debt =</t>
  </si>
  <si>
    <t>Market Value of Equity =</t>
  </si>
  <si>
    <t>Strike Price=</t>
  </si>
  <si>
    <t>Equity/(Debt+Equity ) =</t>
  </si>
  <si>
    <t>After-tax Cost of debt =</t>
  </si>
  <si>
    <t>Do you want to compute reinvestment needs in stable growth based on fundamentals?</t>
  </si>
  <si>
    <t># Shares outstanding=</t>
  </si>
  <si>
    <t>T.Bond rate=</t>
  </si>
  <si>
    <t>Auto Parts (Replacement)</t>
  </si>
  <si>
    <t>Bank</t>
  </si>
  <si>
    <t>Bank (Canadian)</t>
  </si>
  <si>
    <t>Precision Instrument</t>
  </si>
  <si>
    <t>Publishing</t>
  </si>
  <si>
    <t>Annualized dividend yield=</t>
  </si>
  <si>
    <t>Div. Adj. interest rate=</t>
  </si>
  <si>
    <t xml:space="preserve">d1 = </t>
  </si>
  <si>
    <t>&gt;</t>
  </si>
  <si>
    <t>≤ to</t>
  </si>
  <si>
    <t>Debt Ratio to use in stable growth period =</t>
  </si>
  <si>
    <t>If yes, the inputs to the fundamental growth calculation (based upon your inputs) are</t>
  </si>
  <si>
    <t>Reinvestment Rate =</t>
  </si>
  <si>
    <t>Do you want to convert operating leases to debt?</t>
  </si>
  <si>
    <t>3. If you have R&amp;D or operating leases, you will need to input the required numbers in those worksheets.</t>
  </si>
  <si>
    <t>Other worksheets</t>
  </si>
  <si>
    <t>Current Depreciation &amp; Amort'n =</t>
  </si>
  <si>
    <t>Industry Name</t>
  </si>
  <si>
    <t>Advertising</t>
  </si>
  <si>
    <t>! If you do not have a cost of debt, use the ratings estimator</t>
  </si>
  <si>
    <t>From the current financial statements, enter the following</t>
  </si>
  <si>
    <t>Reported Operating Income (EBIT) =</t>
  </si>
  <si>
    <t>Cash &amp; Marketable Securities =</t>
  </si>
  <si>
    <t>Value of Non-operating Assets =</t>
  </si>
  <si>
    <t>Input Summary</t>
  </si>
  <si>
    <t>! This is the interest-bearing debt reported on the balance sheet</t>
  </si>
  <si>
    <t>Free Cashflow to Firm</t>
  </si>
  <si>
    <t>! I use the average lease expense over the first five years</t>
  </si>
  <si>
    <t>Medical Services</t>
  </si>
  <si>
    <t>This model is designed to value firms with operating income that is either positive or can be normalized to be</t>
  </si>
  <si>
    <t>10 years</t>
  </si>
  <si>
    <t>Is your stock currently traded?</t>
  </si>
  <si>
    <t>Market Data for your firm</t>
  </si>
  <si>
    <t>Restaurant</t>
  </si>
  <si>
    <t>Look Up Table for Amortization Periods</t>
  </si>
  <si>
    <t>EBIT</t>
  </si>
  <si>
    <t>Operating lease expense in current year =</t>
  </si>
  <si>
    <t>Yes</t>
  </si>
  <si>
    <t>Value of Equity in Options =</t>
  </si>
  <si>
    <t>Value of Equity in Common Stock =</t>
  </si>
  <si>
    <t>Cost of Equity =</t>
  </si>
  <si>
    <t>You can even make it a stable growth model, by setting the length of the high growth period to zero.</t>
  </si>
  <si>
    <t>Intermediate Output</t>
  </si>
  <si>
    <t>Book Value of Debt =</t>
  </si>
  <si>
    <t>Electric Util. (Central)</t>
  </si>
  <si>
    <t>Valuing Options or Warrants</t>
  </si>
  <si>
    <t xml:space="preserve">Value per option = </t>
  </si>
  <si>
    <t>Value of all options outstanding =</t>
  </si>
  <si>
    <t>Current Stock Price =</t>
  </si>
  <si>
    <t>R.E.I.T.</t>
  </si>
  <si>
    <t>Railroad</t>
  </si>
  <si>
    <t>Recreation</t>
  </si>
  <si>
    <t>Operating Margin</t>
  </si>
  <si>
    <t>Beta to use in stable growth period =</t>
  </si>
  <si>
    <t>Natural Gas (Diversified)</t>
  </si>
  <si>
    <t>Newspaper</t>
  </si>
  <si>
    <t>Semiconductor</t>
  </si>
  <si>
    <t>Semiconductor Cap Equip</t>
  </si>
  <si>
    <t>Converting Operating Leases into debt</t>
  </si>
  <si>
    <t>Rating is</t>
  </si>
  <si>
    <t>Spread is</t>
  </si>
  <si>
    <t>Trucking/Transp. Leasing</t>
  </si>
  <si>
    <t>Utility (Foreign)</t>
  </si>
  <si>
    <t>Do you want to compute your growth rate from fundamentals?</t>
  </si>
  <si>
    <t>Book Value of Equity =</t>
  </si>
  <si>
    <t>Steel (Integrated)</t>
  </si>
  <si>
    <t>Worksheet for normalization (Last 5 years of data)</t>
  </si>
  <si>
    <t>Output</t>
  </si>
  <si>
    <t>Insurance (Life)</t>
  </si>
  <si>
    <t>VALUING WARRANTS WHEN THERE IS DILUTION</t>
  </si>
  <si>
    <t xml:space="preserve"> -Chg. Working Capital</t>
  </si>
  <si>
    <t>Unamortized portion</t>
  </si>
  <si>
    <t>Adjusted Depreciation &amp; Amort'n =</t>
  </si>
  <si>
    <t>An apology: I apologize for the number of inputs that are required on this sheet. Many of the inputs are required only if you choose the appropriate option, though.</t>
  </si>
  <si>
    <t>Equity/ (Equity + Debt) =</t>
  </si>
  <si>
    <t>From Current Financials</t>
  </si>
  <si>
    <t>Valuation Inputs</t>
  </si>
  <si>
    <t>High Growth Period</t>
  </si>
  <si>
    <t>Current Capital Spending</t>
  </si>
  <si>
    <t>Tax Rate on Income =</t>
  </si>
  <si>
    <r>
      <t xml:space="preserve">2. If you want to normalized operating income, use the </t>
    </r>
    <r>
      <rPr>
        <sz val="10"/>
        <color indexed="10"/>
        <rFont val="Times"/>
        <family val="1"/>
      </rPr>
      <t>earnings normalizer</t>
    </r>
    <r>
      <rPr>
        <sz val="10"/>
        <rFont val="Times"/>
        <family val="1"/>
      </rPr>
      <t xml:space="preserve"> worksheet.</t>
    </r>
  </si>
  <si>
    <t>Enter the number of shares outstanding =</t>
  </si>
  <si>
    <t>Enter the current year's R&amp;D expense =</t>
  </si>
  <si>
    <t>! Year -1 is the year prior to the current year</t>
  </si>
  <si>
    <t>Return on Capital =</t>
  </si>
  <si>
    <t>Adjustment to Operating Earnings =</t>
  </si>
  <si>
    <t>Adjustment to Total Debt outstanding =</t>
  </si>
  <si>
    <t>Ratings</t>
  </si>
  <si>
    <t>Historical average pre-tax return on capital =</t>
  </si>
  <si>
    <t>If sector margin</t>
  </si>
  <si>
    <t>N (d1) =</t>
  </si>
  <si>
    <t>2 years</t>
  </si>
  <si>
    <t>Retail, Tech Service</t>
  </si>
  <si>
    <t>Retail (Special Lines)</t>
  </si>
  <si>
    <t>Retail Building Supply</t>
  </si>
  <si>
    <t>Retail Store</t>
  </si>
  <si>
    <t>! Year -2 is the two years prior to the current year</t>
  </si>
  <si>
    <t>Variance=</t>
  </si>
  <si>
    <t>Expiration (in years) =</t>
  </si>
  <si>
    <t>Enter current Earnings before interest and taxes (EBIT) =</t>
  </si>
  <si>
    <t xml:space="preserve">d2 = </t>
  </si>
  <si>
    <t>N (d2) =</t>
  </si>
  <si>
    <t>If historical average ROC,</t>
  </si>
  <si>
    <t>Value of Firm =</t>
  </si>
  <si>
    <t>(Add back only long term interest expense for financial firms)</t>
  </si>
  <si>
    <t>Electronics</t>
  </si>
  <si>
    <t>Air Transport</t>
  </si>
  <si>
    <t>Aluminum</t>
  </si>
  <si>
    <t>Apparel</t>
  </si>
  <si>
    <t>Securities Brokerage</t>
  </si>
  <si>
    <t>Year</t>
  </si>
  <si>
    <t>Tobacco</t>
  </si>
  <si>
    <t>Do you want to normalize operating income?</t>
  </si>
  <si>
    <t>Commitment</t>
  </si>
  <si>
    <t>! Year 1 is next year, ….</t>
  </si>
  <si>
    <t>Over how many years do you want to amortize R&amp;D expenses</t>
  </si>
  <si>
    <t>Pre-tax Cost of Debt =</t>
  </si>
  <si>
    <t>Revenues</t>
  </si>
  <si>
    <t>Enter the number of warrants (options) outstanding =</t>
  </si>
  <si>
    <t>R&amp;D Expense</t>
  </si>
  <si>
    <t>Growth Rate in Stable Phase =</t>
  </si>
  <si>
    <t>FCFF in Stable Phase =</t>
  </si>
  <si>
    <t>Options</t>
  </si>
  <si>
    <t>Do not input numbers in the first column (Year). It will get automatically updated  based on the input above.</t>
  </si>
  <si>
    <t>R &amp; D Converter</t>
  </si>
  <si>
    <t>Auto Parts (OEM)</t>
  </si>
  <si>
    <t>Beverage (Soft Drink)</t>
  </si>
  <si>
    <t>Building Materials</t>
  </si>
  <si>
    <t>Enter R&amp; D expenses for past years: the number of years that you will need to enter will be determined by the amortization period</t>
  </si>
  <si>
    <t>To compute the reinvestment rate in stable growth, you have two options</t>
  </si>
  <si>
    <t>EBIT * (1 - tax rate)</t>
  </si>
  <si>
    <t>Enter the current stock price =</t>
  </si>
  <si>
    <t>Enter the strike price on the option =</t>
  </si>
  <si>
    <t>NA</t>
  </si>
  <si>
    <t>Computers/Peripherals</t>
  </si>
  <si>
    <t>Long Term Riskfree rate=</t>
  </si>
  <si>
    <t>Home Appliance</t>
  </si>
  <si>
    <t>Beverage (Alcoholic)</t>
  </si>
  <si>
    <t xml:space="preserve"> - (CapEx-Depreciation)</t>
  </si>
  <si>
    <t>Cost of Capital in Stable Phase =</t>
  </si>
  <si>
    <t>Enter current interest expenses =</t>
  </si>
  <si>
    <t>Enter the annualized dividend yield on stock =</t>
  </si>
  <si>
    <t>Enter the treasury bond rate =</t>
  </si>
  <si>
    <t>The FCFF for the high growth phase are shown below (upto 10 years)</t>
  </si>
  <si>
    <t>Packaging &amp; Container</t>
  </si>
  <si>
    <t>Auto &amp; Truck</t>
  </si>
  <si>
    <t>Riskfree rate =</t>
  </si>
  <si>
    <t>Do you want to change these inputs?</t>
  </si>
  <si>
    <t>FCFF VALUATION MODEL</t>
  </si>
  <si>
    <t>Homebuilding</t>
  </si>
  <si>
    <t>Hotel/Gaming</t>
  </si>
  <si>
    <t>Adjusted Interest Expense =</t>
  </si>
  <si>
    <t>Chemical (Basic)</t>
  </si>
  <si>
    <t>Chemical (Diversified)</t>
  </si>
  <si>
    <t>Operating Lease Commitments (From footnote to financials)</t>
  </si>
  <si>
    <t>Output from the program</t>
  </si>
  <si>
    <t>Approach used to normalize earnings =</t>
  </si>
  <si>
    <t>Shoe</t>
  </si>
  <si>
    <t>Steel (General)</t>
  </si>
  <si>
    <t>Household Products</t>
  </si>
  <si>
    <t>Amortization Period</t>
  </si>
  <si>
    <t>Gold/Silver Mining</t>
  </si>
  <si>
    <t>Grocery</t>
  </si>
  <si>
    <t>Healthcare Info Systems</t>
  </si>
  <si>
    <t>R&amp; D Expenses</t>
  </si>
  <si>
    <t>Present Value</t>
  </si>
  <si>
    <t>(in percent)</t>
  </si>
  <si>
    <t>If yes, enter the number of options</t>
  </si>
  <si>
    <t xml:space="preserve">Average strike price </t>
  </si>
  <si>
    <t>Would you like to use the book value debt ratio?</t>
  </si>
  <si>
    <t>If no, enter the debt ratio to use in valuation</t>
  </si>
  <si>
    <t>Stable Growth Period</t>
  </si>
  <si>
    <t>Heavy  Manufacturing</t>
  </si>
  <si>
    <t>If no, enter the expected growth rate in operating income for high growth period</t>
  </si>
  <si>
    <t>Industrial Services</t>
  </si>
  <si>
    <r>
      <t xml:space="preserve">1. The bulk of the inputs are in the </t>
    </r>
    <r>
      <rPr>
        <sz val="10"/>
        <color indexed="10"/>
        <rFont val="Times"/>
        <family val="1"/>
      </rPr>
      <t>master inputs page</t>
    </r>
    <r>
      <rPr>
        <sz val="10"/>
        <rFont val="Times"/>
        <family val="1"/>
      </rPr>
      <t>. Here, you can input the numbers from the current</t>
    </r>
  </si>
  <si>
    <t>General Market Data</t>
  </si>
  <si>
    <t>The spreadsheet can be used to value a company, with fixed inputs for a high growth phase and different inputs</t>
  </si>
  <si>
    <t>Adjustment to Operating Income =</t>
  </si>
  <si>
    <t>EV/Sales</t>
  </si>
  <si>
    <t>Amortization this year</t>
  </si>
  <si>
    <t>Natural Gas (Distrib.)</t>
  </si>
  <si>
    <t>If no, enter the debt ratio that you would like to use in the high growth period</t>
  </si>
  <si>
    <t xml:space="preserve">To switch from one to the other, enter yes in the master input page to the question of whether you want the </t>
  </si>
  <si>
    <t>Terminal Year</t>
  </si>
  <si>
    <t>Cost of Equity in Stable Phase =</t>
  </si>
  <si>
    <t>(Use only long term interest expense for financial firms)</t>
  </si>
  <si>
    <t>Beta to use for high growth period for your firm=</t>
  </si>
  <si>
    <t>Expected Growth Rate</t>
  </si>
  <si>
    <t>AT Cost of Debt in Stable Phase =</t>
  </si>
  <si>
    <t>Unlevered Beta</t>
  </si>
  <si>
    <t>For smaller and riskier firms</t>
  </si>
  <si>
    <t>If yes, enter the return on capital that the firm will have in stable growth</t>
  </si>
  <si>
    <t>Estimated Cost of Debt =</t>
  </si>
  <si>
    <t>For large manufacturing firms</t>
  </si>
  <si>
    <t>If yes, enter the following:</t>
  </si>
  <si>
    <t>Value of Cash, Marketable Securities &amp; Non-operating assets =</t>
  </si>
  <si>
    <t>Food Processing</t>
  </si>
  <si>
    <t>Food Wholesalers</t>
  </si>
  <si>
    <t>Aerospace/Defense</t>
  </si>
  <si>
    <t>Number of shares outstanding =</t>
  </si>
  <si>
    <t>No</t>
  </si>
  <si>
    <t>Tax Effect of R&amp;D Expensing</t>
  </si>
  <si>
    <t>If yes, choose the type of firm</t>
  </si>
  <si>
    <t>! This is the EBIT reported in the current income statement</t>
  </si>
  <si>
    <t>The output is contained in the valuation model worksheet.</t>
  </si>
  <si>
    <t>Do you want to keep the existing ratio of working capital to revenue?</t>
  </si>
  <si>
    <t>If yes, the working capital as a percent of revenues will be</t>
  </si>
  <si>
    <t>Toiletries/Cosmetics</t>
  </si>
  <si>
    <t>Tire &amp; Rubber</t>
  </si>
  <si>
    <t>Maritime</t>
  </si>
  <si>
    <t>Market Value of Debt =</t>
  </si>
  <si>
    <t>Adjusted Book Value of Equity =</t>
  </si>
  <si>
    <t>Foreign Telecom.</t>
  </si>
  <si>
    <t>Furn./Home Furnishings</t>
  </si>
  <si>
    <t>Do you want me to gradually adjust your high growth inputs in the second half?</t>
  </si>
  <si>
    <t>Reinvestment Rate in Stable Phase =</t>
  </si>
  <si>
    <t>Cumulated Growth</t>
  </si>
  <si>
    <t>Textile</t>
  </si>
  <si>
    <t>Pre-tax cost of debt in stable growth period =</t>
  </si>
  <si>
    <t>If interest coverage ratio is</t>
  </si>
  <si>
    <t>Revisit input cell</t>
  </si>
  <si>
    <t>B54</t>
  </si>
  <si>
    <t>B74</t>
  </si>
  <si>
    <t>B77</t>
  </si>
  <si>
    <t>B75</t>
  </si>
  <si>
    <t>B78</t>
  </si>
  <si>
    <t>B79</t>
  </si>
  <si>
    <t>B82</t>
  </si>
  <si>
    <t>Entertainment</t>
  </si>
  <si>
    <t>Environmental</t>
  </si>
  <si>
    <t>Foreign Electron/Entertn</t>
  </si>
  <si>
    <t>! A positive number indicates an increase in operating income (add to reported EBIT)</t>
  </si>
  <si>
    <t>Bank (Foreign)</t>
  </si>
  <si>
    <t>Bank (Midwest)</t>
  </si>
  <si>
    <t>Cable TV</t>
  </si>
  <si>
    <t>Canadian Energy</t>
  </si>
  <si>
    <t>Cement &amp; Aggregates</t>
  </si>
  <si>
    <t>(volatility)</t>
  </si>
  <si>
    <t>What the model does</t>
  </si>
  <si>
    <t>Working Capital as percent of revenues =</t>
  </si>
  <si>
    <t xml:space="preserve"> (in percent)</t>
  </si>
  <si>
    <t>Do not input any numbers below this line</t>
  </si>
  <si>
    <t>If no, enter the following</t>
  </si>
  <si>
    <t>Yes/No</t>
  </si>
  <si>
    <t>If yes, please input your numbers into R&amp;D converter worksheet</t>
  </si>
  <si>
    <t>If yes, please input your numbers into operating lease worksheet</t>
  </si>
  <si>
    <t>If yes, please input your numbers into Earnings Normalizer worksheet</t>
  </si>
  <si>
    <t>Minority interests</t>
  </si>
  <si>
    <t>Current Price</t>
  </si>
  <si>
    <t>Estimated Value</t>
  </si>
  <si>
    <t>Effective tax rate (for use on operating income)</t>
  </si>
  <si>
    <t>Marginal tax rate (for use on cost of debt)</t>
  </si>
  <si>
    <t>Minority Interests</t>
  </si>
  <si>
    <t>Country</t>
  </si>
  <si>
    <t>ERP</t>
  </si>
  <si>
    <t>Weight</t>
  </si>
  <si>
    <t>Weighted ERP</t>
  </si>
  <si>
    <t>Equity</t>
  </si>
  <si>
    <t>Bolivia</t>
  </si>
  <si>
    <t>Number of Shares outstanding =</t>
  </si>
  <si>
    <t>Ecuador</t>
  </si>
  <si>
    <t>Current Market Price per share =</t>
  </si>
  <si>
    <t>Unlevered beta =</t>
  </si>
  <si>
    <t>Riskfree Rate =</t>
  </si>
  <si>
    <t>Equity Risk Premium =</t>
  </si>
  <si>
    <t>Debt</t>
  </si>
  <si>
    <t>Book Value of Straight Debt =</t>
  </si>
  <si>
    <t>Interest Expense on Debt =</t>
  </si>
  <si>
    <t>Average Maturity =</t>
  </si>
  <si>
    <t>Region</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</si>
  <si>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</si>
  <si>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</si>
  <si>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</si>
  <si>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</si>
  <si>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</si>
  <si>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</si>
  <si>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</si>
  <si>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</si>
  <si>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</si>
  <si>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Business</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</si>
  <si>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</si>
  <si>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</si>
  <si>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</si>
  <si>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</si>
  <si>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</si>
  <si>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</si>
  <si>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</si>
  <si>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</si>
  <si>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Weight in Cost of Capital</t>
  </si>
  <si>
    <t>Cost of Component</t>
  </si>
  <si>
    <t>Company</t>
  </si>
  <si>
    <t>Annual Average Revenue growth - Last 5 years</t>
  </si>
  <si>
    <t>After-tax ROC</t>
  </si>
  <si>
    <t>Average effective tax rate</t>
  </si>
  <si>
    <t>Equity (Levered) Beta</t>
  </si>
  <si>
    <t>Cost of equity</t>
  </si>
  <si>
    <t>Std deviation in stock prices</t>
  </si>
  <si>
    <t>Pre-tax cost of debt</t>
  </si>
  <si>
    <t>Cost of capital</t>
  </si>
  <si>
    <t>EV/EBITDA</t>
  </si>
  <si>
    <t>EV/EBIT</t>
  </si>
  <si>
    <t>Price/Book</t>
  </si>
  <si>
    <t>Trailing PE</t>
  </si>
  <si>
    <t>Adj. Default Spread</t>
  </si>
  <si>
    <t>Country Risk Premium</t>
  </si>
  <si>
    <t>Albania</t>
  </si>
  <si>
    <t>Eastern Europe &amp; Russia</t>
  </si>
  <si>
    <t>Angola</t>
  </si>
  <si>
    <t>Africa</t>
  </si>
  <si>
    <t>Argentina</t>
  </si>
  <si>
    <t>Central and South America</t>
  </si>
  <si>
    <t>Armenia</t>
  </si>
  <si>
    <t>Australia</t>
  </si>
  <si>
    <t>Australia &amp; New Zealand</t>
  </si>
  <si>
    <t>Western Europe</t>
  </si>
  <si>
    <t>Azerbaijan</t>
  </si>
  <si>
    <t>Bahamas</t>
  </si>
  <si>
    <t>Caribbean</t>
  </si>
  <si>
    <t>Bahrain</t>
  </si>
  <si>
    <t>Middle East</t>
  </si>
  <si>
    <t>Bangladesh</t>
  </si>
  <si>
    <t>Barbados</t>
  </si>
  <si>
    <t>Belarus</t>
  </si>
  <si>
    <t>Belize</t>
  </si>
  <si>
    <t>Bermuda</t>
  </si>
  <si>
    <t>Bosnia and Herzegovina</t>
  </si>
  <si>
    <t>Botswana</t>
  </si>
  <si>
    <t>Brazil</t>
  </si>
  <si>
    <t>Bulgaria</t>
  </si>
  <si>
    <t>Cambodia</t>
  </si>
  <si>
    <t>Canada</t>
  </si>
  <si>
    <t>North America</t>
  </si>
  <si>
    <t>Cayman Islands</t>
  </si>
  <si>
    <t>Chile</t>
  </si>
  <si>
    <t>China</t>
  </si>
  <si>
    <t>Colombia</t>
  </si>
  <si>
    <t>Costa Rica</t>
  </si>
  <si>
    <t>Croatia</t>
  </si>
  <si>
    <t>Cuba</t>
  </si>
  <si>
    <t>Czech Republic</t>
  </si>
  <si>
    <t>Denmark</t>
  </si>
  <si>
    <t>Dominican Republic</t>
  </si>
  <si>
    <t>Egypt</t>
  </si>
  <si>
    <t>El Salvador</t>
  </si>
  <si>
    <t>Estonia</t>
  </si>
  <si>
    <t>Georgia</t>
  </si>
  <si>
    <t>Guatemala</t>
  </si>
  <si>
    <t>Honduras</t>
  </si>
  <si>
    <t>Hong Kong</t>
  </si>
  <si>
    <t>Hungary</t>
  </si>
  <si>
    <t>Iceland</t>
  </si>
  <si>
    <t>India</t>
  </si>
  <si>
    <t>Indonesia</t>
  </si>
  <si>
    <t>Isle of Man</t>
  </si>
  <si>
    <t>Israel</t>
  </si>
  <si>
    <t>Jamaica</t>
  </si>
  <si>
    <t>Japan</t>
  </si>
  <si>
    <t>Jordan</t>
  </si>
  <si>
    <t>Kazakhstan</t>
  </si>
  <si>
    <t>Kuwait</t>
  </si>
  <si>
    <t>Latvia</t>
  </si>
  <si>
    <t>Lebanon</t>
  </si>
  <si>
    <t>Lithuania</t>
  </si>
  <si>
    <t>Malaysia</t>
  </si>
  <si>
    <t>Mauritius</t>
  </si>
  <si>
    <t>Mexico</t>
  </si>
  <si>
    <t>Moldova</t>
  </si>
  <si>
    <t>Mongolia</t>
  </si>
  <si>
    <t>Montenegro</t>
  </si>
  <si>
    <t>Morocco</t>
  </si>
  <si>
    <t>Namibia</t>
  </si>
  <si>
    <t>New Zealand</t>
  </si>
  <si>
    <t>Nicaragua</t>
  </si>
  <si>
    <t>Norway</t>
  </si>
  <si>
    <t>Oman</t>
  </si>
  <si>
    <t>Pakistan</t>
  </si>
  <si>
    <t>Panama</t>
  </si>
  <si>
    <t>Papua New Guinea</t>
  </si>
  <si>
    <t>Paraguay</t>
  </si>
  <si>
    <t>Peru</t>
  </si>
  <si>
    <t>Philippines</t>
  </si>
  <si>
    <t>Poland</t>
  </si>
  <si>
    <t>Qatar</t>
  </si>
  <si>
    <t>Romania</t>
  </si>
  <si>
    <t>Russia</t>
  </si>
  <si>
    <t>Saudi Arabia</t>
  </si>
  <si>
    <t>Senegal</t>
  </si>
  <si>
    <t>Singapore</t>
  </si>
  <si>
    <t>Slovakia</t>
  </si>
  <si>
    <t>South Africa</t>
  </si>
  <si>
    <t>Spain</t>
  </si>
  <si>
    <t>Sri Lanka</t>
  </si>
  <si>
    <t>St. Vincent &amp; the Grenadines</t>
  </si>
  <si>
    <t>Suriname</t>
  </si>
  <si>
    <t>Sweden</t>
  </si>
  <si>
    <t>Switzerland</t>
  </si>
  <si>
    <t>Taiwan</t>
  </si>
  <si>
    <t>Thailand</t>
  </si>
  <si>
    <t>Tunisia</t>
  </si>
  <si>
    <t>Turkey</t>
  </si>
  <si>
    <t>Ukraine</t>
  </si>
  <si>
    <t>United Arab Emirates</t>
  </si>
  <si>
    <t>United Kingdom</t>
  </si>
  <si>
    <t>Uruguay</t>
  </si>
  <si>
    <t>Venezuela</t>
  </si>
  <si>
    <t>Vietnam</t>
  </si>
  <si>
    <t>You can use the cost of capital spreadsheet to compute this number</t>
  </si>
  <si>
    <t>Tax rate (for cash flow)</t>
  </si>
  <si>
    <t>Effective Tax rate (for cash flow) =</t>
  </si>
  <si>
    <t>Marginal tax rate (for cost of debt) =</t>
  </si>
  <si>
    <t>Austria</t>
  </si>
  <si>
    <t>Asia</t>
  </si>
  <si>
    <t>Belgium</t>
  </si>
  <si>
    <t>Cyprus</t>
  </si>
  <si>
    <t>Finland</t>
  </si>
  <si>
    <t>France</t>
  </si>
  <si>
    <t>Germany</t>
  </si>
  <si>
    <t>Greece</t>
  </si>
  <si>
    <t>Ireland</t>
  </si>
  <si>
    <t>Italy</t>
  </si>
  <si>
    <t>Kenya</t>
  </si>
  <si>
    <t>Luxembourg</t>
  </si>
  <si>
    <t>Malta</t>
  </si>
  <si>
    <t>Netherlands</t>
  </si>
  <si>
    <t>Nigeria</t>
  </si>
  <si>
    <t>Portugal</t>
  </si>
  <si>
    <t>Slovenia</t>
  </si>
  <si>
    <t>St. Maarten</t>
  </si>
  <si>
    <t>Zambia</t>
  </si>
  <si>
    <t>D2/D</t>
  </si>
  <si>
    <t>C2/C</t>
  </si>
  <si>
    <t>Ca2/CC</t>
  </si>
  <si>
    <t>Caa/CCC</t>
  </si>
  <si>
    <t>B3/B-</t>
  </si>
  <si>
    <t>B2/B</t>
  </si>
  <si>
    <t>B1/B+</t>
  </si>
  <si>
    <t>Ba2/BB</t>
  </si>
  <si>
    <t>Ba1/BB+</t>
  </si>
  <si>
    <t>Baa2/BBB</t>
  </si>
  <si>
    <t>A3/A-</t>
  </si>
  <si>
    <t>A2/A</t>
  </si>
  <si>
    <t>A1/A+</t>
  </si>
  <si>
    <t>Aa2/AA</t>
  </si>
  <si>
    <t>Aaa/AAA</t>
  </si>
  <si>
    <t>Burkina Faso</t>
  </si>
  <si>
    <t>Cameroon</t>
  </si>
  <si>
    <t>Cape Verde</t>
  </si>
  <si>
    <t>Gabon</t>
  </si>
  <si>
    <t>Ghana</t>
  </si>
  <si>
    <t>Mozambique</t>
  </si>
  <si>
    <t>Rwanda</t>
  </si>
  <si>
    <t>Uganda</t>
  </si>
  <si>
    <t>Fiji</t>
  </si>
  <si>
    <t>Cook Islands</t>
  </si>
  <si>
    <t>Aruba</t>
  </si>
  <si>
    <t>Montserrat</t>
  </si>
  <si>
    <t>Macedonia</t>
  </si>
  <si>
    <t>Serbia</t>
  </si>
  <si>
    <t>Abu Dhabi</t>
  </si>
  <si>
    <t>Liechtenstein</t>
  </si>
  <si>
    <t>Global</t>
  </si>
  <si>
    <t>Enter the name of the company that you are valuing</t>
  </si>
  <si>
    <t>Date of valuation</t>
  </si>
  <si>
    <t>Trailing 12 month</t>
  </si>
  <si>
    <t>Equity Risk Premium in stable growth =</t>
  </si>
  <si>
    <t>Andorra (Principality of)</t>
  </si>
  <si>
    <t>Congo (Democratic Republic of)</t>
  </si>
  <si>
    <t>Congo (Republic of)</t>
  </si>
  <si>
    <t>Ethiopia</t>
  </si>
  <si>
    <t>Ras Al Khaimah (Emirate of)</t>
  </si>
  <si>
    <t>Sharjah</t>
  </si>
  <si>
    <t>Non-cash WC as % of Revenues</t>
  </si>
  <si>
    <t>Cap Ex as % of Revenues</t>
  </si>
  <si>
    <t>Net Cap Ex as % of Revenues</t>
  </si>
  <si>
    <t>ROE</t>
  </si>
  <si>
    <t>Dividend Payout Ratio</t>
  </si>
  <si>
    <t>Equity Reinvestment Rate</t>
  </si>
  <si>
    <t>Last 10K</t>
  </si>
  <si>
    <t>First X months: Last year</t>
  </si>
  <si>
    <t>First X months: Current year</t>
  </si>
  <si>
    <t>R&amp;D expense</t>
  </si>
  <si>
    <t>Operating income or EBIT</t>
  </si>
  <si>
    <t>Interest expenses</t>
  </si>
  <si>
    <t>Book value of equity</t>
  </si>
  <si>
    <t>Book value of debt</t>
  </si>
  <si>
    <t>Do you have operating lease commitments?</t>
  </si>
  <si>
    <t>Cash and cross holdings</t>
  </si>
  <si>
    <t xml:space="preserve">Non-operating assets </t>
  </si>
  <si>
    <t>Current stock price =</t>
  </si>
  <si>
    <t>Effective tax rate =</t>
  </si>
  <si>
    <t>Marginal tax rate =</t>
  </si>
  <si>
    <t>Lease commitments</t>
  </si>
  <si>
    <t>Year 1</t>
  </si>
  <si>
    <t>Year 2</t>
  </si>
  <si>
    <t>Year 3</t>
  </si>
  <si>
    <t>Year 4</t>
  </si>
  <si>
    <t>Year 5</t>
  </si>
  <si>
    <t>Beyond year 5</t>
  </si>
  <si>
    <t>Corporate Tax Rate</t>
  </si>
  <si>
    <t>Iraq</t>
  </si>
  <si>
    <t>Kyrgyzstan</t>
  </si>
  <si>
    <t>United States</t>
  </si>
  <si>
    <t>Value of equity per share =</t>
  </si>
  <si>
    <t>Stock price =</t>
  </si>
  <si>
    <t>% Under or Over valued =</t>
  </si>
  <si>
    <t>Story to Numbers</t>
  </si>
  <si>
    <t>High growth period</t>
  </si>
  <si>
    <t>Growth rate</t>
  </si>
  <si>
    <t>ROC - Cost of capital</t>
  </si>
  <si>
    <t>High growth</t>
  </si>
  <si>
    <t>Stable growth</t>
  </si>
  <si>
    <t>Return on capital</t>
  </si>
  <si>
    <t>Company Name:</t>
  </si>
  <si>
    <t>The Story</t>
  </si>
  <si>
    <t>Caramba</t>
  </si>
  <si>
    <t>Valuation Output</t>
  </si>
  <si>
    <t>PV of cash flows in high growth =</t>
  </si>
  <si>
    <t>Terminal Value =</t>
  </si>
  <si>
    <t>PV of Terminal Value =</t>
  </si>
  <si>
    <t>Value of the operating assets =</t>
  </si>
  <si>
    <t xml:space="preserve"> + Cash  &amp; Cross holdings</t>
  </si>
  <si>
    <t>Value of equity =</t>
  </si>
  <si>
    <t xml:space="preserve"> - Value of employee options</t>
  </si>
  <si>
    <t>Value of equity in common stock =</t>
  </si>
  <si>
    <t>Stock Price per share =</t>
  </si>
  <si>
    <t>% Under or Over Valued =</t>
  </si>
  <si>
    <t xml:space="preserve"> - Debt &amp; Minority Interests (if any)</t>
  </si>
  <si>
    <t>Value of assets in place =</t>
  </si>
  <si>
    <t>Value created/destroyed by growth =</t>
  </si>
  <si>
    <t>$ Value</t>
  </si>
  <si>
    <t>% Value</t>
  </si>
  <si>
    <t>New Investment growth</t>
  </si>
  <si>
    <t xml:space="preserve">Effiiciency growth </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</si>
  <si>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</si>
  <si>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</si>
  <si>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</si>
  <si>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</si>
  <si>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</si>
  <si>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</si>
  <si>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</si>
  <si>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</si>
  <si>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</si>
  <si>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</si>
  <si>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</si>
  <si>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</si>
  <si>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</si>
  <si>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</si>
  <si>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</si>
  <si>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</si>
  <si>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</si>
  <si>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</si>
  <si>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</si>
  <si>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</si>
  <si>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</si>
  <si>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</si>
  <si>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</si>
  <si>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</si>
  <si>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</si>
  <si>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</si>
  <si>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</si>
  <si>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</si>
  <si>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</si>
  <si>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</si>
  <si>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</si>
  <si>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</si>
  <si>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</si>
  <si>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</si>
  <si>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</si>
  <si>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</si>
  <si>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</si>
  <si>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</si>
  <si>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</si>
  <si>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</si>
  <si>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</si>
  <si>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</si>
  <si>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</si>
  <si>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</si>
  <si>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</si>
  <si>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</si>
  <si>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</si>
  <si>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Please read the special cases worksheet (see below) before you use this spreadsheet.</t>
  </si>
  <si>
    <t>Before you use this spreadsheet, make sure that the iteration box (under calculation options in excel) is checked.</t>
  </si>
  <si>
    <t>Enter long term risk free rate  =</t>
  </si>
  <si>
    <t>Note: If you get REF! All over the place, set the operating lease commitment question in cell F5</t>
  </si>
  <si>
    <t>Estimated Company Default Spread =</t>
  </si>
  <si>
    <t>to No, and then reset it to Yes. It should work.</t>
  </si>
  <si>
    <t>Estimated County Default Spread (if any) =</t>
  </si>
  <si>
    <t xml:space="preserve"> If you want to update the spreads listed below, please visit http://www.bondsonline.com</t>
    <phoneticPr fontId="8"/>
  </si>
  <si>
    <t>Mature Market ERP +</t>
  </si>
  <si>
    <t>Macao</t>
  </si>
  <si>
    <t>Trinidad and Tobago</t>
  </si>
  <si>
    <t>Turks and Caicos Islands</t>
  </si>
  <si>
    <t>C</t>
  </si>
  <si>
    <t>Pre-tax Operating Margin (Unadjusted)</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</si>
  <si>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</si>
  <si>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Operating Countries ERP calculator</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</si>
  <si>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</si>
  <si>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Single Business(US)</t>
  </si>
  <si>
    <t>Operating countries</t>
  </si>
  <si>
    <t>Operating Regions ERP calculator</t>
  </si>
  <si>
    <t>Synthetic rating</t>
  </si>
  <si>
    <t>Multi Business (US Industry Averages)</t>
  </si>
  <si>
    <t>Multi Business (Global Industry Averages)</t>
  </si>
  <si>
    <t>Operating Country</t>
  </si>
  <si>
    <t>Operating Regions</t>
  </si>
  <si>
    <t>Book or Market Value</t>
  </si>
  <si>
    <t>ERP choices</t>
  </si>
  <si>
    <t>Cost of debt</t>
  </si>
  <si>
    <t>Beta</t>
  </si>
  <si>
    <t>B</t>
  </si>
  <si>
    <t>Will input</t>
  </si>
  <si>
    <t>Direct input</t>
  </si>
  <si>
    <t>V</t>
  </si>
  <si>
    <t>Country of incorporation</t>
  </si>
  <si>
    <t>Actual rating</t>
  </si>
  <si>
    <t>Single Business(Global)</t>
  </si>
  <si>
    <t>Operating regions</t>
  </si>
  <si>
    <t>Multibusiness(US)</t>
  </si>
  <si>
    <t>Multibusiness(Global)</t>
  </si>
  <si>
    <t>The last two rows in each of country/regiion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</si>
  <si>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Pre-tax Operating Margin (Lease &amp; R&amp;D adjusted)</t>
  </si>
  <si>
    <t>Laos</t>
  </si>
  <si>
    <t>Ca</t>
  </si>
  <si>
    <t>Caa3</t>
  </si>
  <si>
    <t>Current Operating Income =</t>
  </si>
  <si>
    <t>Côte d'Ivoire</t>
  </si>
  <si>
    <t>Curacao</t>
  </si>
  <si>
    <t>Guernsey (States of)</t>
  </si>
  <si>
    <t>Jersey (States of)</t>
  </si>
  <si>
    <t>Korea</t>
  </si>
  <si>
    <t>Maldives</t>
  </si>
  <si>
    <t>Uzbekistan</t>
  </si>
  <si>
    <t>Yemen, Republic</t>
  </si>
  <si>
    <t>Weighted Average: ERP</t>
  </si>
  <si>
    <t>Changing this number will update all your country equity risk premiums.</t>
  </si>
  <si>
    <t>Updated January 1, 2023</t>
  </si>
  <si>
    <t>NR</t>
  </si>
  <si>
    <t>Weighted Average: Default Spreads</t>
  </si>
  <si>
    <t>Tax Rate</t>
  </si>
  <si>
    <t>Weighted Average: CRP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</si>
</sst>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0.0%"/>
    <numFmt numFmtId="165" formatCode="0.0000"/>
    <numFmt numFmtId="166" formatCode="&quot;$&quot;#,##0.00"/>
    <numFmt numFmtId="167" formatCode="#,##0.0000"/>
    <numFmt numFmtId="168" formatCode="0.0000%"/>
    <numFmt numFmtId="169" formatCode="_([$$-409]* #,##0.00_);_([$$-409]* \(#,##0.00\);_([$$-409]* &quot;-&quot;??_);_(@_)"/>
  </numFmts>
  <fonts count="55">
    <font>
      <sz val="10"/>
      <name val="Geneva"/>
    </font>
    <font>
      <sz val="12"/>
      <color theme="1"/>
      <name val="Calibri"/>
      <family val="2"/>
      <scheme val="minor"/>
    </font>
    <font>
      <b/>
      <sz val="10"/>
      <name val="Geneva"/>
      <family val="2"/>
    </font>
    <font>
      <i/>
      <sz val="10"/>
      <name val="Geneva"/>
      <family val="2"/>
    </font>
    <font>
      <sz val="10"/>
      <name val="Geneva"/>
      <family val="2"/>
    </font>
    <font>
      <sz val="12"/>
      <name val="Times"/>
      <family val="1"/>
    </font>
    <font>
      <sz val="10"/>
      <name val="Times"/>
      <family val="1"/>
    </font>
    <font>
      <b/>
      <i/>
      <sz val="10"/>
      <name val="Times"/>
      <family val="1"/>
    </font>
    <font>
      <b/>
      <sz val="10"/>
      <name val="Times"/>
      <family val="1"/>
    </font>
    <font>
      <i/>
      <sz val="10"/>
      <name val="Times"/>
      <family val="1"/>
    </font>
    <font>
      <sz val="9"/>
      <color indexed="81"/>
      <name val="Geneva"/>
      <family val="2"/>
    </font>
    <font>
      <b/>
      <sz val="9"/>
      <color indexed="81"/>
      <name val="Geneva"/>
      <family val="2"/>
    </font>
    <font>
      <b/>
      <sz val="14"/>
      <name val="Times"/>
      <family val="1"/>
    </font>
    <font>
      <b/>
      <i/>
      <sz val="9"/>
      <name val="Geneva"/>
      <family val="2"/>
    </font>
    <font>
      <sz val="9"/>
      <name val="Times"/>
      <family val="1"/>
    </font>
    <font>
      <b/>
      <sz val="9"/>
      <name val="Times"/>
      <family val="1"/>
    </font>
    <font>
      <b/>
      <sz val="12"/>
      <name val="Times"/>
      <family val="1"/>
    </font>
    <font>
      <b/>
      <sz val="14"/>
      <name val="Geneva"/>
      <family val="2"/>
    </font>
    <font>
      <sz val="14"/>
      <name val="Geneva"/>
      <family val="2"/>
    </font>
    <font>
      <sz val="10"/>
      <color indexed="10"/>
      <name val="Times"/>
      <family val="1"/>
    </font>
    <font>
      <sz val="10"/>
      <color indexed="10"/>
      <name val="Geneva"/>
      <family val="2"/>
    </font>
    <font>
      <b/>
      <sz val="14"/>
      <color indexed="10"/>
      <name val="Times"/>
      <family val="1"/>
    </font>
    <font>
      <sz val="8"/>
      <name val="Geneva"/>
      <family val="2"/>
    </font>
    <font>
      <u/>
      <sz val="10"/>
      <color indexed="12"/>
      <name val="Geneva"/>
      <family val="2"/>
    </font>
    <font>
      <i/>
      <sz val="9"/>
      <name val="Geneva"/>
      <family val="2"/>
    </font>
    <font>
      <sz val="8"/>
      <name val="Verdana"/>
      <family val="2"/>
    </font>
    <font>
      <sz val="9"/>
      <name val="Geneva"/>
      <family val="2"/>
    </font>
    <font>
      <b/>
      <i/>
      <sz val="14"/>
      <name val="Times"/>
      <family val="1"/>
    </font>
    <font>
      <b/>
      <i/>
      <sz val="12"/>
      <name val="Times"/>
      <family val="1"/>
    </font>
    <font>
      <sz val="10"/>
      <name val="Helv"/>
    </font>
    <font>
      <i/>
      <sz val="10"/>
      <name val="Helv"/>
    </font>
    <font>
      <sz val="8"/>
      <name val="Arial"/>
      <family val="2"/>
    </font>
    <font>
      <sz val="10"/>
      <color rgb="FFFF0000"/>
      <name val="Times"/>
      <family val="1"/>
    </font>
    <font>
      <sz val="10"/>
      <name val="Calibri"/>
      <family val="2"/>
      <scheme val="minor"/>
    </font>
    <font>
      <sz val="10"/>
      <color rgb="FFFF0000"/>
      <name val="Geneva"/>
      <family val="2"/>
    </font>
    <font>
      <i/>
      <sz val="12"/>
      <name val="Geneva"/>
      <family val="2"/>
    </font>
    <font>
      <i/>
      <sz val="12"/>
      <name val="Times"/>
      <family val="1"/>
    </font>
    <font>
      <sz val="12"/>
      <name val="Calibri"/>
      <family val="2"/>
      <scheme val="minor"/>
    </font>
    <font>
      <b/>
      <sz val="10"/>
      <color rgb="FF000000"/>
      <name val="Tahoma"/>
      <family val="2"/>
    </font>
    <font>
      <sz val="10"/>
      <color rgb="FF000000"/>
      <name val="Tahoma"/>
      <family val="2"/>
    </font>
    <font>
      <b/>
      <sz val="9"/>
      <color rgb="FF000000"/>
      <name val="Geneva"/>
      <family val="2"/>
    </font>
    <font>
      <sz val="9"/>
      <color rgb="FF000000"/>
      <name val="Geneva"/>
      <family val="2"/>
    </font>
    <font>
      <b/>
      <sz val="9"/>
      <name val="Geneva"/>
      <family val="2"/>
    </font>
    <font>
      <sz val="10"/>
      <name val="Cambria"/>
      <family val="1"/>
      <scheme val="major"/>
    </font>
    <font>
      <sz val="10"/>
      <name val="Arial"/>
      <family val="2"/>
    </font>
    <font>
      <b/>
      <i/>
      <sz val="12"/>
      <color indexed="10"/>
      <name val="Calibri"/>
      <family val="2"/>
      <scheme val="minor"/>
    </font>
    <font>
      <sz val="12"/>
      <color indexed="10"/>
      <name val="Calibri"/>
      <family val="2"/>
      <scheme val="minor"/>
    </font>
    <font>
      <b/>
      <sz val="12"/>
      <name val="Calibri"/>
      <family val="2"/>
      <scheme val="minor"/>
    </font>
    <font>
      <b/>
      <i/>
      <sz val="12"/>
      <name val="Calibri"/>
      <family val="2"/>
      <scheme val="minor"/>
    </font>
    <font>
      <i/>
      <sz val="12"/>
      <name val="Calibri"/>
      <family val="2"/>
      <scheme val="minor"/>
    </font>
    <font>
      <b/>
      <sz val="12"/>
      <color indexed="10"/>
      <name val="Calibri"/>
      <family val="2"/>
      <scheme val="minor"/>
    </font>
    <font>
      <b/>
      <sz val="9"/>
      <color rgb="FF000000"/>
      <name val="Geneva"/>
      <family val="2"/>
      <charset val="1"/>
    </font>
    <font>
      <sz val="9"/>
      <color rgb="FF000000"/>
      <name val="Geneva"/>
      <family val="2"/>
      <charset val="1"/>
    </font>
    <font>
      <i/>
      <sz val="10"/>
      <name val="Geneva"/>
      <family val="2"/>
      <charset val="1"/>
    </font>
    <font>
      <i/>
      <sz val="9"/>
      <name val="Geneva"/>
      <family val="2"/>
      <charset val="1"/>
    </font>
  </fonts>
  <fills count="9">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theme="2"/>
        <bgColor indexed="64"/>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s>
  <cellStyleXfs count="5">
    <xf numFmtId="0" fontId="0" fillId="0" borderId="0"/>
    <xf numFmtId="4" fontId="4" fillId="0" borderId="0" applyFont="0" applyFill="0" applyBorder="0" applyAlignment="0" applyProtection="0"/>
    <xf numFmtId="8" fontId="4" fillId="0" borderId="0" applyFont="0" applyFill="0" applyBorder="0" applyAlignment="0" applyProtection="0"/>
    <xf numFmtId="0" fontId="23" fillId="0" borderId="0" applyNumberFormat="0" applyFill="0" applyBorder="0" applyAlignment="0" applyProtection="0">
      <alignment vertical="top"/>
      <protection locked="0"/>
    </xf>
    <xf numFmtId="9" fontId="4" fillId="0" borderId="0" applyFont="0" applyFill="0" applyBorder="0" applyAlignment="0" applyProtection="0"/>
  </cellStyleXfs>
  <cellXfs count="259">
    <xf numFmtId="0" fontId="0" fillId="0" borderId="0" xfId="0"/>
    <xf numFmtId="0" fontId="6" fillId="0" borderId="0" xfId="0" applyFont="1"/>
    <xf numFmtId="0" fontId="7" fillId="0" borderId="0" xfId="0" applyFont="1"/>
    <xf numFmtId="0" fontId="8" fillId="0" borderId="0" xfId="0" applyFont="1"/>
    <xf numFmtId="0" fontId="9" fillId="0" borderId="0" xfId="0" applyFont="1"/>
    <xf numFmtId="0" fontId="6" fillId="0" borderId="0" xfId="0" applyFont="1" applyAlignment="1">
      <alignment horizontal="center"/>
    </xf>
    <xf numFmtId="8" fontId="6" fillId="0" borderId="0" xfId="2" applyFont="1" applyBorder="1" applyAlignment="1">
      <alignment horizontal="center"/>
    </xf>
    <xf numFmtId="0" fontId="6" fillId="0" borderId="1" xfId="0" applyFont="1" applyBorder="1"/>
    <xf numFmtId="0" fontId="6" fillId="0" borderId="1"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applyAlignment="1">
      <alignment horizontal="left"/>
    </xf>
    <xf numFmtId="0" fontId="12" fillId="0" borderId="0" xfId="0" applyFont="1" applyAlignment="1">
      <alignment horizontal="centerContinuous"/>
    </xf>
    <xf numFmtId="2" fontId="6" fillId="0" borderId="0" xfId="0" applyNumberFormat="1" applyFont="1"/>
    <xf numFmtId="0" fontId="12" fillId="0" borderId="0" xfId="0" applyFont="1"/>
    <xf numFmtId="0" fontId="6" fillId="0" borderId="2" xfId="0" applyFont="1" applyBorder="1"/>
    <xf numFmtId="0" fontId="4" fillId="0" borderId="0" xfId="0" applyFont="1"/>
    <xf numFmtId="0" fontId="9" fillId="0" borderId="1" xfId="0" applyFont="1" applyBorder="1" applyAlignment="1">
      <alignment horizontal="centerContinuous"/>
    </xf>
    <xf numFmtId="8" fontId="6" fillId="0" borderId="2" xfId="0" applyNumberFormat="1" applyFont="1" applyBorder="1"/>
    <xf numFmtId="10" fontId="6" fillId="0" borderId="1" xfId="4" applyNumberFormat="1" applyFont="1" applyBorder="1"/>
    <xf numFmtId="10" fontId="6" fillId="0" borderId="1" xfId="0" applyNumberFormat="1" applyFont="1" applyBorder="1"/>
    <xf numFmtId="8" fontId="6" fillId="0" borderId="0" xfId="2" applyFont="1" applyBorder="1"/>
    <xf numFmtId="0" fontId="6" fillId="0" borderId="4" xfId="0" applyFont="1" applyBorder="1"/>
    <xf numFmtId="0" fontId="13" fillId="0" borderId="0" xfId="0" applyFont="1"/>
    <xf numFmtId="166" fontId="6" fillId="0" borderId="2" xfId="0" applyNumberFormat="1" applyFont="1" applyBorder="1"/>
    <xf numFmtId="2" fontId="14" fillId="0" borderId="1" xfId="0" applyNumberFormat="1" applyFont="1" applyBorder="1" applyAlignment="1">
      <alignment horizontal="center"/>
    </xf>
    <xf numFmtId="2" fontId="14" fillId="0" borderId="0" xfId="0" applyNumberFormat="1" applyFont="1"/>
    <xf numFmtId="1" fontId="14" fillId="0" borderId="1" xfId="0" applyNumberFormat="1" applyFont="1" applyBorder="1" applyAlignment="1">
      <alignment horizontal="center"/>
    </xf>
    <xf numFmtId="2" fontId="15" fillId="0" borderId="0" xfId="0" applyNumberFormat="1" applyFont="1"/>
    <xf numFmtId="2" fontId="14" fillId="0" borderId="5" xfId="0" applyNumberFormat="1" applyFont="1" applyBorder="1" applyAlignment="1">
      <alignment horizontal="centerContinuous"/>
    </xf>
    <xf numFmtId="2" fontId="14" fillId="0" borderId="6" xfId="0" applyNumberFormat="1" applyFont="1" applyBorder="1" applyAlignment="1">
      <alignment horizontal="centerContinuous"/>
    </xf>
    <xf numFmtId="2" fontId="14" fillId="0" borderId="4" xfId="0" applyNumberFormat="1" applyFont="1" applyBorder="1" applyAlignment="1">
      <alignment horizontal="center"/>
    </xf>
    <xf numFmtId="0" fontId="16" fillId="0" borderId="0" xfId="0" applyFont="1"/>
    <xf numFmtId="0" fontId="12" fillId="0" borderId="0" xfId="0" applyFont="1" applyAlignment="1">
      <alignment horizontal="center"/>
    </xf>
    <xf numFmtId="0" fontId="0" fillId="0" borderId="0" xfId="0" applyAlignment="1">
      <alignment horizontal="center"/>
    </xf>
    <xf numFmtId="0" fontId="17" fillId="0" borderId="0" xfId="0" applyFont="1"/>
    <xf numFmtId="0" fontId="3" fillId="0" borderId="0" xfId="0" applyFont="1"/>
    <xf numFmtId="0" fontId="8" fillId="0" borderId="1" xfId="0" applyFont="1" applyBorder="1"/>
    <xf numFmtId="10" fontId="8" fillId="0" borderId="0" xfId="0" applyNumberFormat="1" applyFont="1"/>
    <xf numFmtId="3" fontId="6" fillId="0" borderId="1" xfId="0" applyNumberFormat="1" applyFont="1" applyBorder="1"/>
    <xf numFmtId="10" fontId="8" fillId="0" borderId="1" xfId="0" applyNumberFormat="1" applyFont="1" applyBorder="1"/>
    <xf numFmtId="167" fontId="8" fillId="0" borderId="1" xfId="1" applyNumberFormat="1" applyFont="1" applyBorder="1"/>
    <xf numFmtId="166" fontId="6" fillId="0" borderId="7" xfId="0" applyNumberFormat="1" applyFont="1" applyBorder="1"/>
    <xf numFmtId="6" fontId="6" fillId="0" borderId="1" xfId="2" applyNumberFormat="1" applyFont="1" applyBorder="1"/>
    <xf numFmtId="8" fontId="6" fillId="0" borderId="0" xfId="0" applyNumberFormat="1" applyFont="1"/>
    <xf numFmtId="8" fontId="6" fillId="0" borderId="0" xfId="2" applyFont="1"/>
    <xf numFmtId="10" fontId="6" fillId="2" borderId="2" xfId="0" applyNumberFormat="1" applyFont="1" applyFill="1" applyBorder="1" applyAlignment="1">
      <alignment horizontal="center"/>
    </xf>
    <xf numFmtId="8" fontId="6" fillId="2" borderId="1" xfId="2" applyFont="1" applyFill="1" applyBorder="1"/>
    <xf numFmtId="0" fontId="6" fillId="2" borderId="1" xfId="0" applyFont="1" applyFill="1" applyBorder="1" applyAlignment="1">
      <alignment horizontal="center"/>
    </xf>
    <xf numFmtId="44" fontId="6" fillId="2" borderId="1" xfId="0" applyNumberFormat="1" applyFont="1" applyFill="1" applyBorder="1"/>
    <xf numFmtId="44" fontId="6" fillId="2" borderId="4" xfId="0" applyNumberFormat="1" applyFont="1" applyFill="1" applyBorder="1"/>
    <xf numFmtId="8" fontId="6" fillId="2" borderId="4" xfId="2" applyFont="1" applyFill="1" applyBorder="1"/>
    <xf numFmtId="0" fontId="6" fillId="2" borderId="2" xfId="0" applyFont="1" applyFill="1" applyBorder="1"/>
    <xf numFmtId="44" fontId="6" fillId="2" borderId="2" xfId="0" applyNumberFormat="1" applyFont="1" applyFill="1" applyBorder="1"/>
    <xf numFmtId="8" fontId="6" fillId="2" borderId="3" xfId="0" applyNumberFormat="1" applyFont="1" applyFill="1" applyBorder="1"/>
    <xf numFmtId="44" fontId="6" fillId="2" borderId="3" xfId="0" applyNumberFormat="1" applyFont="1" applyFill="1" applyBorder="1"/>
    <xf numFmtId="8" fontId="6" fillId="3" borderId="1" xfId="2" applyFont="1" applyFill="1" applyBorder="1" applyAlignment="1">
      <alignment horizontal="center"/>
    </xf>
    <xf numFmtId="10" fontId="6" fillId="3" borderId="1" xfId="2" applyNumberFormat="1" applyFont="1" applyFill="1" applyBorder="1" applyAlignment="1">
      <alignment horizontal="center"/>
    </xf>
    <xf numFmtId="0" fontId="6" fillId="3" borderId="1" xfId="0" applyFont="1" applyFill="1" applyBorder="1"/>
    <xf numFmtId="0" fontId="6" fillId="3" borderId="1" xfId="0" applyFont="1" applyFill="1" applyBorder="1" applyAlignment="1">
      <alignment horizontal="center"/>
    </xf>
    <xf numFmtId="4" fontId="6" fillId="3" borderId="1" xfId="1" applyFont="1" applyFill="1" applyBorder="1" applyAlignment="1">
      <alignment horizontal="center"/>
    </xf>
    <xf numFmtId="10" fontId="6" fillId="3" borderId="1" xfId="0" applyNumberFormat="1" applyFont="1" applyFill="1" applyBorder="1" applyAlignment="1">
      <alignment horizontal="center"/>
    </xf>
    <xf numFmtId="8" fontId="6" fillId="0" borderId="0" xfId="2" applyFont="1" applyFill="1" applyBorder="1" applyAlignment="1">
      <alignment horizontal="center"/>
    </xf>
    <xf numFmtId="9" fontId="6" fillId="3" borderId="1" xfId="0" applyNumberFormat="1" applyFont="1" applyFill="1" applyBorder="1" applyAlignment="1">
      <alignment horizontal="center"/>
    </xf>
    <xf numFmtId="8" fontId="6" fillId="3" borderId="1" xfId="2" applyFont="1" applyFill="1" applyBorder="1"/>
    <xf numFmtId="2" fontId="14" fillId="3" borderId="1" xfId="0" applyNumberFormat="1" applyFont="1" applyFill="1" applyBorder="1" applyAlignment="1">
      <alignment horizontal="center"/>
    </xf>
    <xf numFmtId="44" fontId="6" fillId="3" borderId="1" xfId="2" applyNumberFormat="1" applyFont="1" applyFill="1" applyBorder="1"/>
    <xf numFmtId="2" fontId="6" fillId="3" borderId="1" xfId="0" applyNumberFormat="1" applyFont="1" applyFill="1" applyBorder="1" applyAlignment="1">
      <alignment horizontal="center"/>
    </xf>
    <xf numFmtId="0" fontId="6" fillId="3" borderId="4" xfId="0" applyFont="1" applyFill="1" applyBorder="1" applyAlignment="1">
      <alignment horizontal="center"/>
    </xf>
    <xf numFmtId="8" fontId="8" fillId="0" borderId="0" xfId="2" applyFont="1" applyFill="1" applyBorder="1" applyAlignment="1">
      <alignment horizontal="center"/>
    </xf>
    <xf numFmtId="8" fontId="9" fillId="0" borderId="0" xfId="2" applyFont="1" applyFill="1" applyBorder="1" applyAlignment="1">
      <alignment horizontal="center"/>
    </xf>
    <xf numFmtId="8" fontId="6" fillId="2" borderId="1" xfId="0" applyNumberFormat="1" applyFont="1" applyFill="1" applyBorder="1"/>
    <xf numFmtId="10" fontId="6" fillId="2" borderId="1" xfId="4" applyNumberFormat="1" applyFont="1" applyFill="1" applyBorder="1" applyAlignment="1">
      <alignment horizontal="center"/>
    </xf>
    <xf numFmtId="10" fontId="6" fillId="3" borderId="1" xfId="4" applyNumberFormat="1" applyFont="1" applyFill="1" applyBorder="1" applyAlignment="1">
      <alignment horizontal="center"/>
    </xf>
    <xf numFmtId="10" fontId="6" fillId="3" borderId="1" xfId="4" applyNumberFormat="1" applyFont="1" applyFill="1" applyBorder="1"/>
    <xf numFmtId="0" fontId="18" fillId="0" borderId="0" xfId="0" applyFont="1"/>
    <xf numFmtId="0" fontId="6" fillId="2" borderId="1" xfId="0" applyFont="1" applyFill="1" applyBorder="1"/>
    <xf numFmtId="10" fontId="6" fillId="2" borderId="1" xfId="4" applyNumberFormat="1" applyFont="1" applyFill="1" applyBorder="1"/>
    <xf numFmtId="10" fontId="6" fillId="2" borderId="1" xfId="0" applyNumberFormat="1" applyFont="1" applyFill="1" applyBorder="1"/>
    <xf numFmtId="2" fontId="6" fillId="2" borderId="1" xfId="0" applyNumberFormat="1" applyFont="1" applyFill="1" applyBorder="1"/>
    <xf numFmtId="4" fontId="6" fillId="2" borderId="1" xfId="0" applyNumberFormat="1" applyFont="1" applyFill="1" applyBorder="1"/>
    <xf numFmtId="10" fontId="6" fillId="0" borderId="0" xfId="0" applyNumberFormat="1" applyFont="1" applyAlignment="1">
      <alignment horizontal="center"/>
    </xf>
    <xf numFmtId="0" fontId="19" fillId="0" borderId="0" xfId="0" applyFont="1"/>
    <xf numFmtId="8" fontId="6" fillId="0" borderId="2" xfId="2" applyFont="1" applyBorder="1"/>
    <xf numFmtId="0" fontId="20" fillId="0" borderId="0" xfId="0" applyFont="1"/>
    <xf numFmtId="8" fontId="14" fillId="0" borderId="1" xfId="2" applyFont="1" applyBorder="1"/>
    <xf numFmtId="8" fontId="14" fillId="0" borderId="4" xfId="2" applyFont="1" applyBorder="1"/>
    <xf numFmtId="9" fontId="6" fillId="3" borderId="1" xfId="4" applyFont="1" applyFill="1" applyBorder="1" applyAlignment="1">
      <alignment horizontal="center"/>
    </xf>
    <xf numFmtId="0" fontId="23" fillId="0" borderId="0" xfId="3" applyAlignment="1" applyProtection="1"/>
    <xf numFmtId="10" fontId="6" fillId="3" borderId="1" xfId="0" applyNumberFormat="1" applyFont="1" applyFill="1" applyBorder="1" applyAlignment="1">
      <alignment horizontal="right"/>
    </xf>
    <xf numFmtId="0" fontId="32" fillId="0" borderId="0" xfId="0" applyFont="1"/>
    <xf numFmtId="166" fontId="6" fillId="3" borderId="1" xfId="0" applyNumberFormat="1" applyFont="1" applyFill="1" applyBorder="1"/>
    <xf numFmtId="0" fontId="6" fillId="4" borderId="1" xfId="0" applyFont="1" applyFill="1" applyBorder="1"/>
    <xf numFmtId="166" fontId="6" fillId="4" borderId="1" xfId="0" applyNumberFormat="1" applyFont="1" applyFill="1" applyBorder="1"/>
    <xf numFmtId="0" fontId="6" fillId="5" borderId="0" xfId="0" applyFont="1" applyFill="1" applyAlignment="1">
      <alignment horizontal="center"/>
    </xf>
    <xf numFmtId="0" fontId="27" fillId="0" borderId="0" xfId="0" applyFont="1"/>
    <xf numFmtId="0" fontId="28" fillId="0" borderId="0" xfId="0" applyFont="1"/>
    <xf numFmtId="0" fontId="7" fillId="0" borderId="1" xfId="0" applyFont="1" applyBorder="1"/>
    <xf numFmtId="10" fontId="6" fillId="6" borderId="1" xfId="4" applyNumberFormat="1" applyFont="1" applyFill="1" applyBorder="1"/>
    <xf numFmtId="2" fontId="6" fillId="6" borderId="1" xfId="0" applyNumberFormat="1" applyFont="1" applyFill="1" applyBorder="1"/>
    <xf numFmtId="44" fontId="6" fillId="6" borderId="1" xfId="0" applyNumberFormat="1" applyFont="1" applyFill="1" applyBorder="1"/>
    <xf numFmtId="0" fontId="6" fillId="6" borderId="1" xfId="0" applyFont="1" applyFill="1" applyBorder="1"/>
    <xf numFmtId="2" fontId="6" fillId="3" borderId="1" xfId="0" applyNumberFormat="1" applyFont="1" applyFill="1" applyBorder="1"/>
    <xf numFmtId="10" fontId="6" fillId="6" borderId="1" xfId="0" applyNumberFormat="1" applyFont="1" applyFill="1" applyBorder="1"/>
    <xf numFmtId="168" fontId="6" fillId="6" borderId="1" xfId="4" applyNumberFormat="1" applyFont="1" applyFill="1" applyBorder="1"/>
    <xf numFmtId="168" fontId="6" fillId="6" borderId="1" xfId="0" applyNumberFormat="1" applyFont="1" applyFill="1" applyBorder="1"/>
    <xf numFmtId="169" fontId="6" fillId="4" borderId="1" xfId="2" applyNumberFormat="1" applyFont="1" applyFill="1" applyBorder="1"/>
    <xf numFmtId="165" fontId="6" fillId="6" borderId="1" xfId="0" applyNumberFormat="1" applyFont="1" applyFill="1" applyBorder="1"/>
    <xf numFmtId="169" fontId="6" fillId="6" borderId="1" xfId="0" applyNumberFormat="1" applyFont="1" applyFill="1" applyBorder="1"/>
    <xf numFmtId="8" fontId="6" fillId="6" borderId="1" xfId="2" applyFont="1" applyFill="1" applyBorder="1"/>
    <xf numFmtId="2" fontId="6" fillId="6" borderId="1" xfId="2" applyNumberFormat="1" applyFont="1" applyFill="1" applyBorder="1"/>
    <xf numFmtId="0" fontId="9" fillId="0" borderId="1" xfId="0" applyFont="1" applyBorder="1" applyAlignment="1">
      <alignment horizontal="center"/>
    </xf>
    <xf numFmtId="10" fontId="6" fillId="6" borderId="4" xfId="0" applyNumberFormat="1" applyFont="1" applyFill="1" applyBorder="1"/>
    <xf numFmtId="10" fontId="6" fillId="6" borderId="5" xfId="4" applyNumberFormat="1" applyFont="1" applyFill="1" applyBorder="1"/>
    <xf numFmtId="10" fontId="6" fillId="6" borderId="2" xfId="4" applyNumberFormat="1" applyFont="1" applyFill="1" applyBorder="1"/>
    <xf numFmtId="0" fontId="0" fillId="6" borderId="1" xfId="0" applyFill="1" applyBorder="1"/>
    <xf numFmtId="169" fontId="26" fillId="6" borderId="1" xfId="2" applyNumberFormat="1" applyFont="1" applyFill="1" applyBorder="1"/>
    <xf numFmtId="165" fontId="0" fillId="6" borderId="1" xfId="0" applyNumberFormat="1" applyFill="1" applyBorder="1"/>
    <xf numFmtId="0" fontId="24" fillId="0" borderId="0" xfId="0" applyFont="1"/>
    <xf numFmtId="0" fontId="0" fillId="0" borderId="1" xfId="0" applyBorder="1"/>
    <xf numFmtId="0" fontId="33" fillId="0" borderId="1" xfId="0" applyFont="1" applyBorder="1" applyAlignment="1">
      <alignment horizontal="center"/>
    </xf>
    <xf numFmtId="0" fontId="6" fillId="4" borderId="1" xfId="0" applyFont="1" applyFill="1" applyBorder="1" applyAlignment="1">
      <alignment horizontal="center"/>
    </xf>
    <xf numFmtId="15" fontId="6" fillId="4" borderId="1" xfId="0" applyNumberFormat="1" applyFont="1" applyFill="1" applyBorder="1" applyAlignment="1">
      <alignment horizontal="center"/>
    </xf>
    <xf numFmtId="10" fontId="0" fillId="0" borderId="1" xfId="0" applyNumberFormat="1" applyBorder="1" applyAlignment="1">
      <alignment horizontal="center"/>
    </xf>
    <xf numFmtId="0" fontId="24" fillId="0" borderId="1" xfId="0" applyFont="1" applyBorder="1" applyAlignment="1">
      <alignment horizontal="center" wrapText="1"/>
    </xf>
    <xf numFmtId="0" fontId="0" fillId="0" borderId="1" xfId="0" applyBorder="1" applyAlignment="1">
      <alignment horizontal="center"/>
    </xf>
    <xf numFmtId="0" fontId="29" fillId="0" borderId="1" xfId="0" applyFont="1" applyBorder="1"/>
    <xf numFmtId="0" fontId="30" fillId="0" borderId="0" xfId="0" applyFont="1"/>
    <xf numFmtId="166" fontId="24" fillId="0" borderId="0" xfId="0" applyNumberFormat="1" applyFont="1" applyAlignment="1">
      <alignment horizontal="center"/>
    </xf>
    <xf numFmtId="166" fontId="24" fillId="0" borderId="0" xfId="0" applyNumberFormat="1" applyFont="1"/>
    <xf numFmtId="0" fontId="29" fillId="0" borderId="0" xfId="0" applyFont="1"/>
    <xf numFmtId="166" fontId="0" fillId="0" borderId="0" xfId="0" applyNumberFormat="1" applyAlignment="1">
      <alignment horizontal="center"/>
    </xf>
    <xf numFmtId="166" fontId="0" fillId="0" borderId="0" xfId="0" applyNumberFormat="1"/>
    <xf numFmtId="166" fontId="0" fillId="4" borderId="1" xfId="0" applyNumberFormat="1" applyFill="1" applyBorder="1" applyAlignment="1">
      <alignment horizontal="center"/>
    </xf>
    <xf numFmtId="166" fontId="4" fillId="4" borderId="1" xfId="4" applyNumberFormat="1" applyFont="1" applyFill="1" applyBorder="1" applyAlignment="1">
      <alignment horizontal="center"/>
    </xf>
    <xf numFmtId="10" fontId="4" fillId="4" borderId="1" xfId="4" applyNumberFormat="1" applyFont="1" applyFill="1" applyBorder="1" applyAlignment="1">
      <alignment horizontal="center"/>
    </xf>
    <xf numFmtId="0" fontId="0" fillId="4" borderId="1" xfId="0" applyFill="1" applyBorder="1" applyAlignment="1">
      <alignment horizontal="center"/>
    </xf>
    <xf numFmtId="166" fontId="0" fillId="6" borderId="1" xfId="0" applyNumberFormat="1" applyFill="1" applyBorder="1"/>
    <xf numFmtId="166" fontId="0" fillId="4" borderId="0" xfId="0" applyNumberFormat="1" applyFill="1" applyAlignment="1">
      <alignment horizontal="center"/>
    </xf>
    <xf numFmtId="0" fontId="0" fillId="4" borderId="1" xfId="0" applyFill="1" applyBorder="1"/>
    <xf numFmtId="10" fontId="6" fillId="4" borderId="1" xfId="0" applyNumberFormat="1" applyFont="1" applyFill="1" applyBorder="1"/>
    <xf numFmtId="10" fontId="0" fillId="0" borderId="1" xfId="4" applyNumberFormat="1" applyFont="1" applyBorder="1" applyAlignment="1">
      <alignment horizontal="center"/>
    </xf>
    <xf numFmtId="0" fontId="0" fillId="0" borderId="5" xfId="0" applyBorder="1"/>
    <xf numFmtId="0" fontId="0" fillId="0" borderId="6" xfId="0" applyBorder="1"/>
    <xf numFmtId="0" fontId="0" fillId="0" borderId="6" xfId="0" applyBorder="1" applyAlignment="1">
      <alignment horizontal="center"/>
    </xf>
    <xf numFmtId="8" fontId="0" fillId="7" borderId="1" xfId="0" applyNumberFormat="1" applyFill="1" applyBorder="1" applyAlignment="1">
      <alignment horizontal="center"/>
    </xf>
    <xf numFmtId="10" fontId="4" fillId="7" borderId="1" xfId="4" applyNumberFormat="1" applyFont="1" applyFill="1" applyBorder="1" applyAlignment="1">
      <alignment horizontal="center"/>
    </xf>
    <xf numFmtId="0" fontId="0" fillId="7" borderId="1" xfId="0" applyFill="1" applyBorder="1" applyAlignment="1">
      <alignment wrapText="1"/>
    </xf>
    <xf numFmtId="8" fontId="0" fillId="7" borderId="5" xfId="0" applyNumberFormat="1" applyFill="1" applyBorder="1" applyAlignment="1">
      <alignment horizontal="center"/>
    </xf>
    <xf numFmtId="164" fontId="0" fillId="0" borderId="5" xfId="0" applyNumberFormat="1" applyBorder="1" applyAlignment="1">
      <alignment horizontal="center"/>
    </xf>
    <xf numFmtId="10" fontId="34" fillId="0" borderId="1" xfId="0" applyNumberFormat="1" applyFont="1" applyBorder="1" applyAlignment="1">
      <alignment horizontal="center"/>
    </xf>
    <xf numFmtId="0" fontId="31" fillId="0" borderId="1" xfId="0" applyFont="1" applyBorder="1" applyAlignment="1">
      <alignment horizontal="center"/>
    </xf>
    <xf numFmtId="10" fontId="33" fillId="0" borderId="14" xfId="4" applyNumberFormat="1" applyFont="1" applyBorder="1" applyAlignment="1">
      <alignment horizontal="center"/>
    </xf>
    <xf numFmtId="0" fontId="35" fillId="0" borderId="0" xfId="0" applyFont="1"/>
    <xf numFmtId="166" fontId="6" fillId="6" borderId="2" xfId="0" applyNumberFormat="1" applyFont="1" applyFill="1" applyBorder="1"/>
    <xf numFmtId="10" fontId="6" fillId="6" borderId="2" xfId="0" applyNumberFormat="1" applyFont="1" applyFill="1" applyBorder="1"/>
    <xf numFmtId="2" fontId="8" fillId="6" borderId="2" xfId="0" applyNumberFormat="1" applyFont="1" applyFill="1" applyBorder="1" applyAlignment="1">
      <alignment horizontal="center"/>
    </xf>
    <xf numFmtId="0" fontId="2" fillId="6" borderId="3" xfId="0" applyFont="1" applyFill="1" applyBorder="1" applyAlignment="1">
      <alignment horizontal="center"/>
    </xf>
    <xf numFmtId="10" fontId="8" fillId="6" borderId="2" xfId="4" applyNumberFormat="1" applyFont="1" applyFill="1" applyBorder="1" applyAlignment="1">
      <alignment horizontal="center"/>
    </xf>
    <xf numFmtId="10" fontId="8" fillId="6" borderId="2" xfId="0" applyNumberFormat="1" applyFont="1" applyFill="1" applyBorder="1" applyAlignment="1">
      <alignment horizontal="center"/>
    </xf>
    <xf numFmtId="10" fontId="8" fillId="0" borderId="0" xfId="0" applyNumberFormat="1" applyFont="1" applyAlignment="1">
      <alignment horizontal="center"/>
    </xf>
    <xf numFmtId="10" fontId="7" fillId="0" borderId="0" xfId="0" applyNumberFormat="1" applyFont="1" applyAlignment="1">
      <alignment horizontal="center"/>
    </xf>
    <xf numFmtId="0" fontId="9" fillId="0" borderId="1" xfId="0" applyFont="1" applyBorder="1"/>
    <xf numFmtId="2" fontId="6" fillId="0" borderId="1" xfId="0" applyNumberFormat="1" applyFont="1" applyBorder="1" applyAlignment="1">
      <alignment horizontal="center"/>
    </xf>
    <xf numFmtId="0" fontId="6" fillId="0" borderId="1" xfId="0" applyFont="1" applyBorder="1" applyAlignment="1">
      <alignment horizontal="centerContinuous"/>
    </xf>
    <xf numFmtId="10" fontId="0" fillId="4" borderId="1" xfId="0" applyNumberFormat="1" applyFill="1" applyBorder="1"/>
    <xf numFmtId="0" fontId="36" fillId="0" borderId="1" xfId="0" applyFont="1" applyBorder="1"/>
    <xf numFmtId="0" fontId="5" fillId="0" borderId="1" xfId="0" applyFont="1" applyBorder="1" applyAlignment="1">
      <alignment horizontal="center"/>
    </xf>
    <xf numFmtId="0" fontId="5" fillId="0" borderId="1" xfId="0" applyFont="1" applyBorder="1"/>
    <xf numFmtId="10" fontId="5" fillId="0" borderId="1" xfId="4" applyNumberFormat="1" applyFont="1" applyBorder="1" applyAlignment="1">
      <alignment horizontal="center"/>
    </xf>
    <xf numFmtId="10" fontId="5" fillId="0" borderId="1" xfId="0" applyNumberFormat="1" applyFont="1" applyBorder="1" applyAlignment="1">
      <alignment horizontal="center"/>
    </xf>
    <xf numFmtId="0" fontId="37" fillId="0" borderId="1" xfId="0" applyFont="1" applyBorder="1"/>
    <xf numFmtId="0" fontId="27" fillId="0" borderId="0" xfId="0" applyFont="1" applyAlignment="1">
      <alignment horizontal="left"/>
    </xf>
    <xf numFmtId="8" fontId="6" fillId="6" borderId="1" xfId="0" applyNumberFormat="1" applyFont="1" applyFill="1" applyBorder="1"/>
    <xf numFmtId="0" fontId="42" fillId="0" borderId="0" xfId="0" applyFont="1"/>
    <xf numFmtId="10" fontId="6" fillId="3" borderId="1" xfId="0" applyNumberFormat="1" applyFont="1" applyFill="1" applyBorder="1"/>
    <xf numFmtId="9" fontId="6" fillId="6" borderId="1" xfId="0" applyNumberFormat="1" applyFont="1" applyFill="1" applyBorder="1"/>
    <xf numFmtId="0" fontId="6" fillId="4" borderId="2" xfId="0" applyFont="1" applyFill="1" applyBorder="1" applyAlignment="1">
      <alignment horizontal="center"/>
    </xf>
    <xf numFmtId="0" fontId="44" fillId="0" borderId="0" xfId="0" applyFont="1" applyAlignment="1">
      <alignment horizontal="left"/>
    </xf>
    <xf numFmtId="0" fontId="44" fillId="0" borderId="0" xfId="0" applyFont="1"/>
    <xf numFmtId="10" fontId="44" fillId="0" borderId="0" xfId="0" applyNumberFormat="1" applyFont="1"/>
    <xf numFmtId="2" fontId="44" fillId="0" borderId="0" xfId="0" applyNumberFormat="1" applyFont="1"/>
    <xf numFmtId="10" fontId="31" fillId="0" borderId="0" xfId="0" applyNumberFormat="1" applyFont="1"/>
    <xf numFmtId="0" fontId="36" fillId="0" borderId="1" xfId="0" applyFont="1" applyBorder="1" applyAlignment="1">
      <alignment horizontal="center"/>
    </xf>
    <xf numFmtId="10" fontId="5" fillId="0" borderId="5" xfId="0" applyNumberFormat="1" applyFont="1" applyBorder="1" applyAlignment="1">
      <alignment horizontal="center"/>
    </xf>
    <xf numFmtId="0" fontId="46" fillId="0" borderId="9" xfId="0" applyFont="1" applyBorder="1"/>
    <xf numFmtId="0" fontId="46" fillId="0" borderId="12" xfId="0" applyFont="1" applyBorder="1" applyAlignment="1">
      <alignment horizontal="center"/>
    </xf>
    <xf numFmtId="10" fontId="46" fillId="0" borderId="10" xfId="0" applyNumberFormat="1" applyFont="1" applyBorder="1"/>
    <xf numFmtId="0" fontId="46" fillId="0" borderId="1" xfId="0" applyFont="1" applyBorder="1" applyAlignment="1">
      <alignment horizontal="center"/>
    </xf>
    <xf numFmtId="0" fontId="37" fillId="0" borderId="0" xfId="0" applyFont="1"/>
    <xf numFmtId="0" fontId="37" fillId="0" borderId="0" xfId="0" applyFont="1" applyAlignment="1">
      <alignment horizontal="center"/>
    </xf>
    <xf numFmtId="8" fontId="37" fillId="0" borderId="1" xfId="0" applyNumberFormat="1" applyFont="1" applyBorder="1" applyAlignment="1">
      <alignment horizontal="center"/>
    </xf>
    <xf numFmtId="0" fontId="37" fillId="0" borderId="0" xfId="0" applyFont="1" applyAlignment="1">
      <alignment horizontal="centerContinuous"/>
    </xf>
    <xf numFmtId="0" fontId="37" fillId="0" borderId="0" xfId="0" applyFont="1" applyAlignment="1">
      <alignment horizontal="left"/>
    </xf>
    <xf numFmtId="8" fontId="37" fillId="2" borderId="1" xfId="2" applyFont="1" applyFill="1" applyBorder="1" applyAlignment="1">
      <alignment horizontal="center"/>
    </xf>
    <xf numFmtId="10" fontId="37" fillId="2" borderId="1" xfId="2" applyNumberFormat="1" applyFont="1" applyFill="1" applyBorder="1" applyAlignment="1">
      <alignment horizontal="center"/>
    </xf>
    <xf numFmtId="8" fontId="37" fillId="0" borderId="0" xfId="2" applyFont="1" applyAlignment="1">
      <alignment horizontal="center"/>
    </xf>
    <xf numFmtId="0" fontId="46" fillId="0" borderId="13" xfId="0" applyFont="1" applyBorder="1" applyAlignment="1">
      <alignment horizontal="center"/>
    </xf>
    <xf numFmtId="0" fontId="48" fillId="0" borderId="0" xfId="0" applyFont="1"/>
    <xf numFmtId="0" fontId="37" fillId="2" borderId="1" xfId="0" applyFont="1" applyFill="1" applyBorder="1" applyAlignment="1">
      <alignment horizontal="center"/>
    </xf>
    <xf numFmtId="0" fontId="37" fillId="2" borderId="5" xfId="0" applyFont="1" applyFill="1" applyBorder="1" applyAlignment="1">
      <alignment horizontal="center"/>
    </xf>
    <xf numFmtId="10" fontId="37" fillId="2" borderId="1" xfId="4" applyNumberFormat="1" applyFont="1" applyFill="1" applyBorder="1" applyAlignment="1">
      <alignment horizontal="center"/>
    </xf>
    <xf numFmtId="10" fontId="37" fillId="2" borderId="5" xfId="0" applyNumberFormat="1" applyFont="1" applyFill="1" applyBorder="1" applyAlignment="1">
      <alignment horizontal="center"/>
    </xf>
    <xf numFmtId="4" fontId="37" fillId="2" borderId="1" xfId="1" applyFont="1" applyFill="1" applyBorder="1" applyAlignment="1">
      <alignment horizontal="center"/>
    </xf>
    <xf numFmtId="2" fontId="37" fillId="2" borderId="5" xfId="0" applyNumberFormat="1" applyFont="1" applyFill="1" applyBorder="1" applyAlignment="1">
      <alignment horizontal="center"/>
    </xf>
    <xf numFmtId="10" fontId="37" fillId="2" borderId="5" xfId="4" applyNumberFormat="1" applyFont="1" applyFill="1" applyBorder="1" applyAlignment="1">
      <alignment horizontal="center"/>
    </xf>
    <xf numFmtId="0" fontId="37" fillId="0" borderId="11" xfId="0" applyFont="1" applyBorder="1"/>
    <xf numFmtId="10" fontId="46" fillId="0" borderId="11" xfId="0" applyNumberFormat="1" applyFont="1" applyBorder="1"/>
    <xf numFmtId="0" fontId="47" fillId="0" borderId="0" xfId="0" applyFont="1" applyAlignment="1">
      <alignment horizontal="centerContinuous"/>
    </xf>
    <xf numFmtId="10" fontId="37" fillId="2" borderId="1" xfId="0" applyNumberFormat="1" applyFont="1" applyFill="1" applyBorder="1" applyAlignment="1">
      <alignment horizontal="center"/>
    </xf>
    <xf numFmtId="10" fontId="37" fillId="2" borderId="8" xfId="0" applyNumberFormat="1" applyFont="1" applyFill="1" applyBorder="1" applyAlignment="1">
      <alignment horizontal="center"/>
    </xf>
    <xf numFmtId="0" fontId="49" fillId="0" borderId="0" xfId="0" applyFont="1"/>
    <xf numFmtId="0" fontId="49" fillId="0" borderId="0" xfId="0" applyFont="1" applyAlignment="1">
      <alignment horizontal="center"/>
    </xf>
    <xf numFmtId="10" fontId="37" fillId="0" borderId="0" xfId="0" applyNumberFormat="1" applyFont="1" applyAlignment="1">
      <alignment horizontal="center"/>
    </xf>
    <xf numFmtId="0" fontId="49" fillId="2" borderId="1" xfId="0" applyFont="1" applyFill="1" applyBorder="1" applyAlignment="1">
      <alignment horizontal="center"/>
    </xf>
    <xf numFmtId="0" fontId="37" fillId="2" borderId="1" xfId="0" applyFont="1" applyFill="1" applyBorder="1"/>
    <xf numFmtId="0" fontId="37" fillId="2" borderId="1" xfId="0" applyFont="1" applyFill="1" applyBorder="1" applyAlignment="1">
      <alignment horizontal="left"/>
    </xf>
    <xf numFmtId="6" fontId="37" fillId="2" borderId="1" xfId="0" applyNumberFormat="1" applyFont="1" applyFill="1" applyBorder="1" applyAlignment="1">
      <alignment horizontal="center"/>
    </xf>
    <xf numFmtId="6" fontId="37" fillId="2" borderId="1" xfId="4" applyNumberFormat="1" applyFont="1" applyFill="1" applyBorder="1" applyAlignment="1">
      <alignment horizontal="center"/>
    </xf>
    <xf numFmtId="10" fontId="49" fillId="2" borderId="1" xfId="0" applyNumberFormat="1" applyFont="1" applyFill="1" applyBorder="1" applyAlignment="1">
      <alignment horizontal="center"/>
    </xf>
    <xf numFmtId="6" fontId="37" fillId="2" borderId="1" xfId="2" applyNumberFormat="1" applyFont="1" applyFill="1" applyBorder="1" applyAlignment="1">
      <alignment horizontal="center"/>
    </xf>
    <xf numFmtId="8" fontId="37" fillId="2" borderId="1" xfId="0" applyNumberFormat="1" applyFont="1" applyFill="1" applyBorder="1" applyAlignment="1">
      <alignment horizontal="center"/>
    </xf>
    <xf numFmtId="165" fontId="37" fillId="2" borderId="1" xfId="4" applyNumberFormat="1" applyFont="1" applyFill="1" applyBorder="1" applyAlignment="1">
      <alignment horizontal="center"/>
    </xf>
    <xf numFmtId="8" fontId="47" fillId="2" borderId="1" xfId="2" applyFont="1" applyFill="1" applyBorder="1" applyAlignment="1">
      <alignment horizontal="center"/>
    </xf>
    <xf numFmtId="6" fontId="47" fillId="2" borderId="1" xfId="2" applyNumberFormat="1" applyFont="1" applyFill="1" applyBorder="1" applyAlignment="1">
      <alignment horizontal="center"/>
    </xf>
    <xf numFmtId="10" fontId="37" fillId="0" borderId="0" xfId="4" applyNumberFormat="1" applyFont="1" applyAlignment="1">
      <alignment horizontal="center"/>
    </xf>
    <xf numFmtId="10" fontId="37" fillId="0" borderId="0" xfId="4" applyNumberFormat="1" applyFont="1"/>
    <xf numFmtId="0" fontId="47" fillId="0" borderId="0" xfId="0" applyFont="1"/>
    <xf numFmtId="0" fontId="47" fillId="0" borderId="0" xfId="0" applyFont="1" applyAlignment="1">
      <alignment horizontal="center"/>
    </xf>
    <xf numFmtId="8" fontId="50" fillId="0" borderId="1" xfId="2" applyFont="1" applyBorder="1" applyAlignment="1">
      <alignment horizontal="center"/>
    </xf>
    <xf numFmtId="8" fontId="37" fillId="0" borderId="0" xfId="0" applyNumberFormat="1" applyFont="1"/>
    <xf numFmtId="8" fontId="50" fillId="0" borderId="8" xfId="2" applyFont="1" applyBorder="1" applyAlignment="1">
      <alignment horizontal="center"/>
    </xf>
    <xf numFmtId="10" fontId="37" fillId="4" borderId="1" xfId="4" applyNumberFormat="1" applyFont="1" applyFill="1" applyBorder="1" applyAlignment="1">
      <alignment horizontal="center"/>
    </xf>
    <xf numFmtId="0" fontId="36" fillId="0" borderId="5" xfId="0" applyFont="1" applyBorder="1" applyAlignment="1">
      <alignment horizontal="center"/>
    </xf>
    <xf numFmtId="0" fontId="43" fillId="4" borderId="1" xfId="0" applyFont="1" applyFill="1" applyBorder="1" applyAlignment="1">
      <alignment horizontal="center"/>
    </xf>
    <xf numFmtId="0" fontId="24" fillId="0" borderId="1" xfId="0" applyFont="1" applyBorder="1" applyAlignment="1">
      <alignment wrapText="1"/>
    </xf>
    <xf numFmtId="10" fontId="24" fillId="0" borderId="1" xfId="0" applyNumberFormat="1" applyFont="1" applyBorder="1" applyAlignment="1">
      <alignment horizontal="center" wrapText="1"/>
    </xf>
    <xf numFmtId="2" fontId="24" fillId="0" borderId="1" xfId="0" applyNumberFormat="1" applyFont="1" applyBorder="1" applyAlignment="1">
      <alignment horizontal="center" wrapText="1"/>
    </xf>
    <xf numFmtId="10" fontId="0" fillId="0" borderId="0" xfId="0" applyNumberFormat="1" applyAlignment="1">
      <alignment horizontal="center"/>
    </xf>
    <xf numFmtId="0" fontId="21" fillId="0" borderId="0" xfId="0" applyFont="1" applyAlignment="1">
      <alignment horizontal="center"/>
    </xf>
    <xf numFmtId="0" fontId="47" fillId="0" borderId="0" xfId="0" applyFont="1" applyAlignment="1">
      <alignment horizontal="center"/>
    </xf>
    <xf numFmtId="0" fontId="46" fillId="0" borderId="0" xfId="0" applyFont="1" applyAlignment="1">
      <alignment horizontal="center"/>
    </xf>
    <xf numFmtId="0" fontId="45" fillId="0" borderId="15" xfId="0" applyFont="1" applyBorder="1" applyAlignment="1">
      <alignment horizontal="center"/>
    </xf>
    <xf numFmtId="0" fontId="37" fillId="0" borderId="16" xfId="0" applyFont="1" applyBorder="1" applyAlignment="1">
      <alignment horizontal="center"/>
    </xf>
    <xf numFmtId="0" fontId="37" fillId="0" borderId="17" xfId="0" applyFont="1" applyBorder="1" applyAlignment="1">
      <alignment horizontal="center"/>
    </xf>
    <xf numFmtId="0" fontId="0" fillId="7" borderId="0" xfId="0" applyFill="1" applyAlignment="1">
      <alignment horizontal="center"/>
    </xf>
    <xf numFmtId="0" fontId="3" fillId="0" borderId="0" xfId="0" applyFont="1" applyAlignment="1">
      <alignment horizontal="center"/>
    </xf>
    <xf numFmtId="0" fontId="2" fillId="0" borderId="0" xfId="0" applyFont="1" applyAlignment="1">
      <alignment horizontal="center"/>
    </xf>
    <xf numFmtId="0" fontId="24" fillId="7" borderId="1" xfId="0" applyFont="1" applyFill="1" applyBorder="1" applyAlignment="1">
      <alignment horizontal="left" vertical="top" wrapText="1"/>
    </xf>
    <xf numFmtId="0" fontId="6" fillId="8" borderId="0" xfId="0" applyFont="1" applyFill="1" applyAlignment="1">
      <alignment horizontal="center" vertical="center" wrapText="1"/>
    </xf>
    <xf numFmtId="0" fontId="53" fillId="0" borderId="0" xfId="0" applyFont="1"/>
    <xf numFmtId="10" fontId="37" fillId="0" borderId="1" xfId="4" applyNumberFormat="1" applyFont="1" applyBorder="1" applyAlignment="1">
      <alignment horizontal="center"/>
    </xf>
    <xf numFmtId="10" fontId="37" fillId="0" borderId="5" xfId="4" applyNumberFormat="1" applyFont="1" applyBorder="1" applyAlignment="1">
      <alignment horizontal="center"/>
    </xf>
    <xf numFmtId="10" fontId="1" fillId="0" borderId="5" xfId="4" applyNumberFormat="1" applyFont="1" applyBorder="1" applyAlignment="1">
      <alignment horizontal="center"/>
    </xf>
    <xf numFmtId="0" fontId="5" fillId="0" borderId="0" xfId="0" applyFont="1" applyAlignment="1">
      <alignment horizontal="center"/>
    </xf>
    <xf numFmtId="0" fontId="54" fillId="0" borderId="1" xfId="0" applyFont="1" applyBorder="1"/>
    <xf numFmtId="0" fontId="54" fillId="0" borderId="1" xfId="0" applyFont="1" applyBorder="1" applyAlignment="1">
      <alignment horizontal="center"/>
    </xf>
    <xf numFmtId="0" fontId="54" fillId="0" borderId="0" xfId="0" applyFont="1" applyAlignment="1">
      <alignment wrapText="1"/>
    </xf>
    <xf numFmtId="0" fontId="54" fillId="0" borderId="1" xfId="0" applyFont="1" applyBorder="1" applyAlignment="1">
      <alignment horizontal="center" wrapText="1"/>
    </xf>
  </cellXfs>
  <cellStyles count="5">
    <cellStyle name="Comma" xfId="1" builtinId="3"/>
    <cellStyle name="Currency" xfId="2" builtinId="4"/>
    <cellStyle name="Hyperlink" xfId="3" builtinId="8"/>
    <cellStyle name="Normal" xfId="0" builtinId="0"/>
    <cellStyle name="Percent" xfId="4"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ed/Previously%20Relocated%20Items/Security/All%20My%20Stuff/Datasets/Datasets23/US/USindav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red/Previously%20Relocated%20Items/Security/All%20My%20Stuff/Datasets/Datasets23/Global/globalindav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sheetName val="Intermediate Worksheet"/>
      <sheetName val="Acc Pay"/>
      <sheetName val="Acc Rec"/>
      <sheetName val="Beta"/>
      <sheetName val="Cap Ex"/>
      <sheetName val="Cash"/>
      <sheetName val="cfbasics"/>
      <sheetName val="Mkt Cap Changes"/>
      <sheetName val="Debt details"/>
      <sheetName val="Debt fundamentals"/>
      <sheetName val="Div &amp; FCFE"/>
      <sheetName val="Dividend fundamentals"/>
      <sheetName val="$ Values"/>
      <sheetName val="Employee Info"/>
      <sheetName val="Excess Returns&amp; Val added"/>
      <sheetName val="Financing Flows"/>
      <sheetName val="Fundgr"/>
      <sheetName val="fundgrEB"/>
      <sheetName val="Goodwill &amp; Impairments"/>
      <sheetName val="Hist Growth"/>
      <sheetName val="Indiv Regression Stats"/>
      <sheetName val="Insider &amp; inst holdings"/>
      <sheetName val="Lease effect"/>
      <sheetName val="Margins"/>
      <sheetName val="mgnroc"/>
      <sheetName val="oifcff"/>
      <sheetName val="optvar"/>
      <sheetName val="PBV"/>
      <sheetName val="PE"/>
      <sheetName val="PS"/>
      <sheetName val="R&amp;D Details"/>
      <sheetName val="ROE"/>
      <sheetName val="Return on capital"/>
      <sheetName val="Tax rates"/>
      <sheetName val="Total Beta"/>
      <sheetName val="EVEBITDA"/>
      <sheetName val="WACC"/>
      <sheetName val="WACC Pass-through"/>
      <sheetName val="Working capital"/>
      <sheetName val="Summary Sheet for valn"/>
      <sheetName val="Summary sheet uValue"/>
      <sheetName val="Summary for ginzu sheets"/>
      <sheetName val="Sheet1"/>
      <sheetName val="Sheet2"/>
    </sheetNames>
    <sheetDataSet>
      <sheetData sheetId="0">
        <row r="3">
          <cell r="A3" t="str">
            <v>Aerospace/Defense</v>
          </cell>
          <cell r="B3">
            <v>77</v>
          </cell>
        </row>
        <row r="4">
          <cell r="A4" t="str">
            <v>Air Transport</v>
          </cell>
          <cell r="B4">
            <v>21</v>
          </cell>
        </row>
        <row r="5">
          <cell r="A5" t="str">
            <v>Apparel</v>
          </cell>
          <cell r="B5">
            <v>39</v>
          </cell>
        </row>
        <row r="6">
          <cell r="A6" t="str">
            <v>Auto &amp; Truck</v>
          </cell>
          <cell r="B6">
            <v>31</v>
          </cell>
        </row>
        <row r="7">
          <cell r="A7" t="str">
            <v>Auto Parts</v>
          </cell>
          <cell r="B7">
            <v>37</v>
          </cell>
        </row>
        <row r="8">
          <cell r="A8" t="str">
            <v>Bank (Money Center)</v>
          </cell>
          <cell r="B8">
            <v>7</v>
          </cell>
        </row>
        <row r="9">
          <cell r="A9" t="str">
            <v>Banks (Regional)</v>
          </cell>
          <cell r="B9">
            <v>557</v>
          </cell>
        </row>
        <row r="10">
          <cell r="A10" t="str">
            <v>Beverage (Alcoholic)</v>
          </cell>
          <cell r="B10">
            <v>23</v>
          </cell>
        </row>
        <row r="11">
          <cell r="A11" t="str">
            <v>Beverage (Soft)</v>
          </cell>
          <cell r="B11">
            <v>31</v>
          </cell>
        </row>
        <row r="12">
          <cell r="A12" t="str">
            <v>Broadcasting</v>
          </cell>
          <cell r="B12">
            <v>26</v>
          </cell>
        </row>
        <row r="13">
          <cell r="A13" t="str">
            <v>Brokerage &amp; Investment Banking</v>
          </cell>
          <cell r="B13">
            <v>30</v>
          </cell>
        </row>
        <row r="14">
          <cell r="A14" t="str">
            <v>Building Materials</v>
          </cell>
          <cell r="B14">
            <v>45</v>
          </cell>
        </row>
        <row r="15">
          <cell r="A15" t="str">
            <v>Business &amp; Consumer Services</v>
          </cell>
          <cell r="B15">
            <v>164</v>
          </cell>
        </row>
        <row r="16">
          <cell r="A16" t="str">
            <v>Cable TV</v>
          </cell>
          <cell r="B16">
            <v>10</v>
          </cell>
        </row>
        <row r="17">
          <cell r="A17" t="str">
            <v>Chemical (Basic)</v>
          </cell>
          <cell r="B17">
            <v>38</v>
          </cell>
        </row>
        <row r="18">
          <cell r="A18" t="str">
            <v>Chemical (Diversified)</v>
          </cell>
          <cell r="B18">
            <v>4</v>
          </cell>
        </row>
        <row r="19">
          <cell r="A19" t="str">
            <v>Chemical (Specialty)</v>
          </cell>
          <cell r="B19">
            <v>76</v>
          </cell>
        </row>
        <row r="20">
          <cell r="A20" t="str">
            <v>Coal &amp; Related Energy</v>
          </cell>
          <cell r="B20">
            <v>19</v>
          </cell>
        </row>
        <row r="21">
          <cell r="A21" t="str">
            <v>Computer Services</v>
          </cell>
          <cell r="B21">
            <v>80</v>
          </cell>
        </row>
        <row r="22">
          <cell r="A22" t="str">
            <v>Computers/Peripherals</v>
          </cell>
          <cell r="B22">
            <v>42</v>
          </cell>
        </row>
        <row r="23">
          <cell r="A23" t="str">
            <v>Construction Supplies</v>
          </cell>
          <cell r="B23">
            <v>49</v>
          </cell>
        </row>
        <row r="24">
          <cell r="A24" t="str">
            <v>Diversified</v>
          </cell>
          <cell r="B24">
            <v>23</v>
          </cell>
        </row>
        <row r="25">
          <cell r="A25" t="str">
            <v>Drugs (Biotechnology)</v>
          </cell>
          <cell r="B25">
            <v>598</v>
          </cell>
        </row>
        <row r="26">
          <cell r="A26" t="str">
            <v>Drugs (Pharmaceutical)</v>
          </cell>
          <cell r="B26">
            <v>281</v>
          </cell>
        </row>
        <row r="27">
          <cell r="A27" t="str">
            <v>Education</v>
          </cell>
          <cell r="B27">
            <v>33</v>
          </cell>
        </row>
        <row r="28">
          <cell r="A28" t="str">
            <v>Electrical Equipment</v>
          </cell>
          <cell r="B28">
            <v>110</v>
          </cell>
        </row>
        <row r="29">
          <cell r="A29" t="str">
            <v>Electronics (Consumer &amp; Office)</v>
          </cell>
          <cell r="B29">
            <v>16</v>
          </cell>
        </row>
        <row r="30">
          <cell r="A30" t="str">
            <v>Electronics (General)</v>
          </cell>
          <cell r="B30">
            <v>138</v>
          </cell>
        </row>
        <row r="31">
          <cell r="A31" t="str">
            <v>Engineering/Construction</v>
          </cell>
          <cell r="B31">
            <v>43</v>
          </cell>
        </row>
        <row r="32">
          <cell r="A32" t="str">
            <v>Entertainment</v>
          </cell>
          <cell r="B32">
            <v>110</v>
          </cell>
        </row>
        <row r="33">
          <cell r="A33" t="str">
            <v>Environmental &amp; Waste Services</v>
          </cell>
          <cell r="B33">
            <v>62</v>
          </cell>
        </row>
        <row r="34">
          <cell r="A34" t="str">
            <v>Farming/Agriculture</v>
          </cell>
          <cell r="B34">
            <v>39</v>
          </cell>
        </row>
        <row r="35">
          <cell r="A35" t="str">
            <v>Financial Svcs. (Non-bank &amp; Insurance)</v>
          </cell>
          <cell r="B35">
            <v>223</v>
          </cell>
        </row>
        <row r="36">
          <cell r="A36" t="str">
            <v>Food Processing</v>
          </cell>
          <cell r="B36">
            <v>92</v>
          </cell>
        </row>
        <row r="37">
          <cell r="A37" t="str">
            <v>Food Wholesalers</v>
          </cell>
          <cell r="B37">
            <v>14</v>
          </cell>
        </row>
        <row r="38">
          <cell r="A38" t="str">
            <v>Furn/Home Furnishings</v>
          </cell>
          <cell r="B38">
            <v>32</v>
          </cell>
        </row>
        <row r="39">
          <cell r="A39" t="str">
            <v>Green &amp; Renewable Energy</v>
          </cell>
          <cell r="B39">
            <v>19</v>
          </cell>
        </row>
        <row r="40">
          <cell r="A40" t="str">
            <v>Healthcare Products</v>
          </cell>
          <cell r="B40">
            <v>254</v>
          </cell>
        </row>
        <row r="41">
          <cell r="A41" t="str">
            <v>Healthcare Support Services</v>
          </cell>
          <cell r="B41">
            <v>131</v>
          </cell>
        </row>
        <row r="42">
          <cell r="A42" t="str">
            <v>Heathcare Information and Technology</v>
          </cell>
          <cell r="B42">
            <v>138</v>
          </cell>
        </row>
        <row r="43">
          <cell r="A43" t="str">
            <v>Homebuilding</v>
          </cell>
          <cell r="B43">
            <v>32</v>
          </cell>
        </row>
        <row r="44">
          <cell r="A44" t="str">
            <v>Hospitals/Healthcare Facilities</v>
          </cell>
          <cell r="B44">
            <v>34</v>
          </cell>
        </row>
        <row r="45">
          <cell r="A45" t="str">
            <v>Hotel/Gaming</v>
          </cell>
          <cell r="B45">
            <v>69</v>
          </cell>
        </row>
        <row r="46">
          <cell r="A46" t="str">
            <v>Household Products</v>
          </cell>
          <cell r="B46">
            <v>127</v>
          </cell>
        </row>
        <row r="47">
          <cell r="A47" t="str">
            <v>Information Services</v>
          </cell>
          <cell r="B47">
            <v>73</v>
          </cell>
        </row>
        <row r="48">
          <cell r="A48" t="str">
            <v>Insurance (General)</v>
          </cell>
          <cell r="B48">
            <v>21</v>
          </cell>
        </row>
        <row r="49">
          <cell r="A49" t="str">
            <v>Insurance (Life)</v>
          </cell>
          <cell r="B49">
            <v>27</v>
          </cell>
        </row>
        <row r="50">
          <cell r="A50" t="str">
            <v>Insurance (Prop/Cas.)</v>
          </cell>
          <cell r="B50">
            <v>51</v>
          </cell>
        </row>
        <row r="51">
          <cell r="A51" t="str">
            <v>Investments &amp; Asset Management</v>
          </cell>
          <cell r="B51">
            <v>600</v>
          </cell>
        </row>
        <row r="52">
          <cell r="A52" t="str">
            <v>Machinery</v>
          </cell>
          <cell r="B52">
            <v>116</v>
          </cell>
        </row>
        <row r="53">
          <cell r="A53" t="str">
            <v>Metals &amp; Mining</v>
          </cell>
          <cell r="B53">
            <v>68</v>
          </cell>
        </row>
        <row r="54">
          <cell r="A54" t="str">
            <v>Office Equipment &amp; Services</v>
          </cell>
          <cell r="B54">
            <v>16</v>
          </cell>
        </row>
        <row r="55">
          <cell r="A55" t="str">
            <v>Oil/Gas (Integrated)</v>
          </cell>
          <cell r="B55">
            <v>4</v>
          </cell>
        </row>
        <row r="56">
          <cell r="A56" t="str">
            <v>Oil/Gas (Production and Exploration)</v>
          </cell>
          <cell r="B56">
            <v>174</v>
          </cell>
        </row>
        <row r="57">
          <cell r="A57" t="str">
            <v>Oil/Gas Distribution</v>
          </cell>
          <cell r="B57">
            <v>23</v>
          </cell>
        </row>
        <row r="58">
          <cell r="A58" t="str">
            <v>Oilfield Svcs/Equip.</v>
          </cell>
          <cell r="B58">
            <v>101</v>
          </cell>
        </row>
        <row r="59">
          <cell r="A59" t="str">
            <v>Packaging &amp; Container</v>
          </cell>
          <cell r="B59">
            <v>25</v>
          </cell>
        </row>
        <row r="60">
          <cell r="A60" t="str">
            <v>Paper/Forest Products</v>
          </cell>
          <cell r="B60">
            <v>7</v>
          </cell>
        </row>
        <row r="61">
          <cell r="A61" t="str">
            <v>Power</v>
          </cell>
          <cell r="B61">
            <v>48</v>
          </cell>
        </row>
        <row r="62">
          <cell r="A62" t="str">
            <v>Precious Metals</v>
          </cell>
          <cell r="B62">
            <v>74</v>
          </cell>
        </row>
        <row r="63">
          <cell r="A63" t="str">
            <v>Publishing &amp; Newspapers</v>
          </cell>
          <cell r="B63">
            <v>20</v>
          </cell>
        </row>
        <row r="64">
          <cell r="A64" t="str">
            <v>R.E.I.T.</v>
          </cell>
          <cell r="B64">
            <v>223</v>
          </cell>
        </row>
        <row r="65">
          <cell r="A65" t="str">
            <v>Real Estate (Development)</v>
          </cell>
          <cell r="B65">
            <v>18</v>
          </cell>
        </row>
        <row r="66">
          <cell r="A66" t="str">
            <v>Real Estate (General/Diversified)</v>
          </cell>
          <cell r="B66">
            <v>12</v>
          </cell>
        </row>
        <row r="67">
          <cell r="A67" t="str">
            <v>Real Estate (Operations &amp; Services)</v>
          </cell>
          <cell r="B67">
            <v>60</v>
          </cell>
        </row>
        <row r="68">
          <cell r="A68" t="str">
            <v>Recreation</v>
          </cell>
          <cell r="B68">
            <v>57</v>
          </cell>
        </row>
        <row r="69">
          <cell r="A69" t="str">
            <v>Reinsurance</v>
          </cell>
          <cell r="B69">
            <v>1</v>
          </cell>
        </row>
        <row r="70">
          <cell r="A70" t="str">
            <v>Restaurant/Dining</v>
          </cell>
          <cell r="B70">
            <v>70</v>
          </cell>
        </row>
        <row r="71">
          <cell r="A71" t="str">
            <v>Retail (Automotive)</v>
          </cell>
          <cell r="B71">
            <v>30</v>
          </cell>
        </row>
        <row r="72">
          <cell r="A72" t="str">
            <v>Retail (Building Supply)</v>
          </cell>
          <cell r="B72">
            <v>15</v>
          </cell>
        </row>
        <row r="73">
          <cell r="A73" t="str">
            <v>Retail (Distributors)</v>
          </cell>
          <cell r="B73">
            <v>69</v>
          </cell>
        </row>
        <row r="74">
          <cell r="A74" t="str">
            <v>Retail (General)</v>
          </cell>
          <cell r="B74">
            <v>15</v>
          </cell>
        </row>
        <row r="75">
          <cell r="A75" t="str">
            <v>Retail (Grocery and Food)</v>
          </cell>
          <cell r="B75">
            <v>13</v>
          </cell>
        </row>
        <row r="76">
          <cell r="A76" t="str">
            <v>Retail (Online)</v>
          </cell>
          <cell r="B76">
            <v>63</v>
          </cell>
        </row>
        <row r="77">
          <cell r="A77" t="str">
            <v>Retail (Special Lines)</v>
          </cell>
          <cell r="B77">
            <v>78</v>
          </cell>
        </row>
        <row r="78">
          <cell r="A78" t="str">
            <v>Rubber&amp; Tires</v>
          </cell>
          <cell r="B78">
            <v>3</v>
          </cell>
        </row>
        <row r="79">
          <cell r="A79" t="str">
            <v>Semiconductor</v>
          </cell>
          <cell r="B79">
            <v>68</v>
          </cell>
        </row>
        <row r="80">
          <cell r="A80" t="str">
            <v>Semiconductor Equip</v>
          </cell>
          <cell r="B80">
            <v>30</v>
          </cell>
        </row>
        <row r="81">
          <cell r="A81" t="str">
            <v>Shipbuilding &amp; Marine</v>
          </cell>
          <cell r="B81">
            <v>8</v>
          </cell>
        </row>
        <row r="82">
          <cell r="A82" t="str">
            <v>Shoe</v>
          </cell>
          <cell r="B82">
            <v>13</v>
          </cell>
        </row>
        <row r="83">
          <cell r="A83" t="str">
            <v>Software (Entertainment)</v>
          </cell>
          <cell r="B83">
            <v>91</v>
          </cell>
        </row>
        <row r="84">
          <cell r="A84" t="str">
            <v>Software (Internet)</v>
          </cell>
          <cell r="B84">
            <v>33</v>
          </cell>
        </row>
        <row r="85">
          <cell r="A85" t="str">
            <v>Software (System &amp; Application)</v>
          </cell>
          <cell r="B85">
            <v>390</v>
          </cell>
        </row>
        <row r="86">
          <cell r="A86" t="str">
            <v>Steel</v>
          </cell>
          <cell r="B86">
            <v>28</v>
          </cell>
        </row>
        <row r="87">
          <cell r="A87" t="str">
            <v>Telecom (Wireless)</v>
          </cell>
          <cell r="B87">
            <v>16</v>
          </cell>
        </row>
        <row r="88">
          <cell r="A88" t="str">
            <v>Telecom. Equipment</v>
          </cell>
          <cell r="B88">
            <v>79</v>
          </cell>
        </row>
        <row r="89">
          <cell r="A89" t="str">
            <v>Telecom. Services</v>
          </cell>
          <cell r="B89">
            <v>49</v>
          </cell>
        </row>
        <row r="90">
          <cell r="A90" t="str">
            <v>Tobacco</v>
          </cell>
          <cell r="B90">
            <v>15</v>
          </cell>
        </row>
        <row r="91">
          <cell r="A91" t="str">
            <v>Transportation</v>
          </cell>
          <cell r="B91">
            <v>18</v>
          </cell>
        </row>
        <row r="92">
          <cell r="A92" t="str">
            <v>Transportation (Railroads)</v>
          </cell>
          <cell r="B92">
            <v>4</v>
          </cell>
        </row>
        <row r="93">
          <cell r="A93" t="str">
            <v>Trucking</v>
          </cell>
          <cell r="B93">
            <v>35</v>
          </cell>
        </row>
        <row r="94">
          <cell r="A94" t="str">
            <v>Utility (General)</v>
          </cell>
          <cell r="B94">
            <v>15</v>
          </cell>
        </row>
        <row r="95">
          <cell r="A95" t="str">
            <v>Utility (Water)</v>
          </cell>
          <cell r="B95">
            <v>16</v>
          </cell>
        </row>
      </sheetData>
      <sheetData sheetId="1"/>
      <sheetData sheetId="2"/>
      <sheetData sheetId="3"/>
      <sheetData sheetId="4">
        <row r="5">
          <cell r="C5">
            <v>1.6317380595347237</v>
          </cell>
          <cell r="H5">
            <v>1.3458926691301203</v>
          </cell>
        </row>
        <row r="6">
          <cell r="C6">
            <v>1.4141822802591859</v>
          </cell>
          <cell r="H6">
            <v>1.2292962090923658</v>
          </cell>
        </row>
        <row r="7">
          <cell r="C7">
            <v>1.4159650876966507</v>
          </cell>
          <cell r="H7">
            <v>0.69399800343932827</v>
          </cell>
        </row>
        <row r="8">
          <cell r="C8">
            <v>1.3246974025641622</v>
          </cell>
          <cell r="H8">
            <v>1.0163797426008965</v>
          </cell>
        </row>
        <row r="9">
          <cell r="C9">
            <v>1.5405976750533805</v>
          </cell>
          <cell r="H9">
            <v>1.2255318343171395</v>
          </cell>
        </row>
        <row r="10">
          <cell r="C10">
            <v>1.4739918130238336</v>
          </cell>
          <cell r="H10">
            <v>1.202436458457679</v>
          </cell>
        </row>
        <row r="11">
          <cell r="C11">
            <v>1.0801015876287672</v>
          </cell>
          <cell r="H11">
            <v>0.73934143059161173</v>
          </cell>
        </row>
        <row r="12">
          <cell r="C12">
            <v>0.50487423475647786</v>
          </cell>
          <cell r="H12">
            <v>0.41298063839707061</v>
          </cell>
        </row>
        <row r="13">
          <cell r="C13">
            <v>1.0129742331996445</v>
          </cell>
          <cell r="H13">
            <v>0.88078229176337852</v>
          </cell>
        </row>
        <row r="14">
          <cell r="C14">
            <v>1.3034433070435496</v>
          </cell>
          <cell r="H14">
            <v>1.2014134916712005</v>
          </cell>
        </row>
        <row r="15">
          <cell r="C15">
            <v>1.3220586425472229</v>
          </cell>
          <cell r="H15">
            <v>0.70215995917133367</v>
          </cell>
        </row>
        <row r="16">
          <cell r="C16">
            <v>1.2048082896180194</v>
          </cell>
          <cell r="H16">
            <v>0.69375056275316571</v>
          </cell>
        </row>
        <row r="17">
          <cell r="C17">
            <v>1.277280094823728</v>
          </cell>
          <cell r="H17">
            <v>1.0983592603350816</v>
          </cell>
        </row>
        <row r="18">
          <cell r="C18">
            <v>1.1709200204529924</v>
          </cell>
          <cell r="H18">
            <v>1.0198687734730703</v>
          </cell>
        </row>
        <row r="19">
          <cell r="C19">
            <v>1.2551641961018303</v>
          </cell>
          <cell r="H19">
            <v>0.70592024428519573</v>
          </cell>
        </row>
        <row r="20">
          <cell r="C20">
            <v>1.2471014770997904</v>
          </cell>
          <cell r="H20">
            <v>0.95899003084657786</v>
          </cell>
        </row>
        <row r="21">
          <cell r="C21">
            <v>1.4125912305600932</v>
          </cell>
          <cell r="H21">
            <v>1.0902565654988166</v>
          </cell>
        </row>
        <row r="22">
          <cell r="C22">
            <v>1.2772947079305697</v>
          </cell>
          <cell r="H22">
            <v>1.1152530501630955</v>
          </cell>
        </row>
        <row r="23">
          <cell r="C23">
            <v>1.4521788818808701</v>
          </cell>
          <cell r="H23">
            <v>1.4289145880963197</v>
          </cell>
        </row>
        <row r="24">
          <cell r="C24">
            <v>1.1713869322889647</v>
          </cell>
          <cell r="H24">
            <v>0.99322179503265406</v>
          </cell>
        </row>
        <row r="25">
          <cell r="C25">
            <v>1.2910863648381774</v>
          </cell>
          <cell r="H25">
            <v>1.2270423722130051</v>
          </cell>
        </row>
        <row r="26">
          <cell r="C26">
            <v>1.2643960028602219</v>
          </cell>
          <cell r="H26">
            <v>1.0760610533922743</v>
          </cell>
        </row>
        <row r="27">
          <cell r="C27">
            <v>1.0382284747790869</v>
          </cell>
          <cell r="H27">
            <v>0.93949641382363391</v>
          </cell>
        </row>
        <row r="28">
          <cell r="C28">
            <v>1.2417422800706084</v>
          </cell>
          <cell r="H28">
            <v>1.1994489579084946</v>
          </cell>
        </row>
        <row r="29">
          <cell r="C29">
            <v>1.2680061555196915</v>
          </cell>
          <cell r="H29">
            <v>1.1808060946282533</v>
          </cell>
        </row>
        <row r="30">
          <cell r="C30">
            <v>1.1008288893194806</v>
          </cell>
          <cell r="H30">
            <v>0.99371608027377023</v>
          </cell>
        </row>
        <row r="31">
          <cell r="C31">
            <v>1.5896686619511227</v>
          </cell>
          <cell r="H31">
            <v>1.4326548798323873</v>
          </cell>
        </row>
        <row r="32">
          <cell r="C32">
            <v>1.5389191240889379</v>
          </cell>
          <cell r="H32">
            <v>1.6130596990178139</v>
          </cell>
        </row>
        <row r="33">
          <cell r="C33">
            <v>1.2012527647557136</v>
          </cell>
          <cell r="H33">
            <v>1.1161632606240839</v>
          </cell>
        </row>
        <row r="34">
          <cell r="C34">
            <v>1.1967640138319908</v>
          </cell>
          <cell r="H34">
            <v>1.0176246718468016</v>
          </cell>
        </row>
        <row r="35">
          <cell r="C35">
            <v>1.4497950169593838</v>
          </cell>
          <cell r="H35">
            <v>1.2462224080092748</v>
          </cell>
        </row>
        <row r="36">
          <cell r="C36">
            <v>1.0153454106826958</v>
          </cell>
          <cell r="H36">
            <v>0.85911095276292671</v>
          </cell>
        </row>
        <row r="37">
          <cell r="C37">
            <v>1.1403135761675725</v>
          </cell>
          <cell r="H37">
            <v>0.93104970680829247</v>
          </cell>
        </row>
        <row r="38">
          <cell r="C38">
            <v>0.88572507363771524</v>
          </cell>
          <cell r="H38">
            <v>0.10617474510192053</v>
          </cell>
        </row>
        <row r="39">
          <cell r="C39">
            <v>0.91752023311739583</v>
          </cell>
          <cell r="H39">
            <v>0.76867267564864794</v>
          </cell>
        </row>
        <row r="40">
          <cell r="C40">
            <v>1.1237058272854066</v>
          </cell>
          <cell r="H40">
            <v>0.84570471745037612</v>
          </cell>
        </row>
        <row r="41">
          <cell r="C41">
            <v>1.2708955631991046</v>
          </cell>
          <cell r="H41">
            <v>0.95191223222451615</v>
          </cell>
        </row>
        <row r="42">
          <cell r="C42">
            <v>1.60070111091836</v>
          </cell>
          <cell r="H42">
            <v>0.87719231852421686</v>
          </cell>
        </row>
        <row r="43">
          <cell r="C43">
            <v>1.1623831948690986</v>
          </cell>
          <cell r="H43">
            <v>1.0971029719882097</v>
          </cell>
        </row>
        <row r="44">
          <cell r="C44">
            <v>1.1603652760592904</v>
          </cell>
          <cell r="H44">
            <v>1.0725471879998554</v>
          </cell>
        </row>
        <row r="45">
          <cell r="C45">
            <v>1.4715094541215377</v>
          </cell>
          <cell r="H45">
            <v>1.3707361878163189</v>
          </cell>
        </row>
        <row r="46">
          <cell r="C46">
            <v>1.5022071383659328</v>
          </cell>
          <cell r="H46">
            <v>1.3331558308257836</v>
          </cell>
        </row>
        <row r="47">
          <cell r="C47">
            <v>1.174001444953803</v>
          </cell>
          <cell r="H47">
            <v>0.72307947581048349</v>
          </cell>
        </row>
        <row r="48">
          <cell r="C48">
            <v>1.4599765370156599</v>
          </cell>
          <cell r="H48">
            <v>1.0609649277632753</v>
          </cell>
        </row>
        <row r="49">
          <cell r="C49">
            <v>1.1550009836175177</v>
          </cell>
          <cell r="H49">
            <v>1.0578798468783357</v>
          </cell>
        </row>
        <row r="50">
          <cell r="C50">
            <v>1.4047128789332648</v>
          </cell>
          <cell r="H50">
            <v>1.3334436182933442</v>
          </cell>
        </row>
        <row r="51">
          <cell r="C51">
            <v>1.2277613538599423</v>
          </cell>
          <cell r="H51">
            <v>1.0269385936275734</v>
          </cell>
        </row>
        <row r="52">
          <cell r="C52">
            <v>0.93935366031437906</v>
          </cell>
          <cell r="H52">
            <v>0.66746467102712326</v>
          </cell>
        </row>
        <row r="53">
          <cell r="C53">
            <v>0.80330136282469566</v>
          </cell>
          <cell r="H53">
            <v>0.72953854749756686</v>
          </cell>
        </row>
        <row r="54">
          <cell r="C54">
            <v>0.62361295447909626</v>
          </cell>
          <cell r="H54">
            <v>0.53775308643054576</v>
          </cell>
        </row>
        <row r="55">
          <cell r="C55">
            <v>1.2248168994320441</v>
          </cell>
          <cell r="H55">
            <v>1.0938250803149925</v>
          </cell>
        </row>
        <row r="56">
          <cell r="C56">
            <v>1.2900534643158847</v>
          </cell>
          <cell r="H56">
            <v>1.2191906966167014</v>
          </cell>
        </row>
        <row r="57">
          <cell r="C57">
            <v>1.1770946700328646</v>
          </cell>
          <cell r="H57">
            <v>0.8448370751926576</v>
          </cell>
        </row>
        <row r="58">
          <cell r="C58">
            <v>0.97748589274906783</v>
          </cell>
          <cell r="H58">
            <v>0.94626836990683305</v>
          </cell>
        </row>
        <row r="59">
          <cell r="C59">
            <v>1.2574315521617736</v>
          </cell>
          <cell r="H59">
            <v>1.1361280842130776</v>
          </cell>
        </row>
        <row r="60">
          <cell r="C60">
            <v>0.99125533132716515</v>
          </cell>
          <cell r="H60">
            <v>0.65648991865828199</v>
          </cell>
        </row>
        <row r="61">
          <cell r="C61">
            <v>1.3751593545688363</v>
          </cell>
          <cell r="H61">
            <v>1.1869387038702228</v>
          </cell>
        </row>
        <row r="62">
          <cell r="C62">
            <v>0.95242199691205232</v>
          </cell>
          <cell r="H62">
            <v>0.67049972190789686</v>
          </cell>
        </row>
        <row r="63">
          <cell r="C63">
            <v>1.3830066711394122</v>
          </cell>
          <cell r="H63">
            <v>1.1258403034857074</v>
          </cell>
        </row>
        <row r="64">
          <cell r="C64">
            <v>0.72500097471023861</v>
          </cell>
          <cell r="H64">
            <v>0.46402639019456771</v>
          </cell>
        </row>
        <row r="65">
          <cell r="C65">
            <v>1.2336190389708566</v>
          </cell>
          <cell r="H65">
            <v>1.1872086171220402</v>
          </cell>
        </row>
        <row r="66">
          <cell r="C66">
            <v>1.1148957766881691</v>
          </cell>
          <cell r="H66">
            <v>0.91415552689954038</v>
          </cell>
        </row>
        <row r="67">
          <cell r="C67">
            <v>1.063376043005491</v>
          </cell>
          <cell r="H67">
            <v>0.68555683323023653</v>
          </cell>
        </row>
        <row r="68">
          <cell r="C68">
            <v>1.5166924498761216</v>
          </cell>
          <cell r="H68">
            <v>0.88380482744065236</v>
          </cell>
        </row>
        <row r="69">
          <cell r="C69">
            <v>0.78980297684164968</v>
          </cell>
          <cell r="H69">
            <v>0.6649391588559308</v>
          </cell>
        </row>
        <row r="70">
          <cell r="C70">
            <v>1.3454843302112593</v>
          </cell>
          <cell r="H70">
            <v>0.80502060474331827</v>
          </cell>
        </row>
        <row r="71">
          <cell r="C71">
            <v>1.4179809441636479</v>
          </cell>
          <cell r="H71">
            <v>1.0754929270701692</v>
          </cell>
        </row>
        <row r="72">
          <cell r="C72">
            <v>0.82924820341635141</v>
          </cell>
          <cell r="H72">
            <v>0.83160738080596275</v>
          </cell>
        </row>
        <row r="73">
          <cell r="C73">
            <v>1.4103978688180479</v>
          </cell>
          <cell r="H73">
            <v>1.1660017105464549</v>
          </cell>
        </row>
        <row r="74">
          <cell r="C74">
            <v>1.5201925121768585</v>
          </cell>
          <cell r="H74">
            <v>1.0827260845919955</v>
          </cell>
        </row>
        <row r="75">
          <cell r="C75">
            <v>1.7891723510222548</v>
          </cell>
          <cell r="H75">
            <v>1.5670419621739333</v>
          </cell>
        </row>
        <row r="76">
          <cell r="C76">
            <v>1.2752456934388758</v>
          </cell>
          <cell r="H76">
            <v>1.00607436454125</v>
          </cell>
        </row>
        <row r="77">
          <cell r="C77">
            <v>1.3632136186935628</v>
          </cell>
          <cell r="H77">
            <v>1.2201002971574864</v>
          </cell>
        </row>
        <row r="78">
          <cell r="C78">
            <v>0.66756973306313983</v>
          </cell>
          <cell r="H78">
            <v>0.47317490770283238</v>
          </cell>
        </row>
        <row r="79">
          <cell r="C79">
            <v>1.4871300694613425</v>
          </cell>
          <cell r="H79">
            <v>1.3559898443505161</v>
          </cell>
        </row>
        <row r="80">
          <cell r="C80">
            <v>1.4752073825450458</v>
          </cell>
          <cell r="H80">
            <v>1.187876333197214</v>
          </cell>
        </row>
        <row r="81">
          <cell r="C81">
            <v>0.83801497962970528</v>
          </cell>
          <cell r="H81">
            <v>0.26766554739644599</v>
          </cell>
        </row>
        <row r="82">
          <cell r="C82">
            <v>1.6077462586340689</v>
          </cell>
          <cell r="H82">
            <v>1.5342672202060941</v>
          </cell>
        </row>
        <row r="83">
          <cell r="C83">
            <v>1.757142721715889</v>
          </cell>
          <cell r="H83">
            <v>1.6892473610771204</v>
          </cell>
        </row>
        <row r="84">
          <cell r="C84">
            <v>0.94373863184759688</v>
          </cell>
          <cell r="H84">
            <v>0.78033395563769492</v>
          </cell>
        </row>
        <row r="85">
          <cell r="C85">
            <v>1.3276925338648697</v>
          </cell>
          <cell r="H85">
            <v>1.2886673829152329</v>
          </cell>
        </row>
        <row r="86">
          <cell r="C86">
            <v>1.363575730964357</v>
          </cell>
          <cell r="H86">
            <v>1.3578802103729628</v>
          </cell>
        </row>
        <row r="87">
          <cell r="C87">
            <v>1.5513058877107246</v>
          </cell>
          <cell r="H87">
            <v>1.416511407810549</v>
          </cell>
        </row>
        <row r="88">
          <cell r="C88">
            <v>1.4697712402478267</v>
          </cell>
          <cell r="H88">
            <v>1.4129709426977197</v>
          </cell>
        </row>
        <row r="89">
          <cell r="C89">
            <v>1.3424843767995962</v>
          </cell>
          <cell r="H89">
            <v>1.2125474928571525</v>
          </cell>
        </row>
        <row r="90">
          <cell r="C90">
            <v>1.0309737102652559</v>
          </cell>
          <cell r="H90">
            <v>0.71135842360803681</v>
          </cell>
        </row>
        <row r="91">
          <cell r="C91">
            <v>1.2331194872073334</v>
          </cell>
          <cell r="H91">
            <v>1.1784895771242725</v>
          </cell>
        </row>
        <row r="92">
          <cell r="C92">
            <v>0.88226816528565966</v>
          </cell>
          <cell r="H92">
            <v>0.47390612503545576</v>
          </cell>
        </row>
        <row r="93">
          <cell r="C93">
            <v>2.0004565028386407</v>
          </cell>
          <cell r="H93">
            <v>1.7442504521558875</v>
          </cell>
        </row>
        <row r="94">
          <cell r="C94">
            <v>1.058265749430396</v>
          </cell>
          <cell r="H94">
            <v>0.92459381899211512</v>
          </cell>
        </row>
        <row r="95">
          <cell r="C95">
            <v>1.1078308621714459</v>
          </cell>
          <cell r="H95">
            <v>0.93238153388768741</v>
          </cell>
        </row>
        <row r="96">
          <cell r="C96">
            <v>1.5451244708853058</v>
          </cell>
          <cell r="H96">
            <v>1.232855746839977</v>
          </cell>
        </row>
        <row r="97">
          <cell r="C97">
            <v>0.63513941960164833</v>
          </cell>
          <cell r="H97">
            <v>0.40946178198765182</v>
          </cell>
        </row>
        <row r="98">
          <cell r="C98">
            <v>1.1524153536245123</v>
          </cell>
          <cell r="H98">
            <v>0.87252087534243938</v>
          </cell>
        </row>
      </sheetData>
      <sheetData sheetId="5">
        <row r="2">
          <cell r="H2">
            <v>1.7750375959909692E-2</v>
          </cell>
          <cell r="J2">
            <v>3.5126083048469772</v>
          </cell>
        </row>
        <row r="3">
          <cell r="H3">
            <v>6.2769383959631062E-3</v>
          </cell>
          <cell r="J3">
            <v>1.8653814845726677</v>
          </cell>
        </row>
        <row r="4">
          <cell r="H4">
            <v>4.0286206800687077E-2</v>
          </cell>
          <cell r="J4">
            <v>1.601522515617954</v>
          </cell>
        </row>
        <row r="5">
          <cell r="H5">
            <v>1.5269741052495196E-2</v>
          </cell>
          <cell r="J5">
            <v>2.1037931987291998</v>
          </cell>
        </row>
        <row r="6">
          <cell r="H6">
            <v>4.6343953094668419E-2</v>
          </cell>
          <cell r="J6">
            <v>0.94528664863581657</v>
          </cell>
        </row>
        <row r="7">
          <cell r="H7">
            <v>3.6695997763959105E-2</v>
          </cell>
          <cell r="J7">
            <v>1.9747050886050657</v>
          </cell>
        </row>
        <row r="8">
          <cell r="H8">
            <v>1.3070339707981026E-2</v>
          </cell>
          <cell r="J8">
            <v>0.31756087167554575</v>
          </cell>
        </row>
        <row r="9">
          <cell r="H9">
            <v>-4.3451691210799066E-2</v>
          </cell>
          <cell r="J9">
            <v>0.46900063005241044</v>
          </cell>
        </row>
        <row r="10">
          <cell r="H10">
            <v>5.6799689637347855E-2</v>
          </cell>
          <cell r="J10">
            <v>0.80200007324657852</v>
          </cell>
        </row>
        <row r="11">
          <cell r="H11">
            <v>5.6771639556521265E-2</v>
          </cell>
          <cell r="J11">
            <v>1.6029900764895542</v>
          </cell>
        </row>
        <row r="12">
          <cell r="H12">
            <v>2.5468002540459899E-2</v>
          </cell>
          <cell r="J12">
            <v>1.0882185560425841</v>
          </cell>
        </row>
        <row r="13">
          <cell r="H13">
            <v>2.5052525387016997E-2</v>
          </cell>
          <cell r="J13">
            <v>0.26390729940029073</v>
          </cell>
        </row>
        <row r="14">
          <cell r="H14">
            <v>4.6787426076227899E-2</v>
          </cell>
          <cell r="J14">
            <v>2.9646568034688325</v>
          </cell>
        </row>
        <row r="15">
          <cell r="H15">
            <v>5.7187561277203862E-2</v>
          </cell>
          <cell r="J15">
            <v>2.8046731724829046</v>
          </cell>
        </row>
        <row r="16">
          <cell r="H16">
            <v>-4.8655848776094279E-3</v>
          </cell>
          <cell r="J16">
            <v>0.79548722095114122</v>
          </cell>
        </row>
        <row r="17">
          <cell r="H17">
            <v>5.2585156771289575E-2</v>
          </cell>
          <cell r="J17">
            <v>2.140539561734049</v>
          </cell>
        </row>
        <row r="18">
          <cell r="H18">
            <v>4.0905351903938969E-4</v>
          </cell>
          <cell r="J18">
            <v>1.696073044152786</v>
          </cell>
        </row>
        <row r="19">
          <cell r="H19">
            <v>6.2155489180958312E-2</v>
          </cell>
          <cell r="J19">
            <v>1.300382837279803</v>
          </cell>
        </row>
        <row r="20">
          <cell r="H20">
            <v>1.340816712569722E-2</v>
          </cell>
          <cell r="J20">
            <v>1.9144649709284169</v>
          </cell>
        </row>
        <row r="21">
          <cell r="H21">
            <v>-2.2074387017581819E-3</v>
          </cell>
          <cell r="J21">
            <v>4.362127057694285</v>
          </cell>
        </row>
        <row r="22">
          <cell r="H22">
            <v>1.8160239754402271E-2</v>
          </cell>
          <cell r="J22">
            <v>2.1239631951163802</v>
          </cell>
        </row>
        <row r="23">
          <cell r="H23">
            <v>6.0397175441397173E-2</v>
          </cell>
          <cell r="J23">
            <v>1.4171828125823143</v>
          </cell>
        </row>
        <row r="24">
          <cell r="H24">
            <v>2.7621900220592199E-2</v>
          </cell>
          <cell r="J24">
            <v>0.80913558522031659</v>
          </cell>
        </row>
        <row r="25">
          <cell r="H25">
            <v>-2.0551912434212563E-4</v>
          </cell>
          <cell r="J25">
            <v>0.45885725937170108</v>
          </cell>
        </row>
        <row r="26">
          <cell r="H26">
            <v>2.7328938551878745E-2</v>
          </cell>
          <cell r="J26">
            <v>0.75386830062989918</v>
          </cell>
        </row>
        <row r="27">
          <cell r="H27">
            <v>9.2404200428598995E-2</v>
          </cell>
          <cell r="J27">
            <v>1.2400892015686051</v>
          </cell>
        </row>
        <row r="28">
          <cell r="H28">
            <v>0.14996801054437855</v>
          </cell>
          <cell r="J28">
            <v>1.784175397261031</v>
          </cell>
        </row>
        <row r="29">
          <cell r="H29">
            <v>2.4097951690066212E-2</v>
          </cell>
          <cell r="J29">
            <v>2.2252934810205893</v>
          </cell>
        </row>
        <row r="30">
          <cell r="H30">
            <v>0.13580448309031176</v>
          </cell>
          <cell r="J30">
            <v>1.8293533131914423</v>
          </cell>
        </row>
        <row r="31">
          <cell r="H31">
            <v>7.9250168173978799E-2</v>
          </cell>
          <cell r="J31">
            <v>3.3988532052232561</v>
          </cell>
        </row>
        <row r="32">
          <cell r="H32">
            <v>-4.9793033469523688E-3</v>
          </cell>
          <cell r="J32">
            <v>1.4645754612679325</v>
          </cell>
        </row>
        <row r="33">
          <cell r="H33">
            <v>9.6284714664775034E-2</v>
          </cell>
          <cell r="J33">
            <v>2.3308722386849454</v>
          </cell>
        </row>
        <row r="34">
          <cell r="H34">
            <v>3.3357535977751228E-2</v>
          </cell>
          <cell r="J34">
            <v>2.0517765686150211</v>
          </cell>
        </row>
        <row r="35">
          <cell r="H35">
            <v>3.6372628687447776E-2</v>
          </cell>
          <cell r="J35">
            <v>4.716792489213012E-2</v>
          </cell>
        </row>
        <row r="36">
          <cell r="H36">
            <v>3.7126517592543651E-2</v>
          </cell>
          <cell r="J36">
            <v>1.6859815207716935</v>
          </cell>
        </row>
        <row r="37">
          <cell r="H37">
            <v>9.0348742574372157E-3</v>
          </cell>
          <cell r="J37">
            <v>8.4116413256224369</v>
          </cell>
        </row>
        <row r="38">
          <cell r="H38">
            <v>3.8004110989091261E-2</v>
          </cell>
          <cell r="J38">
            <v>2.1902364409373862</v>
          </cell>
        </row>
        <row r="39">
          <cell r="H39">
            <v>0.26912402409773456</v>
          </cell>
          <cell r="J39">
            <v>0.20539294157771462</v>
          </cell>
        </row>
        <row r="40">
          <cell r="H40">
            <v>0.125937345585974</v>
          </cell>
          <cell r="J40">
            <v>1.0339137994093208</v>
          </cell>
        </row>
        <row r="41">
          <cell r="H41">
            <v>8.0213467891352766E-3</v>
          </cell>
          <cell r="J41">
            <v>9.0252769307357763</v>
          </cell>
        </row>
        <row r="42">
          <cell r="H42">
            <v>0.14769419579728138</v>
          </cell>
          <cell r="J42">
            <v>1.1333037378180726</v>
          </cell>
        </row>
        <row r="43">
          <cell r="H43">
            <v>1.3602387991019798E-2</v>
          </cell>
          <cell r="J43">
            <v>1.8239578402915135</v>
          </cell>
        </row>
        <row r="44">
          <cell r="H44">
            <v>3.632154631162509E-2</v>
          </cell>
          <cell r="J44">
            <v>1.9460469084153049</v>
          </cell>
        </row>
        <row r="45">
          <cell r="H45">
            <v>4.5490902879932432E-2</v>
          </cell>
          <cell r="J45">
            <v>0.64787039431885951</v>
          </cell>
        </row>
        <row r="46">
          <cell r="H46">
            <v>2.1526585003622836E-2</v>
          </cell>
          <cell r="J46">
            <v>2.1854467010901835</v>
          </cell>
        </row>
        <row r="47">
          <cell r="H47">
            <v>2.5448641162149385E-2</v>
          </cell>
          <cell r="J47">
            <v>1.5141875230145225</v>
          </cell>
        </row>
        <row r="48">
          <cell r="H48">
            <v>9.5651260425099142E-3</v>
          </cell>
          <cell r="J48">
            <v>0.98415249869977295</v>
          </cell>
        </row>
        <row r="49">
          <cell r="H49">
            <v>2.3115111588852626E-3</v>
          </cell>
          <cell r="J49">
            <v>0.64950919179700761</v>
          </cell>
        </row>
        <row r="50">
          <cell r="H50">
            <v>5.7751294134666727E-3</v>
          </cell>
          <cell r="J50">
            <v>1.2235917495745048</v>
          </cell>
        </row>
        <row r="51">
          <cell r="H51">
            <v>7.4477408503655404E-2</v>
          </cell>
          <cell r="J51">
            <v>0.52461323393522952</v>
          </cell>
        </row>
        <row r="52">
          <cell r="H52">
            <v>0.10792630698907046</v>
          </cell>
          <cell r="J52">
            <v>2.1608500691718713</v>
          </cell>
        </row>
        <row r="53">
          <cell r="H53">
            <v>2.3387475892735522E-2</v>
          </cell>
          <cell r="J53">
            <v>1.5847983484975299</v>
          </cell>
        </row>
        <row r="54">
          <cell r="H54">
            <v>5.7351213513274449E-2</v>
          </cell>
          <cell r="J54">
            <v>2.3804211822459824</v>
          </cell>
        </row>
        <row r="55">
          <cell r="H55">
            <v>-1.2355711407971395E-2</v>
          </cell>
          <cell r="J55">
            <v>1.4955904353767258</v>
          </cell>
        </row>
        <row r="56">
          <cell r="H56">
            <v>0.1078629574354029</v>
          </cell>
          <cell r="J56">
            <v>1.1700439551307493</v>
          </cell>
        </row>
        <row r="57">
          <cell r="H57">
            <v>4.8183145588975365E-2</v>
          </cell>
          <cell r="J57">
            <v>0.71203789238136128</v>
          </cell>
        </row>
        <row r="58">
          <cell r="H58">
            <v>2.8621639869896368E-3</v>
          </cell>
          <cell r="J58">
            <v>4.098572921606003</v>
          </cell>
        </row>
        <row r="59">
          <cell r="H59">
            <v>4.4288846553796668E-2</v>
          </cell>
          <cell r="J59">
            <v>1.9517809054097339</v>
          </cell>
        </row>
        <row r="60">
          <cell r="H60">
            <v>3.594806278218337E-2</v>
          </cell>
          <cell r="J60">
            <v>2.640287423267194</v>
          </cell>
        </row>
        <row r="61">
          <cell r="H61">
            <v>0.1839600884056081</v>
          </cell>
          <cell r="J61">
            <v>0.43922516402299394</v>
          </cell>
        </row>
        <row r="62">
          <cell r="H62">
            <v>6.2998989653640855E-2</v>
          </cell>
          <cell r="J62">
            <v>0.51744376843268447</v>
          </cell>
        </row>
        <row r="63">
          <cell r="H63">
            <v>6.1126999345159062E-2</v>
          </cell>
          <cell r="J63">
            <v>2.1495360876073235</v>
          </cell>
        </row>
        <row r="64">
          <cell r="H64">
            <v>-6.9579443323791318E-2</v>
          </cell>
          <cell r="J64">
            <v>0.14684116326248878</v>
          </cell>
        </row>
        <row r="65">
          <cell r="H65">
            <v>-4.235974257333449E-2</v>
          </cell>
          <cell r="J65">
            <v>0.37533699252084596</v>
          </cell>
        </row>
        <row r="66">
          <cell r="H66">
            <v>-3.3939818054584079E-4</v>
          </cell>
          <cell r="J66">
            <v>0.38625209859805604</v>
          </cell>
        </row>
        <row r="67">
          <cell r="H67">
            <v>-9.7335503466809909E-4</v>
          </cell>
          <cell r="J67">
            <v>1.5689215564881624</v>
          </cell>
        </row>
        <row r="68">
          <cell r="H68">
            <v>8.4633752387295091E-2</v>
          </cell>
          <cell r="J68">
            <v>1.5859899092296037</v>
          </cell>
        </row>
        <row r="69">
          <cell r="H69">
            <v>-3.5894594261790392E-3</v>
          </cell>
          <cell r="J69">
            <v>1.2102032753146545</v>
          </cell>
        </row>
        <row r="70">
          <cell r="H70">
            <v>4.1202702185160214E-2</v>
          </cell>
          <cell r="J70">
            <v>1.5701942239956401</v>
          </cell>
        </row>
        <row r="71">
          <cell r="H71">
            <v>5.1259894461536532E-2</v>
          </cell>
          <cell r="J71">
            <v>3.2313109542113141</v>
          </cell>
        </row>
        <row r="72">
          <cell r="H72">
            <v>6.3132169216013083E-3</v>
          </cell>
          <cell r="J72">
            <v>4.2038176025207861</v>
          </cell>
        </row>
        <row r="73">
          <cell r="H73">
            <v>7.9493645195904877E-2</v>
          </cell>
          <cell r="J73">
            <v>2.0729280898718252</v>
          </cell>
        </row>
        <row r="74">
          <cell r="H74">
            <v>1.2638682392051338E-2</v>
          </cell>
          <cell r="J74">
            <v>5.5117475233811613</v>
          </cell>
        </row>
        <row r="75">
          <cell r="H75">
            <v>2.3337952710874967E-3</v>
          </cell>
          <cell r="J75">
            <v>5.2344758552729687</v>
          </cell>
        </row>
        <row r="76">
          <cell r="H76">
            <v>8.251654433099144E-2</v>
          </cell>
          <cell r="J76">
            <v>1.3427580150233107</v>
          </cell>
        </row>
        <row r="77">
          <cell r="H77">
            <v>1.6007996870033885E-2</v>
          </cell>
          <cell r="J77">
            <v>3.2211003615831286</v>
          </cell>
        </row>
        <row r="78">
          <cell r="H78">
            <v>8.5634803945433807E-3</v>
          </cell>
          <cell r="J78">
            <v>1.5914803168514429</v>
          </cell>
        </row>
        <row r="79">
          <cell r="H79">
            <v>9.4211405166161985E-2</v>
          </cell>
          <cell r="J79">
            <v>0.72201005886116498</v>
          </cell>
        </row>
        <row r="80">
          <cell r="H80">
            <v>0.15241894968668626</v>
          </cell>
          <cell r="J80">
            <v>1.5108753291051042</v>
          </cell>
        </row>
        <row r="81">
          <cell r="H81">
            <v>1.5116725465492238E-3</v>
          </cell>
          <cell r="J81">
            <v>1.1661301455364754</v>
          </cell>
        </row>
        <row r="82">
          <cell r="H82">
            <v>2.2399777105094363E-2</v>
          </cell>
          <cell r="J82">
            <v>2.9142709053503486</v>
          </cell>
        </row>
        <row r="83">
          <cell r="H83">
            <v>0.14039023756413552</v>
          </cell>
          <cell r="J83">
            <v>0.78139743738989276</v>
          </cell>
        </row>
        <row r="84">
          <cell r="H84">
            <v>0.11033018097918079</v>
          </cell>
          <cell r="J84">
            <v>0.66506973987158913</v>
          </cell>
        </row>
        <row r="85">
          <cell r="H85">
            <v>0.21305367709810255</v>
          </cell>
          <cell r="J85">
            <v>0.95920716659429495</v>
          </cell>
        </row>
        <row r="86">
          <cell r="H86">
            <v>5.1297962917674897E-2</v>
          </cell>
          <cell r="J86">
            <v>2.8748481776829053</v>
          </cell>
        </row>
        <row r="87">
          <cell r="H87">
            <v>1.0400480070954753E-2</v>
          </cell>
          <cell r="J87">
            <v>0.52145758522578434</v>
          </cell>
        </row>
        <row r="88">
          <cell r="H88">
            <v>3.5153674659288023E-2</v>
          </cell>
          <cell r="J88">
            <v>1.4179419448565018</v>
          </cell>
        </row>
        <row r="89">
          <cell r="H89">
            <v>5.7617506731433427E-2</v>
          </cell>
          <cell r="J89">
            <v>0.66172943264450124</v>
          </cell>
        </row>
        <row r="90">
          <cell r="H90">
            <v>2.1105974212593085E-2</v>
          </cell>
          <cell r="J90">
            <v>1.7836862713219102</v>
          </cell>
        </row>
        <row r="91">
          <cell r="H91">
            <v>2.3385069645266855E-2</v>
          </cell>
          <cell r="J91">
            <v>3.0857818119673657</v>
          </cell>
        </row>
        <row r="92">
          <cell r="H92">
            <v>5.5810927929796944E-2</v>
          </cell>
          <cell r="J92">
            <v>0.50933785320283187</v>
          </cell>
        </row>
        <row r="93">
          <cell r="H93">
            <v>0.11041328797291604</v>
          </cell>
          <cell r="J93">
            <v>1.6609808041341676</v>
          </cell>
        </row>
        <row r="94">
          <cell r="H94">
            <v>0.19971639703486291</v>
          </cell>
          <cell r="J94">
            <v>0.37229545825458882</v>
          </cell>
        </row>
        <row r="95">
          <cell r="H95">
            <v>0.40921399435778089</v>
          </cell>
          <cell r="J95">
            <v>0.25686429661316262</v>
          </cell>
        </row>
      </sheetData>
      <sheetData sheetId="6"/>
      <sheetData sheetId="7"/>
      <sheetData sheetId="8"/>
      <sheetData sheetId="9"/>
      <sheetData sheetId="10">
        <row r="2">
          <cell r="F2">
            <v>0.31029224250137583</v>
          </cell>
        </row>
        <row r="3">
          <cell r="F3">
            <v>0.20670883607151089</v>
          </cell>
        </row>
        <row r="4">
          <cell r="F4">
            <v>0.65075795959710081</v>
          </cell>
        </row>
        <row r="5">
          <cell r="F5">
            <v>0.34024906959820889</v>
          </cell>
        </row>
        <row r="6">
          <cell r="F6">
            <v>0.33418107062895108</v>
          </cell>
        </row>
        <row r="7">
          <cell r="F7">
            <v>0.29901008239034443</v>
          </cell>
        </row>
        <row r="8">
          <cell r="F8">
            <v>0.683929164378137</v>
          </cell>
        </row>
        <row r="9">
          <cell r="F9">
            <v>0.3925396989484301</v>
          </cell>
        </row>
        <row r="10">
          <cell r="F10">
            <v>0.18639448485009497</v>
          </cell>
        </row>
        <row r="11">
          <cell r="F11">
            <v>0.13246439822297759</v>
          </cell>
        </row>
        <row r="12">
          <cell r="F12">
            <v>0.59486626883899241</v>
          </cell>
        </row>
        <row r="13">
          <cell r="F13">
            <v>0.66787153511038466</v>
          </cell>
        </row>
        <row r="14">
          <cell r="F14">
            <v>0.22436251520240177</v>
          </cell>
        </row>
        <row r="15">
          <cell r="F15">
            <v>0.21552515508878373</v>
          </cell>
        </row>
        <row r="16">
          <cell r="F16">
            <v>0.51752783876705177</v>
          </cell>
        </row>
        <row r="17">
          <cell r="F17">
            <v>0.32569374593561318</v>
          </cell>
        </row>
        <row r="18">
          <cell r="F18">
            <v>0.36805699288839216</v>
          </cell>
        </row>
        <row r="19">
          <cell r="F19">
            <v>0.21509733288408953</v>
          </cell>
        </row>
        <row r="20">
          <cell r="F20">
            <v>0.17836697027388981</v>
          </cell>
        </row>
        <row r="21">
          <cell r="F21">
            <v>0.24564199162920453</v>
          </cell>
        </row>
        <row r="22">
          <cell r="F22">
            <v>8.6947263270185773E-2</v>
          </cell>
        </row>
        <row r="23">
          <cell r="F23">
            <v>0.23151570788836295</v>
          </cell>
        </row>
        <row r="24">
          <cell r="F24">
            <v>0.17516637526737888</v>
          </cell>
        </row>
        <row r="25">
          <cell r="F25">
            <v>0.13285422647907655</v>
          </cell>
        </row>
        <row r="26">
          <cell r="F26">
            <v>0.11983897594961615</v>
          </cell>
        </row>
        <row r="27">
          <cell r="F27">
            <v>0.23436430724796883</v>
          </cell>
        </row>
        <row r="28">
          <cell r="F28">
            <v>0.18379271640117503</v>
          </cell>
        </row>
        <row r="29">
          <cell r="F29">
            <v>0.14129490331068803</v>
          </cell>
        </row>
        <row r="30">
          <cell r="F30">
            <v>0.15835752834031197</v>
          </cell>
        </row>
        <row r="31">
          <cell r="F31">
            <v>0.24007634301961103</v>
          </cell>
        </row>
        <row r="32">
          <cell r="F32">
            <v>0.24970269532215986</v>
          </cell>
        </row>
        <row r="33">
          <cell r="F33">
            <v>0.20341883913216277</v>
          </cell>
        </row>
        <row r="34">
          <cell r="F34">
            <v>0.25298812315410507</v>
          </cell>
        </row>
        <row r="35">
          <cell r="F35">
            <v>0.90945279625195319</v>
          </cell>
        </row>
        <row r="36">
          <cell r="F36">
            <v>0.22395116431995885</v>
          </cell>
        </row>
        <row r="37">
          <cell r="F37">
            <v>0.31580170522329504</v>
          </cell>
        </row>
        <row r="38">
          <cell r="F38">
            <v>0.35871209353758288</v>
          </cell>
        </row>
        <row r="39">
          <cell r="F39">
            <v>0.54774951823179885</v>
          </cell>
        </row>
        <row r="40">
          <cell r="F40">
            <v>0.11192266952101866</v>
          </cell>
        </row>
        <row r="41">
          <cell r="F41">
            <v>0.19097410804999704</v>
          </cell>
        </row>
        <row r="42">
          <cell r="F42">
            <v>0.12440570020083286</v>
          </cell>
        </row>
        <row r="43">
          <cell r="F43">
            <v>0.24434620786730529</v>
          </cell>
        </row>
        <row r="44">
          <cell r="F44">
            <v>0.46591874206509154</v>
          </cell>
        </row>
        <row r="45">
          <cell r="F45">
            <v>0.39967778031636919</v>
          </cell>
        </row>
        <row r="46">
          <cell r="F46">
            <v>0.13437882331900164</v>
          </cell>
        </row>
        <row r="47">
          <cell r="F47">
            <v>0.11550414899232817</v>
          </cell>
        </row>
        <row r="48">
          <cell r="F48">
            <v>0.2336517107244612</v>
          </cell>
        </row>
        <row r="49">
          <cell r="F49">
            <v>0.4802581428121806</v>
          </cell>
        </row>
        <row r="50">
          <cell r="F50">
            <v>0.17672400294711046</v>
          </cell>
        </row>
        <row r="51">
          <cell r="F51">
            <v>0.27717935374212399</v>
          </cell>
        </row>
        <row r="52">
          <cell r="F52">
            <v>0.17247652623442106</v>
          </cell>
        </row>
        <row r="53">
          <cell r="F53">
            <v>0.17725898477475721</v>
          </cell>
        </row>
        <row r="54">
          <cell r="F54">
            <v>0.40048472944003649</v>
          </cell>
        </row>
        <row r="55">
          <cell r="F55">
            <v>0.10316970884560783</v>
          </cell>
        </row>
        <row r="56">
          <cell r="F56">
            <v>0.16724493485833186</v>
          </cell>
        </row>
        <row r="57">
          <cell r="F57">
            <v>0.41660661946754163</v>
          </cell>
        </row>
        <row r="58">
          <cell r="F58">
            <v>0.24587596268608092</v>
          </cell>
        </row>
        <row r="59">
          <cell r="F59">
            <v>0.38258512094774455</v>
          </cell>
        </row>
        <row r="60">
          <cell r="F60">
            <v>0.30490399792922035</v>
          </cell>
        </row>
        <row r="61">
          <cell r="F61">
            <v>0.43552496662165086</v>
          </cell>
        </row>
        <row r="62">
          <cell r="F62">
            <v>0.14034933783922693</v>
          </cell>
        </row>
        <row r="63">
          <cell r="F63">
            <v>0.29664827548349576</v>
          </cell>
        </row>
        <row r="64">
          <cell r="F64">
            <v>0.43607305258100248</v>
          </cell>
        </row>
        <row r="65">
          <cell r="F65">
            <v>0.52953698868574195</v>
          </cell>
        </row>
        <row r="66">
          <cell r="F66">
            <v>0.28478860416132579</v>
          </cell>
        </row>
        <row r="67">
          <cell r="F67">
            <v>0.5221196650429506</v>
          </cell>
        </row>
        <row r="68">
          <cell r="F68">
            <v>0.34236718555089074</v>
          </cell>
        </row>
        <row r="69">
          <cell r="F69">
            <v>0.31081382917101813</v>
          </cell>
        </row>
        <row r="70">
          <cell r="F70">
            <v>0.23533040964915261</v>
          </cell>
        </row>
        <row r="71">
          <cell r="F71">
            <v>0.36502616498949741</v>
          </cell>
        </row>
        <row r="72">
          <cell r="F72">
            <v>0.17500957285412982</v>
          </cell>
        </row>
        <row r="73">
          <cell r="F73">
            <v>0.2834997671745757</v>
          </cell>
        </row>
        <row r="74">
          <cell r="F74">
            <v>0.16645578370845249</v>
          </cell>
        </row>
        <row r="75">
          <cell r="F75">
            <v>0.39692761226145523</v>
          </cell>
        </row>
        <row r="76">
          <cell r="F76">
            <v>0.16089394698680773</v>
          </cell>
        </row>
        <row r="77">
          <cell r="F77">
            <v>0.28139429989154335</v>
          </cell>
        </row>
        <row r="78">
          <cell r="F78">
            <v>0.76762233709685423</v>
          </cell>
        </row>
        <row r="79">
          <cell r="F79">
            <v>0.10124985178257215</v>
          </cell>
        </row>
        <row r="80">
          <cell r="F80">
            <v>0.10544019640189742</v>
          </cell>
        </row>
        <row r="81">
          <cell r="F81">
            <v>0.28067166925935105</v>
          </cell>
        </row>
        <row r="82">
          <cell r="F82">
            <v>8.2687179007953762E-2</v>
          </cell>
        </row>
        <row r="83">
          <cell r="F83">
            <v>4.5824628286418652E-2</v>
          </cell>
        </row>
        <row r="84">
          <cell r="F84">
            <v>0.15006072569661108</v>
          </cell>
        </row>
        <row r="85">
          <cell r="F85">
            <v>8.562961432885291E-2</v>
          </cell>
        </row>
        <row r="86">
          <cell r="F86">
            <v>0.22236540864885215</v>
          </cell>
        </row>
        <row r="87">
          <cell r="F87">
            <v>0.39450630773069012</v>
          </cell>
        </row>
        <row r="88">
          <cell r="F88">
            <v>0.10457107348559717</v>
          </cell>
        </row>
        <row r="89">
          <cell r="F89">
            <v>0.5406894051251091</v>
          </cell>
        </row>
        <row r="90">
          <cell r="F90">
            <v>0.19390853485149315</v>
          </cell>
        </row>
        <row r="91">
          <cell r="F91">
            <v>0.22785975576835596</v>
          </cell>
        </row>
        <row r="92">
          <cell r="F92">
            <v>0.21538599902572655</v>
          </cell>
        </row>
        <row r="93">
          <cell r="F93">
            <v>0.30513857374628695</v>
          </cell>
        </row>
        <row r="94">
          <cell r="F94">
            <v>0.42586480270208965</v>
          </cell>
        </row>
        <row r="95">
          <cell r="F95">
            <v>0.30263279217507999</v>
          </cell>
        </row>
      </sheetData>
      <sheetData sheetId="11"/>
      <sheetData sheetId="12">
        <row r="2">
          <cell r="E2">
            <v>0.67633368355344103</v>
          </cell>
        </row>
        <row r="3">
          <cell r="E3">
            <v>0.70696836686859155</v>
          </cell>
        </row>
        <row r="4">
          <cell r="E4">
            <v>0</v>
          </cell>
        </row>
        <row r="5">
          <cell r="E5">
            <v>0.54315896470238101</v>
          </cell>
        </row>
        <row r="6">
          <cell r="E6">
            <v>0.10549811796720597</v>
          </cell>
        </row>
        <row r="7">
          <cell r="E7">
            <v>0.37139521238957468</v>
          </cell>
        </row>
        <row r="8">
          <cell r="E8">
            <v>0.2836234354829657</v>
          </cell>
        </row>
        <row r="9">
          <cell r="E9">
            <v>0.29107212625014139</v>
          </cell>
        </row>
        <row r="10">
          <cell r="E10">
            <v>0.79003164852109986</v>
          </cell>
        </row>
        <row r="11">
          <cell r="E11">
            <v>0.56516587527367568</v>
          </cell>
        </row>
        <row r="12">
          <cell r="E12">
            <v>0.14361734100768372</v>
          </cell>
        </row>
        <row r="13">
          <cell r="E13">
            <v>0.2868814096660765</v>
          </cell>
        </row>
        <row r="14">
          <cell r="E14">
            <v>0.12953963876691149</v>
          </cell>
        </row>
        <row r="15">
          <cell r="E15">
            <v>0.28225571869971045</v>
          </cell>
        </row>
        <row r="16">
          <cell r="E16">
            <v>0.29050659083570779</v>
          </cell>
        </row>
        <row r="17">
          <cell r="E17">
            <v>0.27395285947542003</v>
          </cell>
        </row>
        <row r="18">
          <cell r="E18">
            <v>0.14606681893025975</v>
          </cell>
        </row>
        <row r="19">
          <cell r="E19">
            <v>0.40462475653279661</v>
          </cell>
        </row>
        <row r="20">
          <cell r="E20">
            <v>0.20433717791215913</v>
          </cell>
        </row>
        <row r="21">
          <cell r="E21">
            <v>0.93582785276917213</v>
          </cell>
        </row>
        <row r="22">
          <cell r="E22">
            <v>0.16947356652480433</v>
          </cell>
        </row>
        <row r="23">
          <cell r="E23">
            <v>0.32155652013128733</v>
          </cell>
        </row>
        <row r="24">
          <cell r="E24">
            <v>1.5067793894620867</v>
          </cell>
        </row>
        <row r="25">
          <cell r="E25">
            <v>5.6919254543125089E-4</v>
          </cell>
        </row>
        <row r="26">
          <cell r="E26">
            <v>0.51360080179486645</v>
          </cell>
        </row>
        <row r="27">
          <cell r="E27">
            <v>0.17439258095206728</v>
          </cell>
        </row>
        <row r="28">
          <cell r="E28">
            <v>0.34460454633292631</v>
          </cell>
        </row>
        <row r="29">
          <cell r="E29">
            <v>0</v>
          </cell>
        </row>
        <row r="30">
          <cell r="E30">
            <v>0.10608878216021826</v>
          </cell>
        </row>
        <row r="31">
          <cell r="E31">
            <v>0.16885746296448992</v>
          </cell>
        </row>
        <row r="32">
          <cell r="E32">
            <v>0.50420530039623501</v>
          </cell>
        </row>
        <row r="33">
          <cell r="E33">
            <v>0.46259054584477655</v>
          </cell>
        </row>
        <row r="34">
          <cell r="E34">
            <v>0.21028238912969796</v>
          </cell>
        </row>
        <row r="35">
          <cell r="E35">
            <v>0.13648733467216531</v>
          </cell>
        </row>
        <row r="36">
          <cell r="E36">
            <v>0.53779059344768942</v>
          </cell>
        </row>
        <row r="37">
          <cell r="E37">
            <v>0.43594516376534403</v>
          </cell>
        </row>
        <row r="38">
          <cell r="E38">
            <v>0.68019701522110831</v>
          </cell>
        </row>
        <row r="39">
          <cell r="E39">
            <v>0.56847664608279069</v>
          </cell>
        </row>
        <row r="40">
          <cell r="E40">
            <v>0.4613141074361804</v>
          </cell>
        </row>
        <row r="41">
          <cell r="E41">
            <v>0.33042108015587673</v>
          </cell>
        </row>
        <row r="42">
          <cell r="E42">
            <v>4.3282833182668018E-4</v>
          </cell>
        </row>
        <row r="43">
          <cell r="E43">
            <v>5.4486024996357962E-2</v>
          </cell>
        </row>
        <row r="44">
          <cell r="E44">
            <v>0.13557220326973293</v>
          </cell>
        </row>
        <row r="45">
          <cell r="E45">
            <v>0.49425325285811983</v>
          </cell>
        </row>
        <row r="46">
          <cell r="E46">
            <v>0.63694590638551551</v>
          </cell>
        </row>
        <row r="47">
          <cell r="E47">
            <v>0.28072861797189408</v>
          </cell>
        </row>
        <row r="48">
          <cell r="E48">
            <v>0.16850456388146776</v>
          </cell>
        </row>
        <row r="49">
          <cell r="E49">
            <v>0.38242287811508857</v>
          </cell>
        </row>
        <row r="50">
          <cell r="E50">
            <v>0.73319411994328065</v>
          </cell>
        </row>
        <row r="51">
          <cell r="E51">
            <v>0.42685509300941743</v>
          </cell>
        </row>
        <row r="52">
          <cell r="E52">
            <v>0.3670721468884211</v>
          </cell>
        </row>
        <row r="53">
          <cell r="E53">
            <v>0.62501159406327877</v>
          </cell>
        </row>
        <row r="54">
          <cell r="E54">
            <v>0.82958172172552991</v>
          </cell>
        </row>
        <row r="55">
          <cell r="E55">
            <v>0.26356755294941536</v>
          </cell>
        </row>
        <row r="56">
          <cell r="E56">
            <v>0.23146864253952529</v>
          </cell>
        </row>
        <row r="57">
          <cell r="E57">
            <v>3.1496776117177885</v>
          </cell>
        </row>
        <row r="58">
          <cell r="E58">
            <v>0.17578397726915398</v>
          </cell>
        </row>
        <row r="59">
          <cell r="E59">
            <v>0.28641173896085093</v>
          </cell>
        </row>
        <row r="60">
          <cell r="E60">
            <v>7.8840487377558333E-2</v>
          </cell>
        </row>
        <row r="61">
          <cell r="E61">
            <v>0.60556891515405864</v>
          </cell>
        </row>
        <row r="62">
          <cell r="E62">
            <v>1.6036342196424935</v>
          </cell>
        </row>
        <row r="63">
          <cell r="E63">
            <v>0.52372759488470044</v>
          </cell>
        </row>
        <row r="64">
          <cell r="E64">
            <v>1.0779848431093604</v>
          </cell>
        </row>
        <row r="65">
          <cell r="E65">
            <v>0</v>
          </cell>
        </row>
        <row r="66">
          <cell r="E66">
            <v>0.33199889563776919</v>
          </cell>
        </row>
        <row r="67">
          <cell r="E67">
            <v>3.3508867332228652E-3</v>
          </cell>
        </row>
        <row r="68">
          <cell r="E68">
            <v>1.3633798616766255</v>
          </cell>
        </row>
        <row r="69">
          <cell r="E69">
            <v>0.34956521739130436</v>
          </cell>
        </row>
        <row r="70">
          <cell r="E70">
            <v>0.61859397079777145</v>
          </cell>
        </row>
        <row r="71">
          <cell r="E71">
            <v>6.7007152043207063E-2</v>
          </cell>
        </row>
        <row r="72">
          <cell r="E72">
            <v>0.41155081198269666</v>
          </cell>
        </row>
        <row r="73">
          <cell r="E73">
            <v>0.21645782493310001</v>
          </cell>
        </row>
        <row r="74">
          <cell r="E74">
            <v>0.40597654479383538</v>
          </cell>
        </row>
        <row r="75">
          <cell r="E75">
            <v>0.19815214989312624</v>
          </cell>
        </row>
        <row r="76">
          <cell r="E76">
            <v>0.13918756106739016</v>
          </cell>
        </row>
        <row r="77">
          <cell r="E77">
            <v>0.32402204137758905</v>
          </cell>
        </row>
        <row r="78">
          <cell r="E78">
            <v>0</v>
          </cell>
        </row>
        <row r="79">
          <cell r="E79">
            <v>0.32844198803414559</v>
          </cell>
        </row>
        <row r="80">
          <cell r="E80">
            <v>0.14247023533039754</v>
          </cell>
        </row>
        <row r="81">
          <cell r="E81">
            <v>0.12371482357484191</v>
          </cell>
        </row>
        <row r="82">
          <cell r="E82">
            <v>0.26914232272981153</v>
          </cell>
        </row>
        <row r="83">
          <cell r="E83">
            <v>6.5514772970139145E-4</v>
          </cell>
        </row>
        <row r="84">
          <cell r="E84">
            <v>0</v>
          </cell>
        </row>
        <row r="85">
          <cell r="E85">
            <v>0.34011176822892464</v>
          </cell>
        </row>
        <row r="86">
          <cell r="E86">
            <v>5.2465192388391764E-2</v>
          </cell>
        </row>
        <row r="87">
          <cell r="E87">
            <v>6.2773294962541096E-2</v>
          </cell>
        </row>
        <row r="88">
          <cell r="E88">
            <v>0.51065304447136584</v>
          </cell>
        </row>
        <row r="89">
          <cell r="E89">
            <v>0.51908621139657796</v>
          </cell>
        </row>
        <row r="90">
          <cell r="E90">
            <v>1.0717329039722374</v>
          </cell>
        </row>
        <row r="91">
          <cell r="E91">
            <v>0.3344890410678481</v>
          </cell>
        </row>
        <row r="92">
          <cell r="E92">
            <v>0.35879470923219348</v>
          </cell>
        </row>
        <row r="93">
          <cell r="E93">
            <v>0.35595744670464841</v>
          </cell>
        </row>
        <row r="94">
          <cell r="E94">
            <v>0.59281009443694932</v>
          </cell>
        </row>
        <row r="95">
          <cell r="E95">
            <v>0.45388865484163082</v>
          </cell>
        </row>
      </sheetData>
      <sheetData sheetId="13"/>
      <sheetData sheetId="14"/>
      <sheetData sheetId="15"/>
      <sheetData sheetId="16"/>
      <sheetData sheetId="17">
        <row r="2">
          <cell r="C2">
            <v>0.13567415534535524</v>
          </cell>
          <cell r="D2">
            <v>0.32366631644655897</v>
          </cell>
        </row>
        <row r="3">
          <cell r="C3">
            <v>9.8725880826047718E-2</v>
          </cell>
          <cell r="D3">
            <v>0.29303163313140845</v>
          </cell>
        </row>
        <row r="4">
          <cell r="C4">
            <v>-0.11368810625736339</v>
          </cell>
          <cell r="D4">
            <v>1</v>
          </cell>
        </row>
        <row r="5">
          <cell r="C5">
            <v>0.13522490180674987</v>
          </cell>
          <cell r="D5">
            <v>0.45684103529761899</v>
          </cell>
        </row>
        <row r="6">
          <cell r="C6">
            <v>0.15677154224933043</v>
          </cell>
          <cell r="D6">
            <v>0.89450188203279402</v>
          </cell>
        </row>
        <row r="7">
          <cell r="C7">
            <v>7.0338780156085273E-2</v>
          </cell>
          <cell r="D7">
            <v>0.62860478761042526</v>
          </cell>
        </row>
        <row r="8">
          <cell r="C8">
            <v>0.11345074325185552</v>
          </cell>
          <cell r="D8">
            <v>0.71637656451703435</v>
          </cell>
        </row>
        <row r="9">
          <cell r="C9">
            <v>0.11799058812595946</v>
          </cell>
          <cell r="D9">
            <v>0.70892787374985855</v>
          </cell>
        </row>
        <row r="10">
          <cell r="C10">
            <v>5.2846235851230244E-2</v>
          </cell>
          <cell r="D10">
            <v>0.20996835147890014</v>
          </cell>
        </row>
        <row r="11">
          <cell r="C11">
            <v>0.31944669288621974</v>
          </cell>
          <cell r="D11">
            <v>0.43483412472632432</v>
          </cell>
        </row>
        <row r="12">
          <cell r="C12">
            <v>0.20758583832448124</v>
          </cell>
          <cell r="D12">
            <v>0.85638265899231625</v>
          </cell>
        </row>
        <row r="13">
          <cell r="C13">
            <v>0.13433666755237328</v>
          </cell>
          <cell r="D13">
            <v>0.71311859033392344</v>
          </cell>
        </row>
        <row r="14">
          <cell r="C14">
            <v>0.32728776839603557</v>
          </cell>
          <cell r="D14">
            <v>0.87046036123308856</v>
          </cell>
        </row>
        <row r="15">
          <cell r="C15">
            <v>0.12850428149482823</v>
          </cell>
          <cell r="D15">
            <v>0.71774428130028955</v>
          </cell>
        </row>
        <row r="16">
          <cell r="C16">
            <v>0.12137565446376083</v>
          </cell>
          <cell r="D16">
            <v>0.70949340916429215</v>
          </cell>
        </row>
        <row r="17">
          <cell r="C17">
            <v>0.34777022369023014</v>
          </cell>
          <cell r="D17">
            <v>0.72604714052457997</v>
          </cell>
        </row>
        <row r="18">
          <cell r="C18">
            <v>0.43436231081579907</v>
          </cell>
          <cell r="D18">
            <v>0.85393318106974025</v>
          </cell>
        </row>
        <row r="19">
          <cell r="C19">
            <v>0.11428570397103884</v>
          </cell>
          <cell r="D19">
            <v>0.59537524346720339</v>
          </cell>
        </row>
        <row r="20">
          <cell r="C20">
            <v>0.74083903025233333</v>
          </cell>
          <cell r="D20">
            <v>0.79566282208784089</v>
          </cell>
        </row>
        <row r="21">
          <cell r="C21">
            <v>0.12149230128546304</v>
          </cell>
          <cell r="D21">
            <v>6.417214723082787E-2</v>
          </cell>
        </row>
        <row r="22">
          <cell r="C22">
            <v>0.9626017835927464</v>
          </cell>
          <cell r="D22">
            <v>0.83052643347519561</v>
          </cell>
        </row>
        <row r="23">
          <cell r="C23">
            <v>0.18776605314361972</v>
          </cell>
          <cell r="D23">
            <v>0.67844347986871267</v>
          </cell>
        </row>
        <row r="24">
          <cell r="C24">
            <v>8.2496001271177635E-3</v>
          </cell>
          <cell r="D24">
            <v>-0.50677938946208667</v>
          </cell>
        </row>
        <row r="25">
          <cell r="C25">
            <v>6.7759078368331621E-3</v>
          </cell>
          <cell r="D25">
            <v>0.9994308074545688</v>
          </cell>
        </row>
        <row r="26">
          <cell r="C26">
            <v>0.24540189875584534</v>
          </cell>
          <cell r="D26">
            <v>0.48639919820513355</v>
          </cell>
        </row>
        <row r="27">
          <cell r="C27">
            <v>3.1900714568291952E-2</v>
          </cell>
          <cell r="D27">
            <v>0.82560741904793278</v>
          </cell>
        </row>
        <row r="28">
          <cell r="C28">
            <v>0.13203099340958588</v>
          </cell>
          <cell r="D28">
            <v>0.65539545366707364</v>
          </cell>
        </row>
        <row r="29">
          <cell r="C29">
            <v>1.2750302661478806E-2</v>
          </cell>
          <cell r="D29">
            <v>1</v>
          </cell>
        </row>
        <row r="30">
          <cell r="C30">
            <v>0.12417520019293474</v>
          </cell>
          <cell r="D30">
            <v>0.89391121783978178</v>
          </cell>
        </row>
        <row r="31">
          <cell r="C31">
            <v>7.4957882083190208E-2</v>
          </cell>
          <cell r="D31">
            <v>0.83114253703551011</v>
          </cell>
        </row>
        <row r="32">
          <cell r="C32">
            <v>1.1812232323271436E-2</v>
          </cell>
          <cell r="D32">
            <v>0.49579469960376499</v>
          </cell>
        </row>
        <row r="33">
          <cell r="C33">
            <v>0.16473874687290124</v>
          </cell>
          <cell r="D33">
            <v>0.53740945415522345</v>
          </cell>
        </row>
        <row r="34">
          <cell r="C34">
            <v>0.23648187908031001</v>
          </cell>
          <cell r="D34">
            <v>0.78971761087030201</v>
          </cell>
        </row>
        <row r="35">
          <cell r="C35">
            <v>0.48075065014765694</v>
          </cell>
          <cell r="D35">
            <v>0.86351266532783466</v>
          </cell>
        </row>
        <row r="36">
          <cell r="C36">
            <v>0.11538895815608002</v>
          </cell>
          <cell r="D36">
            <v>0.46220940655231058</v>
          </cell>
        </row>
        <row r="37">
          <cell r="C37">
            <v>0.1898419988361979</v>
          </cell>
          <cell r="D37">
            <v>0.56405483623465602</v>
          </cell>
        </row>
        <row r="38">
          <cell r="C38">
            <v>5.4464565475778479E-2</v>
          </cell>
          <cell r="D38">
            <v>0.31980298477889169</v>
          </cell>
        </row>
        <row r="39">
          <cell r="C39">
            <v>0.18266048315237854</v>
          </cell>
          <cell r="D39">
            <v>0.43152335391720931</v>
          </cell>
        </row>
        <row r="40">
          <cell r="C40">
            <v>7.091922967824961E-2</v>
          </cell>
          <cell r="D40">
            <v>0.5386858925638196</v>
          </cell>
        </row>
        <row r="41">
          <cell r="C41">
            <v>0.12337379962692853</v>
          </cell>
          <cell r="D41">
            <v>0.66957891984412332</v>
          </cell>
        </row>
        <row r="42">
          <cell r="C42">
            <v>-2.8789813310332304E-3</v>
          </cell>
          <cell r="D42">
            <v>0.99956717166817333</v>
          </cell>
        </row>
        <row r="43">
          <cell r="C43">
            <v>0.30747510708973141</v>
          </cell>
          <cell r="D43">
            <v>0.94551397500364209</v>
          </cell>
        </row>
        <row r="44">
          <cell r="C44">
            <v>0.49037665345444303</v>
          </cell>
          <cell r="D44">
            <v>0.86442779673026704</v>
          </cell>
        </row>
        <row r="45">
          <cell r="C45">
            <v>2.5319429359336565E-2</v>
          </cell>
          <cell r="D45">
            <v>0.50574674714188017</v>
          </cell>
        </row>
        <row r="46">
          <cell r="C46">
            <v>0.33178970303031108</v>
          </cell>
          <cell r="D46">
            <v>0.36305409361448449</v>
          </cell>
        </row>
        <row r="47">
          <cell r="C47">
            <v>0.17742326258322197</v>
          </cell>
          <cell r="D47">
            <v>0.71927138202810592</v>
          </cell>
        </row>
        <row r="48">
          <cell r="C48">
            <v>0.17429837416489147</v>
          </cell>
          <cell r="D48">
            <v>0.83149543611853227</v>
          </cell>
        </row>
        <row r="49">
          <cell r="C49">
            <v>5.5791645738122134E-2</v>
          </cell>
          <cell r="D49">
            <v>0.61757712188491143</v>
          </cell>
        </row>
        <row r="50">
          <cell r="C50">
            <v>5.7098673382014541E-2</v>
          </cell>
          <cell r="D50">
            <v>0.26680588005671935</v>
          </cell>
        </row>
        <row r="51">
          <cell r="C51">
            <v>0.17165541003222293</v>
          </cell>
          <cell r="D51">
            <v>0.57314490699058251</v>
          </cell>
        </row>
        <row r="52">
          <cell r="C52">
            <v>0.15486472220663997</v>
          </cell>
          <cell r="D52">
            <v>0.63292785311157895</v>
          </cell>
        </row>
        <row r="53">
          <cell r="C53">
            <v>0.21097592151322797</v>
          </cell>
          <cell r="D53">
            <v>0.37498840593672123</v>
          </cell>
        </row>
        <row r="54">
          <cell r="C54">
            <v>7.9602467166695279E-2</v>
          </cell>
          <cell r="D54">
            <v>0.17041827827447009</v>
          </cell>
        </row>
        <row r="55">
          <cell r="C55">
            <v>0.32415954257527113</v>
          </cell>
          <cell r="D55">
            <v>0.73643244705058464</v>
          </cell>
        </row>
        <row r="56">
          <cell r="C56">
            <v>0.47000099498595782</v>
          </cell>
          <cell r="D56">
            <v>0.76853135746047474</v>
          </cell>
        </row>
        <row r="57">
          <cell r="C57">
            <v>4.0932050446910083E-2</v>
          </cell>
          <cell r="D57">
            <v>-2.1496776117177885</v>
          </cell>
        </row>
        <row r="58">
          <cell r="C58">
            <v>0.30821046000842239</v>
          </cell>
          <cell r="D58">
            <v>0.82421602273084604</v>
          </cell>
        </row>
        <row r="59">
          <cell r="C59">
            <v>0.19745548981610928</v>
          </cell>
          <cell r="D59">
            <v>0.71358826103914907</v>
          </cell>
        </row>
        <row r="60">
          <cell r="C60">
            <v>0.46826521479713606</v>
          </cell>
          <cell r="D60">
            <v>0.92115951262244167</v>
          </cell>
        </row>
        <row r="61">
          <cell r="C61">
            <v>9.3898042779040264E-2</v>
          </cell>
          <cell r="D61">
            <v>0.39443108484594136</v>
          </cell>
        </row>
        <row r="62">
          <cell r="C62">
            <v>3.6607071626089407E-2</v>
          </cell>
          <cell r="D62">
            <v>-0.60363421964249353</v>
          </cell>
        </row>
        <row r="63">
          <cell r="C63">
            <v>5.1457490948492286E-2</v>
          </cell>
          <cell r="D63">
            <v>0.47627240511529956</v>
          </cell>
        </row>
        <row r="64">
          <cell r="C64">
            <v>8.8529626809054379E-2</v>
          </cell>
          <cell r="D64">
            <v>-7.798484310936038E-2</v>
          </cell>
        </row>
        <row r="65">
          <cell r="C65">
            <v>0.10514161885746096</v>
          </cell>
          <cell r="D65">
            <v>1</v>
          </cell>
        </row>
        <row r="66">
          <cell r="C66">
            <v>6.6811159787871804E-2</v>
          </cell>
          <cell r="D66">
            <v>0.66800110436223081</v>
          </cell>
        </row>
        <row r="67">
          <cell r="C67">
            <v>-3.5766856752091167E-2</v>
          </cell>
          <cell r="D67">
            <v>0.99664911326677719</v>
          </cell>
        </row>
        <row r="68">
          <cell r="C68">
            <v>3.9523433869521209E-2</v>
          </cell>
          <cell r="D68">
            <v>-0.3633798616766255</v>
          </cell>
        </row>
        <row r="69">
          <cell r="C69">
            <v>4.4625533566162202E-2</v>
          </cell>
          <cell r="D69">
            <v>0.65043478260869558</v>
          </cell>
        </row>
        <row r="70">
          <cell r="C70" t="str">
            <v>NA</v>
          </cell>
          <cell r="D70">
            <v>0.38140602920222855</v>
          </cell>
        </row>
        <row r="71">
          <cell r="C71">
            <v>0.43254080251611221</v>
          </cell>
          <cell r="D71">
            <v>0.93299284795679294</v>
          </cell>
        </row>
        <row r="72">
          <cell r="C72">
            <v>4.7726960627988493E-3</v>
          </cell>
          <cell r="D72">
            <v>0.58844918801730328</v>
          </cell>
        </row>
        <row r="73">
          <cell r="C73">
            <v>0.27374436051738033</v>
          </cell>
          <cell r="D73">
            <v>0.78354217506690005</v>
          </cell>
        </row>
        <row r="74">
          <cell r="C74">
            <v>0.18290105640630752</v>
          </cell>
          <cell r="D74">
            <v>0.59402345520616462</v>
          </cell>
        </row>
        <row r="75">
          <cell r="C75">
            <v>0.27975167006797569</v>
          </cell>
          <cell r="D75">
            <v>0.80184785010687376</v>
          </cell>
        </row>
        <row r="76">
          <cell r="C76">
            <v>2.5424242440325519E-2</v>
          </cell>
          <cell r="D76">
            <v>0.86081243893260984</v>
          </cell>
        </row>
        <row r="77">
          <cell r="C77">
            <v>0.24164994928738759</v>
          </cell>
          <cell r="D77">
            <v>0.67597795862241095</v>
          </cell>
        </row>
        <row r="78">
          <cell r="C78">
            <v>0.1980977052337177</v>
          </cell>
          <cell r="D78">
            <v>1</v>
          </cell>
        </row>
        <row r="79">
          <cell r="C79">
            <v>0.22766391058991867</v>
          </cell>
          <cell r="D79">
            <v>0.67155801196585441</v>
          </cell>
        </row>
        <row r="80">
          <cell r="C80">
            <v>0.46515933713298008</v>
          </cell>
          <cell r="D80">
            <v>0.85752976466960251</v>
          </cell>
        </row>
        <row r="81">
          <cell r="C81">
            <v>0.352900093688783</v>
          </cell>
          <cell r="D81">
            <v>0.87628517642515813</v>
          </cell>
        </row>
        <row r="82">
          <cell r="C82">
            <v>0.36283302620850871</v>
          </cell>
          <cell r="D82">
            <v>0.73085767727018847</v>
          </cell>
        </row>
        <row r="83">
          <cell r="C83">
            <v>0.22766341753018665</v>
          </cell>
          <cell r="D83">
            <v>0.99934485227029857</v>
          </cell>
        </row>
        <row r="84">
          <cell r="C84">
            <v>-0.15730842666696312</v>
          </cell>
          <cell r="D84">
            <v>1</v>
          </cell>
        </row>
        <row r="85">
          <cell r="C85">
            <v>0.19683264162210642</v>
          </cell>
          <cell r="D85">
            <v>0.65988823177107536</v>
          </cell>
        </row>
        <row r="86">
          <cell r="C86">
            <v>0.53748067941265398</v>
          </cell>
          <cell r="D86">
            <v>0.94753480761160824</v>
          </cell>
        </row>
        <row r="87">
          <cell r="C87">
            <v>2.9708054224260538E-2</v>
          </cell>
          <cell r="D87">
            <v>0.93722670503745886</v>
          </cell>
        </row>
        <row r="88">
          <cell r="C88">
            <v>0.20129140471295251</v>
          </cell>
          <cell r="D88">
            <v>0.48934695552863416</v>
          </cell>
        </row>
        <row r="89">
          <cell r="C89">
            <v>0.15757991803815463</v>
          </cell>
          <cell r="D89">
            <v>0.48091378860342204</v>
          </cell>
        </row>
        <row r="90">
          <cell r="C90" t="str">
            <v>NA</v>
          </cell>
          <cell r="D90">
            <v>-7.1732903972237416E-2</v>
          </cell>
        </row>
        <row r="91">
          <cell r="C91">
            <v>0.36781742659330763</v>
          </cell>
          <cell r="D91">
            <v>0.66551095893215195</v>
          </cell>
        </row>
        <row r="92">
          <cell r="C92">
            <v>0.33555328592204903</v>
          </cell>
          <cell r="D92">
            <v>0.64120529076780652</v>
          </cell>
        </row>
        <row r="93">
          <cell r="C93">
            <v>4.05361647492955E-2</v>
          </cell>
          <cell r="D93">
            <v>0.64404255329535154</v>
          </cell>
        </row>
        <row r="94">
          <cell r="C94">
            <v>0.11241118642718625</v>
          </cell>
          <cell r="D94">
            <v>0.40718990556305068</v>
          </cell>
        </row>
        <row r="95">
          <cell r="C95">
            <v>0.16474700015176275</v>
          </cell>
          <cell r="D95">
            <v>0.65314577826037024</v>
          </cell>
        </row>
      </sheetData>
      <sheetData sheetId="18">
        <row r="2">
          <cell r="D2">
            <v>0.55526669348402391</v>
          </cell>
        </row>
        <row r="3">
          <cell r="D3">
            <v>0.32747182434374533</v>
          </cell>
        </row>
        <row r="4">
          <cell r="D4">
            <v>2.0993404736810848</v>
          </cell>
        </row>
        <row r="5">
          <cell r="D5">
            <v>1.1025108153914758</v>
          </cell>
        </row>
        <row r="6">
          <cell r="D6">
            <v>0.89083027454938746</v>
          </cell>
        </row>
        <row r="7">
          <cell r="D7">
            <v>1.6270607086056388</v>
          </cell>
        </row>
        <row r="8">
          <cell r="D8">
            <v>-128.48607336966558</v>
          </cell>
        </row>
        <row r="9">
          <cell r="D9" t="str">
            <v>NA</v>
          </cell>
        </row>
        <row r="10">
          <cell r="D10">
            <v>0.5682188940381574</v>
          </cell>
        </row>
        <row r="11">
          <cell r="D11">
            <v>0.29140445421199807</v>
          </cell>
        </row>
        <row r="12">
          <cell r="D12">
            <v>2.1013859237709163</v>
          </cell>
        </row>
        <row r="13">
          <cell r="D13">
            <v>-106.71129131280301</v>
          </cell>
        </row>
        <row r="14">
          <cell r="D14">
            <v>0.72991700253868219</v>
          </cell>
        </row>
        <row r="15">
          <cell r="D15">
            <v>1.0203838316554499</v>
          </cell>
        </row>
        <row r="16">
          <cell r="D16">
            <v>1.5184488206219843E-2</v>
          </cell>
        </row>
        <row r="17">
          <cell r="D17">
            <v>0.58551539662885521</v>
          </cell>
        </row>
        <row r="18">
          <cell r="D18">
            <v>0.23180043531608446</v>
          </cell>
        </row>
        <row r="19">
          <cell r="D19">
            <v>0.9187162005119015</v>
          </cell>
        </row>
        <row r="20">
          <cell r="D20">
            <v>0.16330024899958975</v>
          </cell>
        </row>
        <row r="21">
          <cell r="D21">
            <v>0.30657294945631369</v>
          </cell>
        </row>
        <row r="22">
          <cell r="D22">
            <v>6.2749973873893805E-2</v>
          </cell>
        </row>
        <row r="23">
          <cell r="D23">
            <v>1.1390269734410299</v>
          </cell>
        </row>
        <row r="24">
          <cell r="D24">
            <v>1.7018968838721764</v>
          </cell>
        </row>
        <row r="25">
          <cell r="D25">
            <v>0.40999126936273844</v>
          </cell>
        </row>
        <row r="26">
          <cell r="D26">
            <v>0.23314422056482276</v>
          </cell>
        </row>
        <row r="27">
          <cell r="D27">
            <v>3.5636046330701983</v>
          </cell>
        </row>
        <row r="28">
          <cell r="D28">
            <v>2.7928575511304214</v>
          </cell>
        </row>
        <row r="29">
          <cell r="D29">
            <v>4.4829804695730449</v>
          </cell>
        </row>
        <row r="30">
          <cell r="D30">
            <v>2.2341279690386662</v>
          </cell>
        </row>
        <row r="31">
          <cell r="D31">
            <v>3.0078308821485669</v>
          </cell>
        </row>
        <row r="32">
          <cell r="D32">
            <v>4.0500248906133907E-2</v>
          </cell>
        </row>
        <row r="33">
          <cell r="D33">
            <v>1.1007779432771518</v>
          </cell>
        </row>
        <row r="34">
          <cell r="D34">
            <v>1.4678368468897955</v>
          </cell>
        </row>
        <row r="35">
          <cell r="D35">
            <v>0.21848170755579219</v>
          </cell>
        </row>
        <row r="36">
          <cell r="D36">
            <v>0.57543721311325657</v>
          </cell>
        </row>
        <row r="37">
          <cell r="D37">
            <v>1.2945984195977063</v>
          </cell>
        </row>
        <row r="38">
          <cell r="D38">
            <v>1.5065223416694009</v>
          </cell>
        </row>
        <row r="39">
          <cell r="D39">
            <v>1.5839659027786925</v>
          </cell>
        </row>
        <row r="40">
          <cell r="D40">
            <v>1.2930672956492639</v>
          </cell>
        </row>
        <row r="41">
          <cell r="D41">
            <v>0.30340227132321113</v>
          </cell>
        </row>
        <row r="42">
          <cell r="D42">
            <v>1.2967985907886859</v>
          </cell>
        </row>
        <row r="43">
          <cell r="D43">
            <v>0.69959467750769999</v>
          </cell>
        </row>
        <row r="44">
          <cell r="D44">
            <v>0.63442286965049366</v>
          </cell>
        </row>
        <row r="45">
          <cell r="D45">
            <v>2.5582638357878977</v>
          </cell>
        </row>
        <row r="46">
          <cell r="D46">
            <v>0.30086972700331699</v>
          </cell>
        </row>
        <row r="47">
          <cell r="D47">
            <v>0.21794407398303611</v>
          </cell>
        </row>
        <row r="48">
          <cell r="D48">
            <v>0.67908189916431683</v>
          </cell>
        </row>
        <row r="49">
          <cell r="D49">
            <v>6.7875330273915258E-3</v>
          </cell>
        </row>
        <row r="50">
          <cell r="D50">
            <v>0.4890913390928211</v>
          </cell>
        </row>
        <row r="51">
          <cell r="D51">
            <v>0.59864143010683313</v>
          </cell>
        </row>
        <row r="52">
          <cell r="D52">
            <v>1.4023558792324888</v>
          </cell>
        </row>
        <row r="53">
          <cell r="D53">
            <v>0.30254133855159898</v>
          </cell>
        </row>
        <row r="54">
          <cell r="D54">
            <v>2.0750554367424625</v>
          </cell>
        </row>
        <row r="55">
          <cell r="D55">
            <v>-0.10405303090005764</v>
          </cell>
        </row>
        <row r="56">
          <cell r="D56">
            <v>0.44233129168815011</v>
          </cell>
        </row>
        <row r="57">
          <cell r="D57">
            <v>0.67110751780546696</v>
          </cell>
        </row>
        <row r="58">
          <cell r="D58">
            <v>0.23846989683692524</v>
          </cell>
        </row>
        <row r="59">
          <cell r="D59">
            <v>0.86939175063028251</v>
          </cell>
        </row>
        <row r="60">
          <cell r="D60">
            <v>0.37226163421064296</v>
          </cell>
        </row>
        <row r="61">
          <cell r="D61">
            <v>1.4569117844566188</v>
          </cell>
        </row>
        <row r="62">
          <cell r="D62">
            <v>1.1648256717549319</v>
          </cell>
        </row>
        <row r="63">
          <cell r="D63">
            <v>1.2037354739181043</v>
          </cell>
        </row>
        <row r="64">
          <cell r="D64">
            <v>-0.3090305179736722</v>
          </cell>
        </row>
        <row r="65">
          <cell r="D65">
            <v>-0.52566876328210455</v>
          </cell>
        </row>
        <row r="66">
          <cell r="D66">
            <v>0.6677825293193983</v>
          </cell>
        </row>
        <row r="67">
          <cell r="D67" t="str">
            <v>NA</v>
          </cell>
        </row>
        <row r="68">
          <cell r="D68">
            <v>2.4253997212904026</v>
          </cell>
        </row>
        <row r="69">
          <cell r="D69">
            <v>5.9152910542786076E-2</v>
          </cell>
        </row>
        <row r="70">
          <cell r="D70">
            <v>0.45041519247016731</v>
          </cell>
        </row>
        <row r="71">
          <cell r="D71">
            <v>1.3390635636870629</v>
          </cell>
        </row>
        <row r="72">
          <cell r="D72">
            <v>0.41726625965420955</v>
          </cell>
        </row>
        <row r="73">
          <cell r="D73">
            <v>1.3260349839685297</v>
          </cell>
        </row>
        <row r="74">
          <cell r="D74">
            <v>0.98470208721765384</v>
          </cell>
        </row>
        <row r="75">
          <cell r="D75">
            <v>0.42410606599951739</v>
          </cell>
        </row>
        <row r="76">
          <cell r="D76">
            <v>7.0941697703296684</v>
          </cell>
        </row>
        <row r="77">
          <cell r="D77">
            <v>0.88986707734601544</v>
          </cell>
        </row>
        <row r="78">
          <cell r="D78">
            <v>1.0500968085452227</v>
          </cell>
        </row>
        <row r="79">
          <cell r="D79">
            <v>0.68561846994152498</v>
          </cell>
        </row>
        <row r="80">
          <cell r="D80">
            <v>1.0589803717525832</v>
          </cell>
        </row>
        <row r="81">
          <cell r="D81">
            <v>5.9835331655272899E-3</v>
          </cell>
        </row>
        <row r="82">
          <cell r="D82">
            <v>0.48818130917890407</v>
          </cell>
        </row>
        <row r="83">
          <cell r="D83">
            <v>0.67179783899472612</v>
          </cell>
        </row>
        <row r="84">
          <cell r="D84" t="str">
            <v>NA</v>
          </cell>
        </row>
        <row r="85">
          <cell r="D85">
            <v>1.3763945807748532</v>
          </cell>
        </row>
        <row r="86">
          <cell r="D86">
            <v>0.48702789906679572</v>
          </cell>
        </row>
        <row r="87">
          <cell r="D87">
            <v>0.62186778246157948</v>
          </cell>
        </row>
        <row r="88">
          <cell r="D88">
            <v>0.49937335390514059</v>
          </cell>
        </row>
        <row r="89">
          <cell r="D89">
            <v>0.36159994195800516</v>
          </cell>
        </row>
        <row r="90">
          <cell r="D90">
            <v>7.8906399841948902E-2</v>
          </cell>
        </row>
        <row r="91">
          <cell r="D91">
            <v>0.50479787757270056</v>
          </cell>
        </row>
        <row r="92">
          <cell r="D92">
            <v>0.18857241896280746</v>
          </cell>
        </row>
        <row r="93">
          <cell r="D93">
            <v>1.9266562984152134</v>
          </cell>
        </row>
        <row r="94">
          <cell r="D94">
            <v>1.5034787791370685</v>
          </cell>
        </row>
        <row r="95">
          <cell r="D95">
            <v>1.7868875303324088</v>
          </cell>
        </row>
      </sheetData>
      <sheetData sheetId="19"/>
      <sheetData sheetId="20">
        <row r="3">
          <cell r="D3">
            <v>3.9922558139534867E-2</v>
          </cell>
        </row>
        <row r="4">
          <cell r="D4">
            <v>2.2412499999999995E-2</v>
          </cell>
        </row>
        <row r="5">
          <cell r="D5">
            <v>5.8356956521739133E-2</v>
          </cell>
        </row>
        <row r="6">
          <cell r="D6">
            <v>0.28059499999999998</v>
          </cell>
        </row>
        <row r="7">
          <cell r="D7">
            <v>7.0743333333333325E-2</v>
          </cell>
        </row>
        <row r="8">
          <cell r="D8">
            <v>1.9400000000000001E-2</v>
          </cell>
        </row>
        <row r="9">
          <cell r="D9">
            <v>0.11019711409395982</v>
          </cell>
        </row>
        <row r="10">
          <cell r="D10">
            <v>0.12543749999999998</v>
          </cell>
        </row>
        <row r="11">
          <cell r="D11">
            <v>0.15048545454545456</v>
          </cell>
        </row>
        <row r="12">
          <cell r="D12">
            <v>0.19544111111111115</v>
          </cell>
        </row>
        <row r="13">
          <cell r="D13">
            <v>0.14228750000000001</v>
          </cell>
        </row>
        <row r="14">
          <cell r="D14">
            <v>0.10597500000000004</v>
          </cell>
        </row>
        <row r="15">
          <cell r="D15">
            <v>8.4642800000000004E-2</v>
          </cell>
        </row>
        <row r="16">
          <cell r="D16">
            <v>0.20048888888888888</v>
          </cell>
        </row>
        <row r="17">
          <cell r="D17">
            <v>0.2702</v>
          </cell>
        </row>
        <row r="18">
          <cell r="D18">
            <v>1.7524999999999995E-2</v>
          </cell>
        </row>
        <row r="19">
          <cell r="D19">
            <v>9.4822448979591842E-2</v>
          </cell>
        </row>
        <row r="20">
          <cell r="D20">
            <v>-3.7148999999999988E-2</v>
          </cell>
        </row>
        <row r="21">
          <cell r="D21">
            <v>0.10479307692307695</v>
          </cell>
        </row>
        <row r="22">
          <cell r="D22">
            <v>0.16357148148148148</v>
          </cell>
        </row>
        <row r="23">
          <cell r="D23">
            <v>5.0167812500000013E-2</v>
          </cell>
        </row>
        <row r="24">
          <cell r="D24">
            <v>7.6920000000000002E-2</v>
          </cell>
        </row>
        <row r="25">
          <cell r="D25">
            <v>0.27230353658536566</v>
          </cell>
        </row>
        <row r="26">
          <cell r="D26">
            <v>0.42345633802816912</v>
          </cell>
        </row>
        <row r="27">
          <cell r="D27">
            <v>4.1291875000000006E-2</v>
          </cell>
        </row>
        <row r="28">
          <cell r="D28">
            <v>0.13897499999999999</v>
          </cell>
        </row>
        <row r="29">
          <cell r="D29">
            <v>-4.7299999999999972E-3</v>
          </cell>
        </row>
        <row r="30">
          <cell r="D30">
            <v>0.106349294117647</v>
          </cell>
        </row>
        <row r="31">
          <cell r="D31">
            <v>0.12138344827586202</v>
          </cell>
        </row>
        <row r="32">
          <cell r="D32">
            <v>0.28593124999999997</v>
          </cell>
        </row>
        <row r="33">
          <cell r="D33">
            <v>0.10134039999999998</v>
          </cell>
        </row>
        <row r="34">
          <cell r="D34">
            <v>0.17570944444444442</v>
          </cell>
        </row>
        <row r="35">
          <cell r="D35">
            <v>0.1044040579710145</v>
          </cell>
        </row>
        <row r="36">
          <cell r="D36">
            <v>0.25210224489795913</v>
          </cell>
        </row>
        <row r="37">
          <cell r="D37">
            <v>9.8360000000000003E-2</v>
          </cell>
        </row>
        <row r="38">
          <cell r="D38">
            <v>0.14448380952380954</v>
          </cell>
        </row>
        <row r="39">
          <cell r="D39">
            <v>-0.14713666666666667</v>
          </cell>
        </row>
        <row r="40">
          <cell r="D40">
            <v>0.19900759398496237</v>
          </cell>
        </row>
        <row r="41">
          <cell r="D41">
            <v>0.20156749999999996</v>
          </cell>
        </row>
        <row r="42">
          <cell r="D42">
            <v>0.20452035087719289</v>
          </cell>
        </row>
        <row r="43">
          <cell r="D43">
            <v>0.15822272727272732</v>
          </cell>
        </row>
        <row r="44">
          <cell r="D44">
            <v>1.5967368421052629E-2</v>
          </cell>
        </row>
        <row r="45">
          <cell r="D45">
            <v>7.5841891891891888E-2</v>
          </cell>
        </row>
        <row r="46">
          <cell r="D46">
            <v>0.11551042553191491</v>
          </cell>
        </row>
        <row r="47">
          <cell r="D47">
            <v>0.11055135135135132</v>
          </cell>
        </row>
        <row r="48">
          <cell r="D48">
            <v>6.9009090909090909E-2</v>
          </cell>
        </row>
        <row r="49">
          <cell r="D49">
            <v>8.2870000000000013E-2</v>
          </cell>
        </row>
        <row r="50">
          <cell r="D50">
            <v>3.8176363636363633E-2</v>
          </cell>
        </row>
        <row r="51">
          <cell r="D51">
            <v>0.10789090909090909</v>
          </cell>
        </row>
        <row r="52">
          <cell r="D52">
            <v>8.5045652173913022E-2</v>
          </cell>
        </row>
        <row r="53">
          <cell r="D53">
            <v>5.8830769230769242E-2</v>
          </cell>
        </row>
        <row r="54">
          <cell r="D54">
            <v>0.15791928571428571</v>
          </cell>
        </row>
        <row r="55">
          <cell r="D55">
            <v>0.12122499999999999</v>
          </cell>
        </row>
        <row r="56">
          <cell r="D56">
            <v>0.2956583720930232</v>
          </cell>
        </row>
        <row r="57">
          <cell r="D57">
            <v>0.21857272727272728</v>
          </cell>
        </row>
        <row r="58">
          <cell r="D58">
            <v>7.7213384615384614E-2</v>
          </cell>
        </row>
        <row r="59">
          <cell r="D59">
            <v>5.9018421052631581E-2</v>
          </cell>
        </row>
        <row r="60">
          <cell r="D60">
            <v>6.9949999999999998E-2</v>
          </cell>
        </row>
        <row r="61">
          <cell r="D61">
            <v>6.4126904761904746E-2</v>
          </cell>
        </row>
        <row r="62">
          <cell r="D62">
            <v>3.7385714285714321E-2</v>
          </cell>
        </row>
        <row r="63">
          <cell r="D63">
            <v>3.3178571428571425E-2</v>
          </cell>
        </row>
        <row r="64">
          <cell r="D64">
            <v>9.5720324324324327E-2</v>
          </cell>
        </row>
        <row r="65">
          <cell r="D65">
            <v>0.10161666666666665</v>
          </cell>
        </row>
        <row r="66">
          <cell r="D66">
            <v>8.7419999999999998E-2</v>
          </cell>
        </row>
        <row r="67">
          <cell r="D67">
            <v>0.16003758620689656</v>
          </cell>
        </row>
        <row r="68">
          <cell r="D68">
            <v>7.7886923076923062E-2</v>
          </cell>
        </row>
        <row r="69">
          <cell r="D69">
            <v>5.6299999999999996E-2</v>
          </cell>
        </row>
        <row r="70">
          <cell r="D70">
            <v>6.2767619047619044E-2</v>
          </cell>
        </row>
        <row r="71">
          <cell r="D71">
            <v>0.17119444444444448</v>
          </cell>
        </row>
        <row r="72">
          <cell r="D72">
            <v>0.13023333333333334</v>
          </cell>
        </row>
        <row r="73">
          <cell r="D73">
            <v>7.3269285714285717E-2</v>
          </cell>
        </row>
        <row r="74">
          <cell r="D74">
            <v>4.3181538461538473E-2</v>
          </cell>
        </row>
        <row r="75">
          <cell r="D75">
            <v>4.9611111111111106E-2</v>
          </cell>
        </row>
        <row r="76">
          <cell r="D76">
            <v>0.20712521739130429</v>
          </cell>
        </row>
        <row r="77">
          <cell r="D77">
            <v>0.13322980769230772</v>
          </cell>
        </row>
        <row r="78">
          <cell r="D78">
            <v>0.12423333333333333</v>
          </cell>
        </row>
        <row r="79">
          <cell r="D79">
            <v>8.8798913043478242E-2</v>
          </cell>
        </row>
        <row r="80">
          <cell r="D80">
            <v>0.15696923076923081</v>
          </cell>
        </row>
        <row r="81">
          <cell r="D81">
            <v>0.15536666666666668</v>
          </cell>
        </row>
        <row r="82">
          <cell r="D82">
            <v>0.11900000000000001</v>
          </cell>
        </row>
        <row r="83">
          <cell r="D83">
            <v>0.30379758620689651</v>
          </cell>
        </row>
        <row r="84">
          <cell r="D84">
            <v>0.25942999999999999</v>
          </cell>
        </row>
        <row r="85">
          <cell r="D85">
            <v>0.201011923076923</v>
          </cell>
        </row>
        <row r="86">
          <cell r="D86">
            <v>0.1520936</v>
          </cell>
        </row>
        <row r="87">
          <cell r="D87">
            <v>0.1849777777777778</v>
          </cell>
        </row>
        <row r="88">
          <cell r="D88">
            <v>3.5115849056603768E-2</v>
          </cell>
        </row>
        <row r="89">
          <cell r="D89">
            <v>0.1681304347826087</v>
          </cell>
        </row>
        <row r="90">
          <cell r="D90">
            <v>5.765E-2</v>
          </cell>
        </row>
        <row r="91">
          <cell r="D91">
            <v>0.14991818181818178</v>
          </cell>
        </row>
        <row r="92">
          <cell r="D92">
            <v>3.783333333333333E-2</v>
          </cell>
        </row>
        <row r="93">
          <cell r="D93">
            <v>0.14159818181818185</v>
          </cell>
        </row>
        <row r="94">
          <cell r="D94">
            <v>4.0473333333333326E-2</v>
          </cell>
        </row>
        <row r="95">
          <cell r="D95">
            <v>0.14351818181818179</v>
          </cell>
        </row>
      </sheetData>
      <sheetData sheetId="21"/>
      <sheetData sheetId="22"/>
      <sheetData sheetId="23"/>
      <sheetData sheetId="24">
        <row r="3">
          <cell r="F3">
            <v>0.10617104930138777</v>
          </cell>
          <cell r="J3">
            <v>0.11135468081206297</v>
          </cell>
        </row>
        <row r="4">
          <cell r="F4">
            <v>8.6354038327109944E-2</v>
          </cell>
          <cell r="J4">
            <v>8.9215313858418674E-2</v>
          </cell>
        </row>
        <row r="5">
          <cell r="F5">
            <v>2.1124546744911411E-2</v>
          </cell>
          <cell r="J5">
            <v>2.1383591548608489E-2</v>
          </cell>
        </row>
        <row r="6">
          <cell r="F6">
            <v>0.10161425283086532</v>
          </cell>
          <cell r="J6">
            <v>0.11113035634210841</v>
          </cell>
        </row>
        <row r="7">
          <cell r="F7">
            <v>6.4325959106650246E-2</v>
          </cell>
          <cell r="J7">
            <v>7.02992355351022E-2</v>
          </cell>
        </row>
        <row r="8">
          <cell r="F8">
            <v>5.0643543200864859E-2</v>
          </cell>
          <cell r="J8">
            <v>5.6777561885897401E-2</v>
          </cell>
        </row>
        <row r="9">
          <cell r="F9">
            <v>0</v>
          </cell>
          <cell r="J9">
            <v>9.9439502719975929E-4</v>
          </cell>
        </row>
        <row r="10">
          <cell r="F10">
            <v>2.6926335147713589E-8</v>
          </cell>
          <cell r="J10">
            <v>-9.6707771559149567E-4</v>
          </cell>
        </row>
        <row r="11">
          <cell r="F11">
            <v>0.20062785390172486</v>
          </cell>
          <cell r="J11">
            <v>0.20171280627414753</v>
          </cell>
        </row>
        <row r="12">
          <cell r="F12">
            <v>0.19036999167153545</v>
          </cell>
          <cell r="J12">
            <v>0.1914400730665588</v>
          </cell>
        </row>
        <row r="13">
          <cell r="F13">
            <v>0.14575123466837039</v>
          </cell>
          <cell r="J13">
            <v>0.14746210696281761</v>
          </cell>
        </row>
        <row r="14">
          <cell r="F14">
            <v>4.0896492810984023E-3</v>
          </cell>
          <cell r="J14">
            <v>2.6196985508719333E-3</v>
          </cell>
        </row>
        <row r="15">
          <cell r="F15">
            <v>0.13807573680826582</v>
          </cell>
          <cell r="J15">
            <v>0.13998849891511717</v>
          </cell>
        </row>
        <row r="16">
          <cell r="F16">
            <v>9.0283859810487671E-2</v>
          </cell>
          <cell r="J16">
            <v>9.4231210499158974E-2</v>
          </cell>
        </row>
        <row r="17">
          <cell r="F17">
            <v>0.19895661889285571</v>
          </cell>
          <cell r="J17">
            <v>0.19527628887738516</v>
          </cell>
        </row>
        <row r="18">
          <cell r="F18">
            <v>0.13053391047408461</v>
          </cell>
          <cell r="J18">
            <v>0.13148514278842838</v>
          </cell>
        </row>
        <row r="19">
          <cell r="F19">
            <v>0.13516371228768437</v>
          </cell>
          <cell r="J19">
            <v>0.13629282750850893</v>
          </cell>
        </row>
        <row r="20">
          <cell r="F20">
            <v>0.14620994370453144</v>
          </cell>
          <cell r="J20">
            <v>0.15299911402623009</v>
          </cell>
        </row>
        <row r="21">
          <cell r="F21">
            <v>0.22154519636476394</v>
          </cell>
          <cell r="J21">
            <v>0.2233108579995417</v>
          </cell>
        </row>
        <row r="22">
          <cell r="F22">
            <v>6.5724841411889792E-2</v>
          </cell>
          <cell r="J22">
            <v>6.9547703311741663E-2</v>
          </cell>
        </row>
        <row r="23">
          <cell r="F23">
            <v>0.21409567860908393</v>
          </cell>
          <cell r="J23">
            <v>0.22026534167026365</v>
          </cell>
        </row>
        <row r="24">
          <cell r="F24">
            <v>0.1113211314713254</v>
          </cell>
          <cell r="J24">
            <v>0.11439331049245301</v>
          </cell>
        </row>
        <row r="25">
          <cell r="F25">
            <v>3.4418541141436297E-2</v>
          </cell>
          <cell r="J25">
            <v>3.6232783350473828E-2</v>
          </cell>
        </row>
        <row r="26">
          <cell r="F26">
            <v>0.12018971566330637</v>
          </cell>
          <cell r="J26">
            <v>0.142616457040632</v>
          </cell>
        </row>
        <row r="27">
          <cell r="F27">
            <v>0.27387480126192115</v>
          </cell>
          <cell r="J27">
            <v>0.26627225481310235</v>
          </cell>
        </row>
        <row r="28">
          <cell r="F28">
            <v>5.2763116719378576E-2</v>
          </cell>
          <cell r="J28">
            <v>5.8289255738509536E-2</v>
          </cell>
        </row>
        <row r="29">
          <cell r="F29">
            <v>9.9667734703206542E-2</v>
          </cell>
          <cell r="J29">
            <v>0.10772663000105302</v>
          </cell>
        </row>
        <row r="30">
          <cell r="F30">
            <v>1.8532970035645514E-2</v>
          </cell>
          <cell r="J30">
            <v>2.5394437421319454E-2</v>
          </cell>
        </row>
        <row r="31">
          <cell r="F31">
            <v>9.7360600820495899E-2</v>
          </cell>
          <cell r="J31">
            <v>0.10170714884999767</v>
          </cell>
        </row>
        <row r="32">
          <cell r="F32">
            <v>4.4222349087226172E-2</v>
          </cell>
          <cell r="J32">
            <v>4.6937601486130173E-2</v>
          </cell>
        </row>
        <row r="33">
          <cell r="F33">
            <v>7.5124581884332159E-2</v>
          </cell>
          <cell r="J33">
            <v>7.927768866245001E-2</v>
          </cell>
        </row>
        <row r="34">
          <cell r="F34">
            <v>0.12594448291110921</v>
          </cell>
          <cell r="J34">
            <v>0.12847422740055831</v>
          </cell>
        </row>
        <row r="35">
          <cell r="F35">
            <v>7.6215907232046409E-2</v>
          </cell>
          <cell r="J35">
            <v>7.9114554996450856E-2</v>
          </cell>
        </row>
        <row r="36">
          <cell r="F36">
            <v>0.1588822815855376</v>
          </cell>
          <cell r="J36">
            <v>0.16180683625994385</v>
          </cell>
        </row>
        <row r="37">
          <cell r="F37">
            <v>0.11768965472306084</v>
          </cell>
          <cell r="J37">
            <v>0.11955369864953631</v>
          </cell>
        </row>
        <row r="38">
          <cell r="F38">
            <v>2.102412449953486E-2</v>
          </cell>
          <cell r="J38">
            <v>2.0972795580930102E-2</v>
          </cell>
        </row>
        <row r="39">
          <cell r="F39">
            <v>7.6593631254869204E-2</v>
          </cell>
          <cell r="J39">
            <v>7.956088078382309E-2</v>
          </cell>
        </row>
        <row r="40">
          <cell r="F40">
            <v>0.260956619525612</v>
          </cell>
          <cell r="J40">
            <v>0.24440548669537576</v>
          </cell>
        </row>
        <row r="41">
          <cell r="F41">
            <v>0.15015238491328653</v>
          </cell>
          <cell r="J41">
            <v>0.15917088171556376</v>
          </cell>
        </row>
        <row r="42">
          <cell r="F42">
            <v>4.0715257598896333E-2</v>
          </cell>
          <cell r="J42">
            <v>4.0133361243225418E-2</v>
          </cell>
        </row>
        <row r="43">
          <cell r="F43">
            <v>0.16931545144392471</v>
          </cell>
          <cell r="J43">
            <v>0.17588409101918592</v>
          </cell>
        </row>
        <row r="44">
          <cell r="F44">
            <v>0.18763159239110155</v>
          </cell>
          <cell r="J44">
            <v>0.18794668320617053</v>
          </cell>
        </row>
        <row r="45">
          <cell r="F45">
            <v>0.11615164232145252</v>
          </cell>
          <cell r="J45">
            <v>0.11620573950103597</v>
          </cell>
        </row>
        <row r="46">
          <cell r="F46">
            <v>7.2491135569895698E-2</v>
          </cell>
          <cell r="J46">
            <v>3.9542921090355107E-2</v>
          </cell>
        </row>
        <row r="47">
          <cell r="F47">
            <v>0.16990919421137413</v>
          </cell>
          <cell r="J47">
            <v>0.17128481786522984</v>
          </cell>
        </row>
        <row r="48">
          <cell r="F48">
            <v>0.24023393261357548</v>
          </cell>
          <cell r="J48">
            <v>0.24732602294106956</v>
          </cell>
        </row>
        <row r="49">
          <cell r="F49">
            <v>0.21821797164749521</v>
          </cell>
          <cell r="J49">
            <v>0.21860829295850032</v>
          </cell>
        </row>
        <row r="50">
          <cell r="F50">
            <v>8.3407367312781547E-2</v>
          </cell>
          <cell r="J50">
            <v>8.3911710257224437E-2</v>
          </cell>
        </row>
        <row r="51">
          <cell r="F51">
            <v>6.4095379083086101E-2</v>
          </cell>
          <cell r="J51">
            <v>6.4923595108991594E-2</v>
          </cell>
        </row>
        <row r="52">
          <cell r="F52">
            <v>0.18362934886099308</v>
          </cell>
          <cell r="J52">
            <v>0.18192262402136841</v>
          </cell>
        </row>
        <row r="53">
          <cell r="F53">
            <v>0.13797099354120126</v>
          </cell>
          <cell r="J53">
            <v>0.14150866099187387</v>
          </cell>
        </row>
        <row r="54">
          <cell r="F54">
            <v>0.22890522631901319</v>
          </cell>
          <cell r="J54">
            <v>0.22858605943486224</v>
          </cell>
        </row>
        <row r="55">
          <cell r="F55">
            <v>5.9437639824243077E-2</v>
          </cell>
          <cell r="J55">
            <v>6.3433880163009132E-2</v>
          </cell>
        </row>
        <row r="56">
          <cell r="F56">
            <v>0.17323216393519394</v>
          </cell>
          <cell r="J56">
            <v>0.17441627220965225</v>
          </cell>
        </row>
        <row r="57">
          <cell r="F57">
            <v>0.35545174432146454</v>
          </cell>
          <cell r="J57">
            <v>0.35679263203593281</v>
          </cell>
        </row>
        <row r="58">
          <cell r="F58">
            <v>0.10554569736383697</v>
          </cell>
          <cell r="J58">
            <v>0.10823727370000472</v>
          </cell>
        </row>
        <row r="59">
          <cell r="F59">
            <v>7.2615491026189222E-2</v>
          </cell>
          <cell r="J59">
            <v>7.374653437423348E-2</v>
          </cell>
        </row>
        <row r="60">
          <cell r="F60">
            <v>9.4326190090127077E-2</v>
          </cell>
          <cell r="J60">
            <v>9.6302912918982811E-2</v>
          </cell>
        </row>
        <row r="61">
          <cell r="F61">
            <v>0.18473924668549113</v>
          </cell>
          <cell r="J61">
            <v>0.18593819979693185</v>
          </cell>
        </row>
        <row r="62">
          <cell r="F62">
            <v>0.15573872218414844</v>
          </cell>
          <cell r="J62">
            <v>0.1568331369296484</v>
          </cell>
        </row>
        <row r="63">
          <cell r="F63">
            <v>0.10026540707071753</v>
          </cell>
          <cell r="J63">
            <v>0.10498432937504064</v>
          </cell>
        </row>
        <row r="64">
          <cell r="F64">
            <v>7.7287873141753158E-2</v>
          </cell>
          <cell r="J64">
            <v>7.8448776546115331E-2</v>
          </cell>
        </row>
        <row r="65">
          <cell r="F65">
            <v>0.25462046773995528</v>
          </cell>
          <cell r="J65">
            <v>0.23203055634695816</v>
          </cell>
        </row>
        <row r="66">
          <cell r="F66">
            <v>0.18643282544436918</v>
          </cell>
          <cell r="J66">
            <v>0.17482898999177635</v>
          </cell>
        </row>
        <row r="67">
          <cell r="F67">
            <v>0.18574177746675996</v>
          </cell>
          <cell r="J67">
            <v>0.18604180906971937</v>
          </cell>
        </row>
        <row r="68">
          <cell r="F68">
            <v>1.1685762595962912E-2</v>
          </cell>
          <cell r="J68">
            <v>7.1283603499213786E-3</v>
          </cell>
        </row>
        <row r="69">
          <cell r="F69">
            <v>9.1872618065840059E-2</v>
          </cell>
          <cell r="J69">
            <v>8.5155250515097439E-2</v>
          </cell>
        </row>
        <row r="70">
          <cell r="F70">
            <v>4.6484423100603377E-2</v>
          </cell>
          <cell r="J70">
            <v>4.6411946324159792E-2</v>
          </cell>
        </row>
        <row r="71">
          <cell r="F71">
            <v>0.15419795499898792</v>
          </cell>
          <cell r="J71">
            <v>0.12802472049949576</v>
          </cell>
        </row>
        <row r="72">
          <cell r="F72">
            <v>6.1927720578008112E-2</v>
          </cell>
          <cell r="J72">
            <v>5.7364970955562075E-2</v>
          </cell>
        </row>
        <row r="73">
          <cell r="F73">
            <v>0.13849542000702966</v>
          </cell>
          <cell r="J73">
            <v>0.13811055980817999</v>
          </cell>
        </row>
        <row r="74">
          <cell r="F74">
            <v>0.11662138900914724</v>
          </cell>
          <cell r="J74">
            <v>0.11913571399654554</v>
          </cell>
        </row>
        <row r="75">
          <cell r="F75">
            <v>4.3490132696043217E-2</v>
          </cell>
          <cell r="J75">
            <v>4.1215232930581755E-2</v>
          </cell>
        </row>
        <row r="76">
          <cell r="F76">
            <v>3.3229364367785945E-2</v>
          </cell>
          <cell r="J76">
            <v>2.9192633781895124E-2</v>
          </cell>
        </row>
        <row r="77">
          <cell r="F77">
            <v>2.3028824906177303E-2</v>
          </cell>
          <cell r="J77">
            <v>3.8689183338772491E-2</v>
          </cell>
        </row>
        <row r="78">
          <cell r="F78">
            <v>5.4269454417329027E-2</v>
          </cell>
          <cell r="J78">
            <v>5.7406007478131293E-2</v>
          </cell>
        </row>
        <row r="79">
          <cell r="F79">
            <v>5.5477892133474836E-2</v>
          </cell>
          <cell r="J79">
            <v>6.0430872618297028E-2</v>
          </cell>
        </row>
        <row r="80">
          <cell r="F80">
            <v>0.25438540035080681</v>
          </cell>
          <cell r="J80">
            <v>0.27728175935892962</v>
          </cell>
        </row>
        <row r="81">
          <cell r="F81">
            <v>0.27299636853201725</v>
          </cell>
          <cell r="J81">
            <v>0.28261961491576909</v>
          </cell>
        </row>
        <row r="82">
          <cell r="F82">
            <v>0.25504298331125996</v>
          </cell>
          <cell r="J82">
            <v>0.2633054493508078</v>
          </cell>
        </row>
        <row r="83">
          <cell r="F83">
            <v>0.12855202477384006</v>
          </cell>
          <cell r="J83">
            <v>0.12841863962857086</v>
          </cell>
        </row>
        <row r="84">
          <cell r="F84">
            <v>0.25914280028922959</v>
          </cell>
          <cell r="J84">
            <v>0.28970111829722173</v>
          </cell>
        </row>
        <row r="85">
          <cell r="F85">
            <v>-5.8531732843739352E-2</v>
          </cell>
          <cell r="J85">
            <v>-1.670941277525544E-2</v>
          </cell>
        </row>
        <row r="86">
          <cell r="F86">
            <v>0.21806980176649746</v>
          </cell>
          <cell r="J86">
            <v>0.24169896674237901</v>
          </cell>
        </row>
        <row r="87">
          <cell r="F87">
            <v>0.19837279405275304</v>
          </cell>
          <cell r="J87">
            <v>0.19890523188577286</v>
          </cell>
        </row>
        <row r="88">
          <cell r="F88">
            <v>0.14045963573882486</v>
          </cell>
          <cell r="J88">
            <v>0.1227109614976522</v>
          </cell>
        </row>
        <row r="89">
          <cell r="F89">
            <v>0.18340619780161901</v>
          </cell>
          <cell r="J89">
            <v>0.19082942960445631</v>
          </cell>
        </row>
        <row r="90">
          <cell r="F90">
            <v>0.19983455140225229</v>
          </cell>
          <cell r="J90">
            <v>0.20007496687469906</v>
          </cell>
        </row>
        <row r="91">
          <cell r="F91">
            <v>0.43764657386660305</v>
          </cell>
          <cell r="J91">
            <v>0.44061190099685843</v>
          </cell>
        </row>
        <row r="92">
          <cell r="F92">
            <v>9.3520310959021982E-2</v>
          </cell>
          <cell r="J92">
            <v>9.3773219525382645E-2</v>
          </cell>
        </row>
        <row r="93">
          <cell r="F93">
            <v>0.40063130015646781</v>
          </cell>
          <cell r="J93">
            <v>0.39858198723850696</v>
          </cell>
        </row>
        <row r="94">
          <cell r="F94">
            <v>8.9289086406886917E-2</v>
          </cell>
          <cell r="J94">
            <v>9.5020379305350858E-2</v>
          </cell>
        </row>
        <row r="95">
          <cell r="F95">
            <v>0.18191380915780603</v>
          </cell>
          <cell r="J95">
            <v>0.18013952427816951</v>
          </cell>
        </row>
        <row r="96">
          <cell r="F96">
            <v>0.29510813036713346</v>
          </cell>
          <cell r="J96">
            <v>0.2936978061206455</v>
          </cell>
        </row>
      </sheetData>
      <sheetData sheetId="25"/>
      <sheetData sheetId="26"/>
      <sheetData sheetId="27">
        <row r="7">
          <cell r="C7">
            <v>0.52722114455333013</v>
          </cell>
        </row>
        <row r="8">
          <cell r="C8">
            <v>0.3755554495377183</v>
          </cell>
        </row>
        <row r="9">
          <cell r="C9">
            <v>0.37727498727802966</v>
          </cell>
        </row>
        <row r="10">
          <cell r="C10">
            <v>0.38508746928890447</v>
          </cell>
        </row>
        <row r="11">
          <cell r="C11">
            <v>0.52614124875248369</v>
          </cell>
        </row>
        <row r="12">
          <cell r="C12">
            <v>0.39519394771296495</v>
          </cell>
        </row>
        <row r="13">
          <cell r="C13">
            <v>0.19594323414619666</v>
          </cell>
        </row>
        <row r="14">
          <cell r="C14">
            <v>0.16758082918349013</v>
          </cell>
        </row>
        <row r="15">
          <cell r="C15">
            <v>0.49874676442989341</v>
          </cell>
        </row>
        <row r="16">
          <cell r="C16">
            <v>0.41717146856964005</v>
          </cell>
        </row>
        <row r="17">
          <cell r="C17">
            <v>0.468984145587513</v>
          </cell>
        </row>
        <row r="18">
          <cell r="C18">
            <v>0.27996249256243011</v>
          </cell>
        </row>
        <row r="19">
          <cell r="C19">
            <v>0.29189913847162119</v>
          </cell>
        </row>
        <row r="20">
          <cell r="C20">
            <v>0.45782493709706812</v>
          </cell>
        </row>
        <row r="21">
          <cell r="C21">
            <v>0.25406917505650006</v>
          </cell>
        </row>
        <row r="22">
          <cell r="C22">
            <v>0.46579004421759862</v>
          </cell>
        </row>
        <row r="23">
          <cell r="C23">
            <v>0.39493176140036279</v>
          </cell>
        </row>
        <row r="24">
          <cell r="C24">
            <v>0.42320469092143559</v>
          </cell>
        </row>
        <row r="25">
          <cell r="C25">
            <v>0.61956739404999339</v>
          </cell>
        </row>
        <row r="26">
          <cell r="C26">
            <v>0.47775300169020696</v>
          </cell>
        </row>
        <row r="27">
          <cell r="C27">
            <v>0.48725444355956743</v>
          </cell>
        </row>
        <row r="28">
          <cell r="C28">
            <v>0.35111645283882109</v>
          </cell>
        </row>
        <row r="29">
          <cell r="C29">
            <v>0.57844438730746484</v>
          </cell>
        </row>
        <row r="30">
          <cell r="C30">
            <v>0.58414093308210857</v>
          </cell>
        </row>
        <row r="31">
          <cell r="C31">
            <v>0.64883553950451733</v>
          </cell>
        </row>
        <row r="32">
          <cell r="C32">
            <v>0.41812601855058806</v>
          </cell>
        </row>
        <row r="33">
          <cell r="C33">
            <v>0.58554859436634488</v>
          </cell>
        </row>
        <row r="34">
          <cell r="C34">
            <v>0.39564713245016608</v>
          </cell>
        </row>
        <row r="35">
          <cell r="C35">
            <v>0.449375866701406</v>
          </cell>
        </row>
        <row r="36">
          <cell r="C36">
            <v>0.35166848143953711</v>
          </cell>
        </row>
        <row r="37">
          <cell r="C37">
            <v>0.578095571351251</v>
          </cell>
        </row>
        <row r="38">
          <cell r="C38">
            <v>0.48087346767746236</v>
          </cell>
        </row>
        <row r="39">
          <cell r="C39">
            <v>0.54426709586173694</v>
          </cell>
        </row>
        <row r="40">
          <cell r="C40">
            <v>0.27145306503706762</v>
          </cell>
        </row>
        <row r="41">
          <cell r="C41">
            <v>0.34228783415433228</v>
          </cell>
        </row>
        <row r="42">
          <cell r="C42">
            <v>0.32418308733551454</v>
          </cell>
        </row>
        <row r="43">
          <cell r="C43">
            <v>0.41911842205905825</v>
          </cell>
        </row>
        <row r="44">
          <cell r="C44">
            <v>0.67598359199996327</v>
          </cell>
        </row>
        <row r="45">
          <cell r="C45">
            <v>0.50940122537609955</v>
          </cell>
        </row>
        <row r="46">
          <cell r="C46">
            <v>0.47792508451312243</v>
          </cell>
        </row>
        <row r="47">
          <cell r="C47">
            <v>0.53871737622490645</v>
          </cell>
        </row>
        <row r="48">
          <cell r="C48">
            <v>0.33330387129630179</v>
          </cell>
        </row>
        <row r="49">
          <cell r="C49">
            <v>0.5119442326502478</v>
          </cell>
        </row>
        <row r="50">
          <cell r="C50">
            <v>0.38051359185436157</v>
          </cell>
        </row>
        <row r="51">
          <cell r="C51">
            <v>0.56827524943110697</v>
          </cell>
        </row>
        <row r="52">
          <cell r="C52">
            <v>0.4510937058049509</v>
          </cell>
        </row>
        <row r="53">
          <cell r="C53">
            <v>0.43761028506670019</v>
          </cell>
        </row>
        <row r="54">
          <cell r="C54">
            <v>0.28891454530535254</v>
          </cell>
        </row>
        <row r="55">
          <cell r="C55">
            <v>0.27667183307261639</v>
          </cell>
        </row>
        <row r="56">
          <cell r="C56">
            <v>9.9064267399825573E-2</v>
          </cell>
        </row>
        <row r="57">
          <cell r="C57">
            <v>0.32362033573649224</v>
          </cell>
        </row>
        <row r="58">
          <cell r="C58">
            <v>0.70056239501193862</v>
          </cell>
        </row>
        <row r="59">
          <cell r="C59">
            <v>0.35220934553840333</v>
          </cell>
        </row>
        <row r="60">
          <cell r="C60">
            <v>0.30548944434643338</v>
          </cell>
        </row>
        <row r="61">
          <cell r="C61">
            <v>0.56976877370013901</v>
          </cell>
        </row>
        <row r="62">
          <cell r="C62">
            <v>0.33549336269635954</v>
          </cell>
        </row>
        <row r="63">
          <cell r="C63">
            <v>0.46898107338785378</v>
          </cell>
        </row>
        <row r="64">
          <cell r="C64">
            <v>0.24431384085324004</v>
          </cell>
        </row>
        <row r="65">
          <cell r="C65">
            <v>0.42843597130920175</v>
          </cell>
        </row>
        <row r="66">
          <cell r="C66">
            <v>0.1717812350329328</v>
          </cell>
        </row>
        <row r="67">
          <cell r="C67">
            <v>0.72543314545868787</v>
          </cell>
        </row>
        <row r="68">
          <cell r="C68">
            <v>0.30919744401282184</v>
          </cell>
        </row>
        <row r="69">
          <cell r="C69">
            <v>0.21541532639566627</v>
          </cell>
        </row>
        <row r="70">
          <cell r="C70">
            <v>0.51250635002105183</v>
          </cell>
        </row>
        <row r="71">
          <cell r="C71">
            <v>0.28661749273612586</v>
          </cell>
        </row>
        <row r="72">
          <cell r="C72">
            <v>0.44434220453063733</v>
          </cell>
        </row>
        <row r="73">
          <cell r="C73">
            <v>0.42131153923229786</v>
          </cell>
        </row>
        <row r="74">
          <cell r="C74">
            <v>0.1936761567443839</v>
          </cell>
        </row>
        <row r="75">
          <cell r="C75">
            <v>0.41147053391609606</v>
          </cell>
        </row>
        <row r="76">
          <cell r="C76">
            <v>0.35710895966484529</v>
          </cell>
        </row>
        <row r="77">
          <cell r="C77">
            <v>0.37546183716654358</v>
          </cell>
        </row>
        <row r="78">
          <cell r="C78">
            <v>0.37083010776240061</v>
          </cell>
        </row>
        <row r="79">
          <cell r="C79">
            <v>0.31528080319313112</v>
          </cell>
        </row>
        <row r="80">
          <cell r="C80">
            <v>0.28264661461127033</v>
          </cell>
        </row>
        <row r="81">
          <cell r="C81">
            <v>0.59410388760758681</v>
          </cell>
        </row>
        <row r="82">
          <cell r="C82">
            <v>0.38585905225789641</v>
          </cell>
        </row>
        <row r="83">
          <cell r="C83">
            <v>0.39785998397496214</v>
          </cell>
        </row>
        <row r="84">
          <cell r="C84">
            <v>0.38404265117692143</v>
          </cell>
        </row>
        <row r="85">
          <cell r="C85">
            <v>0.41568723029676519</v>
          </cell>
        </row>
        <row r="86">
          <cell r="C86">
            <v>0.4116087861322939</v>
          </cell>
        </row>
        <row r="87">
          <cell r="C87">
            <v>0.39374185918980237</v>
          </cell>
        </row>
        <row r="88">
          <cell r="C88">
            <v>0.58709543871584413</v>
          </cell>
        </row>
        <row r="89">
          <cell r="C89">
            <v>0.55243837546789154</v>
          </cell>
        </row>
        <row r="90">
          <cell r="C90">
            <v>0.52111210183577161</v>
          </cell>
        </row>
        <row r="91">
          <cell r="C91">
            <v>0.38298957011173351</v>
          </cell>
        </row>
        <row r="92">
          <cell r="C92">
            <v>0.51921047688999544</v>
          </cell>
        </row>
        <row r="93">
          <cell r="C93">
            <v>0.41348753948301459</v>
          </cell>
        </row>
        <row r="94">
          <cell r="C94">
            <v>0.55371695621592376</v>
          </cell>
        </row>
        <row r="95">
          <cell r="C95">
            <v>0.44059235658259677</v>
          </cell>
        </row>
        <row r="96">
          <cell r="C96">
            <v>0.28046286808958065</v>
          </cell>
        </row>
        <row r="97">
          <cell r="C97">
            <v>0.16341269092106181</v>
          </cell>
        </row>
        <row r="98">
          <cell r="C98">
            <v>0.41171324567018758</v>
          </cell>
        </row>
        <row r="99">
          <cell r="C99">
            <v>0.1497076220101746</v>
          </cell>
        </row>
        <row r="100">
          <cell r="C100">
            <v>0.27961318235637356</v>
          </cell>
        </row>
      </sheetData>
      <sheetData sheetId="28">
        <row r="2">
          <cell r="C2">
            <v>4.5860864384363973</v>
          </cell>
        </row>
        <row r="3">
          <cell r="C3">
            <v>4.9344353649769275</v>
          </cell>
        </row>
        <row r="4">
          <cell r="C4">
            <v>2.7353414818155688</v>
          </cell>
        </row>
        <row r="5">
          <cell r="C5">
            <v>2.4205588689707218</v>
          </cell>
        </row>
        <row r="6">
          <cell r="C6">
            <v>2.9173208877532226</v>
          </cell>
        </row>
        <row r="7">
          <cell r="C7">
            <v>1.8900634744418994</v>
          </cell>
        </row>
        <row r="8">
          <cell r="C8">
            <v>0.98755539941078185</v>
          </cell>
        </row>
        <row r="9">
          <cell r="C9">
            <v>1.2366998102860649</v>
          </cell>
        </row>
        <row r="10">
          <cell r="C10">
            <v>3.1924325323981106</v>
          </cell>
        </row>
        <row r="11">
          <cell r="C11">
            <v>8.2272736766253658</v>
          </cell>
        </row>
        <row r="12">
          <cell r="C12">
            <v>0.88176524838881909</v>
          </cell>
        </row>
        <row r="13">
          <cell r="C13">
            <v>1.6222402453644245</v>
          </cell>
        </row>
        <row r="14">
          <cell r="C14">
            <v>3.189256369070784</v>
          </cell>
        </row>
        <row r="15">
          <cell r="C15">
            <v>3.9002335521700227</v>
          </cell>
        </row>
        <row r="16">
          <cell r="C16">
            <v>2.0421096097889047</v>
          </cell>
        </row>
        <row r="17">
          <cell r="C17">
            <v>1.9406925746228572</v>
          </cell>
        </row>
        <row r="18">
          <cell r="C18">
            <v>1.8892572990056375</v>
          </cell>
        </row>
        <row r="19">
          <cell r="C19">
            <v>2.8296016487864555</v>
          </cell>
        </row>
        <row r="20">
          <cell r="C20">
            <v>2.45757981722153</v>
          </cell>
        </row>
        <row r="21">
          <cell r="C21">
            <v>4.0327297094633501</v>
          </cell>
        </row>
        <row r="22">
          <cell r="C22">
            <v>25.561397089337795</v>
          </cell>
        </row>
        <row r="23">
          <cell r="C23">
            <v>3.6559134287335295</v>
          </cell>
        </row>
        <row r="24">
          <cell r="C24">
            <v>1.8458984878571658</v>
          </cell>
        </row>
        <row r="25">
          <cell r="C25">
            <v>5.8009721658494318</v>
          </cell>
        </row>
        <row r="26">
          <cell r="C26">
            <v>5.2822318741793906</v>
          </cell>
        </row>
        <row r="27">
          <cell r="C27">
            <v>1.8138069812041899</v>
          </cell>
        </row>
        <row r="28">
          <cell r="C28">
            <v>3.1311439640496568</v>
          </cell>
        </row>
        <row r="29">
          <cell r="C29">
            <v>1.8651208939219588</v>
          </cell>
        </row>
        <row r="30">
          <cell r="C30">
            <v>3.0614854022412756</v>
          </cell>
        </row>
        <row r="31">
          <cell r="C31">
            <v>2.8181860701948733</v>
          </cell>
        </row>
        <row r="32">
          <cell r="C32">
            <v>2.2249313608537848</v>
          </cell>
        </row>
        <row r="33">
          <cell r="C33">
            <v>5.2920408951648428</v>
          </cell>
        </row>
        <row r="34">
          <cell r="C34">
            <v>3.4691348828249016</v>
          </cell>
        </row>
        <row r="35">
          <cell r="C35">
            <v>1.6875081521756248</v>
          </cell>
        </row>
        <row r="36">
          <cell r="C36">
            <v>2.6065242636797277</v>
          </cell>
        </row>
        <row r="37">
          <cell r="C37">
            <v>4.536016224851112</v>
          </cell>
        </row>
        <row r="38">
          <cell r="C38">
            <v>1.822770795533889</v>
          </cell>
        </row>
        <row r="39">
          <cell r="C39">
            <v>1.0789864566845957</v>
          </cell>
        </row>
        <row r="40">
          <cell r="C40">
            <v>4.7012180470511611</v>
          </cell>
        </row>
        <row r="41">
          <cell r="C41">
            <v>3.6006610530276073</v>
          </cell>
        </row>
        <row r="42">
          <cell r="C42">
            <v>4.3261553331491758</v>
          </cell>
        </row>
        <row r="43">
          <cell r="C43">
            <v>1.2863359814095505</v>
          </cell>
        </row>
        <row r="44">
          <cell r="C44">
            <v>5.3262709154662966</v>
          </cell>
        </row>
        <row r="45">
          <cell r="C45">
            <v>6.7731300365371192</v>
          </cell>
        </row>
        <row r="46">
          <cell r="C46">
            <v>9.1673284053546542</v>
          </cell>
        </row>
        <row r="47">
          <cell r="C47">
            <v>5.9729645320866211</v>
          </cell>
        </row>
        <row r="48">
          <cell r="C48">
            <v>2.5932604826210461</v>
          </cell>
        </row>
        <row r="49">
          <cell r="C49">
            <v>1.7297667448322556</v>
          </cell>
        </row>
        <row r="50">
          <cell r="C50">
            <v>2.1991436416927073</v>
          </cell>
        </row>
        <row r="51">
          <cell r="C51">
            <v>2.1284887607798471</v>
          </cell>
        </row>
        <row r="52">
          <cell r="C52">
            <v>4.0573852862411108</v>
          </cell>
        </row>
        <row r="53">
          <cell r="C53">
            <v>2.7533885244207719</v>
          </cell>
        </row>
        <row r="54">
          <cell r="C54">
            <v>2.022459919957329</v>
          </cell>
        </row>
        <row r="55">
          <cell r="C55">
            <v>2.2503250646526936</v>
          </cell>
        </row>
        <row r="56">
          <cell r="C56">
            <v>2.4310528245139333</v>
          </cell>
        </row>
        <row r="57">
          <cell r="C57">
            <v>2.7164260652684495</v>
          </cell>
        </row>
        <row r="58">
          <cell r="C58">
            <v>2.0668608085450391</v>
          </cell>
        </row>
        <row r="59">
          <cell r="C59">
            <v>2.4964229215467095</v>
          </cell>
        </row>
        <row r="60">
          <cell r="C60">
            <v>2.8493401569593408</v>
          </cell>
        </row>
        <row r="61">
          <cell r="C61">
            <v>1.9823980732078421</v>
          </cell>
        </row>
        <row r="62">
          <cell r="C62">
            <v>1.6758914035578867</v>
          </cell>
        </row>
        <row r="63">
          <cell r="C63">
            <v>1.5796672211897118</v>
          </cell>
        </row>
        <row r="64">
          <cell r="C64">
            <v>1.9278379217128667</v>
          </cell>
        </row>
        <row r="65">
          <cell r="C65">
            <v>0.94227824319529518</v>
          </cell>
        </row>
        <row r="66">
          <cell r="C66">
            <v>0.96600942934182954</v>
          </cell>
        </row>
        <row r="67">
          <cell r="C67">
            <v>1.6465144649718912</v>
          </cell>
        </row>
        <row r="68">
          <cell r="C68">
            <v>3.2439902238762262</v>
          </cell>
        </row>
        <row r="69">
          <cell r="C69">
            <v>2.5371894202511358</v>
          </cell>
        </row>
        <row r="70">
          <cell r="C70" t="str">
            <v>NA</v>
          </cell>
        </row>
        <row r="71">
          <cell r="C71">
            <v>6.0652224522249334</v>
          </cell>
        </row>
        <row r="72">
          <cell r="C72" t="str">
            <v>NA</v>
          </cell>
        </row>
        <row r="73">
          <cell r="C73">
            <v>3.3546996530954596</v>
          </cell>
        </row>
        <row r="74">
          <cell r="C74">
            <v>5.4471986647594894</v>
          </cell>
        </row>
        <row r="75">
          <cell r="C75">
            <v>2.7461328553855116</v>
          </cell>
        </row>
        <row r="76">
          <cell r="C76">
            <v>6.1619844288535095</v>
          </cell>
        </row>
        <row r="77">
          <cell r="C77">
            <v>4.4182366416657732</v>
          </cell>
        </row>
        <row r="78">
          <cell r="C78">
            <v>0.54937207352345419</v>
          </cell>
        </row>
        <row r="79">
          <cell r="C79">
            <v>3.7932462671985561</v>
          </cell>
        </row>
        <row r="80">
          <cell r="C80">
            <v>6.3977805113469159</v>
          </cell>
        </row>
        <row r="81">
          <cell r="C81">
            <v>1.0608776649134781</v>
          </cell>
        </row>
        <row r="82">
          <cell r="C82">
            <v>9.0441903847060985</v>
          </cell>
        </row>
        <row r="83">
          <cell r="C83">
            <v>3.7956325817017307</v>
          </cell>
        </row>
        <row r="84">
          <cell r="C84">
            <v>5.2093469544507194</v>
          </cell>
        </row>
        <row r="85">
          <cell r="C85">
            <v>8.3878140324533863</v>
          </cell>
        </row>
        <row r="86">
          <cell r="C86">
            <v>1.5077570630625767</v>
          </cell>
        </row>
        <row r="87">
          <cell r="C87">
            <v>2.1879318941731314</v>
          </cell>
        </row>
        <row r="88">
          <cell r="C88">
            <v>5.2013339028049375</v>
          </cell>
        </row>
        <row r="89">
          <cell r="C89">
            <v>1.2872958829659149</v>
          </cell>
        </row>
        <row r="90">
          <cell r="C90" t="str">
            <v>NA</v>
          </cell>
        </row>
        <row r="91">
          <cell r="C91">
            <v>4.2524702951679947</v>
          </cell>
        </row>
        <row r="92">
          <cell r="C92">
            <v>6.7532256135296347</v>
          </cell>
        </row>
        <row r="93">
          <cell r="C93">
            <v>3.5261511856041166</v>
          </cell>
        </row>
        <row r="94">
          <cell r="C94">
            <v>1.9179993201105874</v>
          </cell>
        </row>
        <row r="95">
          <cell r="C95">
            <v>3.0872029616902905</v>
          </cell>
        </row>
      </sheetData>
      <sheetData sheetId="29">
        <row r="2">
          <cell r="E2">
            <v>13.993381837579332</v>
          </cell>
        </row>
        <row r="3">
          <cell r="E3">
            <v>53.685999313498989</v>
          </cell>
        </row>
        <row r="4">
          <cell r="E4">
            <v>71.793907476752722</v>
          </cell>
        </row>
        <row r="5">
          <cell r="E5">
            <v>13.804567941679538</v>
          </cell>
        </row>
        <row r="6">
          <cell r="E6">
            <v>10.303473979252582</v>
          </cell>
        </row>
        <row r="7">
          <cell r="E7">
            <v>31.628193367611757</v>
          </cell>
        </row>
        <row r="8">
          <cell r="E8">
            <v>9.5165439103276555</v>
          </cell>
        </row>
        <row r="9">
          <cell r="E9">
            <v>24.601279933873428</v>
          </cell>
        </row>
        <row r="10">
          <cell r="E10">
            <v>111.50158955717302</v>
          </cell>
        </row>
        <row r="11">
          <cell r="E11">
            <v>39.552594480627498</v>
          </cell>
        </row>
        <row r="12">
          <cell r="E12">
            <v>6.9331886334439696</v>
          </cell>
        </row>
        <row r="13">
          <cell r="E13">
            <v>15.398825088840153</v>
          </cell>
        </row>
        <row r="14">
          <cell r="E14">
            <v>15.731797108797148</v>
          </cell>
        </row>
        <row r="15">
          <cell r="E15">
            <v>33.719939757949462</v>
          </cell>
        </row>
        <row r="16">
          <cell r="E16">
            <v>11.031811598705742</v>
          </cell>
        </row>
        <row r="17">
          <cell r="E17">
            <v>9.9507720825302446</v>
          </cell>
        </row>
        <row r="18">
          <cell r="E18">
            <v>4.9136350366529671</v>
          </cell>
        </row>
        <row r="19">
          <cell r="E19">
            <v>34.725527646029491</v>
          </cell>
        </row>
        <row r="20">
          <cell r="E20">
            <v>70.10021734645936</v>
          </cell>
        </row>
        <row r="21">
          <cell r="E21">
            <v>16.826618008820372</v>
          </cell>
        </row>
        <row r="22">
          <cell r="E22">
            <v>60.37198607537146</v>
          </cell>
        </row>
        <row r="23">
          <cell r="E23">
            <v>23.670176577905639</v>
          </cell>
        </row>
        <row r="24">
          <cell r="E24">
            <v>14.458344682654587</v>
          </cell>
        </row>
        <row r="25">
          <cell r="E25">
            <v>113.80317420122032</v>
          </cell>
        </row>
        <row r="26">
          <cell r="E26">
            <v>17.765653282813773</v>
          </cell>
        </row>
        <row r="27">
          <cell r="E27">
            <v>18.213402559297673</v>
          </cell>
        </row>
        <row r="28">
          <cell r="E28">
            <v>50.350247851678539</v>
          </cell>
        </row>
        <row r="29">
          <cell r="E29">
            <v>78.606221340129167</v>
          </cell>
        </row>
        <row r="30">
          <cell r="E30">
            <v>58.252171064461706</v>
          </cell>
        </row>
        <row r="31">
          <cell r="E31">
            <v>29.062594674781394</v>
          </cell>
        </row>
        <row r="32">
          <cell r="E32">
            <v>47.736718632185095</v>
          </cell>
        </row>
        <row r="33">
          <cell r="E33">
            <v>76.987307293928026</v>
          </cell>
        </row>
        <row r="34">
          <cell r="E34">
            <v>22.12057113620223</v>
          </cell>
        </row>
        <row r="35">
          <cell r="E35">
            <v>32.696300598543317</v>
          </cell>
        </row>
        <row r="36">
          <cell r="E36">
            <v>52.474448865364643</v>
          </cell>
        </row>
        <row r="37">
          <cell r="E37">
            <v>25.137922065338433</v>
          </cell>
        </row>
        <row r="38">
          <cell r="E38">
            <v>14.03013265423464</v>
          </cell>
        </row>
        <row r="39">
          <cell r="E39">
            <v>34.620574922445279</v>
          </cell>
        </row>
        <row r="40">
          <cell r="E40">
            <v>62.958973741822945</v>
          </cell>
        </row>
        <row r="41">
          <cell r="E41">
            <v>45.908014552106231</v>
          </cell>
        </row>
        <row r="42">
          <cell r="E42">
            <v>48.341137501288586</v>
          </cell>
        </row>
        <row r="43">
          <cell r="E43">
            <v>5.0845371401835715</v>
          </cell>
        </row>
        <row r="44">
          <cell r="E44">
            <v>105.59442613995225</v>
          </cell>
        </row>
        <row r="45">
          <cell r="E45">
            <v>17.546856842427747</v>
          </cell>
        </row>
        <row r="46">
          <cell r="E46">
            <v>124.19393691012411</v>
          </cell>
        </row>
        <row r="47">
          <cell r="E47">
            <v>60.496023071559009</v>
          </cell>
        </row>
        <row r="48">
          <cell r="E48">
            <v>213.16752918372785</v>
          </cell>
        </row>
        <row r="49">
          <cell r="E49">
            <v>16.589451562329984</v>
          </cell>
        </row>
        <row r="50">
          <cell r="E50">
            <v>20.230973091308005</v>
          </cell>
        </row>
        <row r="51">
          <cell r="E51">
            <v>413.13881292938402</v>
          </cell>
        </row>
        <row r="52">
          <cell r="E52">
            <v>43.773185758788792</v>
          </cell>
        </row>
        <row r="53">
          <cell r="E53">
            <v>17.597890904343</v>
          </cell>
        </row>
        <row r="54">
          <cell r="E54">
            <v>23.352946188547765</v>
          </cell>
        </row>
        <row r="55">
          <cell r="E55">
            <v>6.7123160711345058</v>
          </cell>
        </row>
        <row r="56">
          <cell r="E56">
            <v>20.684944931020116</v>
          </cell>
        </row>
        <row r="57">
          <cell r="E57">
            <v>17.526913954325732</v>
          </cell>
        </row>
        <row r="58">
          <cell r="E58">
            <v>35.470030674274732</v>
          </cell>
        </row>
        <row r="59">
          <cell r="E59">
            <v>13.232355624196757</v>
          </cell>
        </row>
        <row r="60">
          <cell r="E60">
            <v>12.831132860096082</v>
          </cell>
        </row>
        <row r="61">
          <cell r="E61">
            <v>19.074322918507089</v>
          </cell>
        </row>
        <row r="62">
          <cell r="E62">
            <v>14.432357858158962</v>
          </cell>
        </row>
        <row r="63">
          <cell r="E63">
            <v>19.59895929655136</v>
          </cell>
        </row>
        <row r="64">
          <cell r="E64">
            <v>41.482551524936767</v>
          </cell>
        </row>
        <row r="65">
          <cell r="E65">
            <v>10.7244443912679</v>
          </cell>
        </row>
        <row r="66">
          <cell r="E66">
            <v>17.526867681340555</v>
          </cell>
        </row>
        <row r="67">
          <cell r="E67">
            <v>39.800177325074387</v>
          </cell>
        </row>
        <row r="68">
          <cell r="E68">
            <v>18.79714703297693</v>
          </cell>
        </row>
        <row r="69">
          <cell r="E69">
            <v>16.516000000000002</v>
          </cell>
        </row>
        <row r="70">
          <cell r="E70">
            <v>32.060305059956086</v>
          </cell>
        </row>
        <row r="71">
          <cell r="E71">
            <v>10.001651614901713</v>
          </cell>
        </row>
        <row r="72">
          <cell r="E72">
            <v>14.307930590731086</v>
          </cell>
        </row>
        <row r="73">
          <cell r="E73">
            <v>27.139280463174906</v>
          </cell>
        </row>
        <row r="74">
          <cell r="E74">
            <v>18.550527865353317</v>
          </cell>
        </row>
        <row r="75">
          <cell r="E75">
            <v>16.752102075844263</v>
          </cell>
        </row>
        <row r="76">
          <cell r="E76">
            <v>205.21167470141248</v>
          </cell>
        </row>
        <row r="77">
          <cell r="E77">
            <v>19.968362936967932</v>
          </cell>
        </row>
        <row r="78">
          <cell r="E78">
            <v>7.086078039072091</v>
          </cell>
        </row>
        <row r="79">
          <cell r="E79">
            <v>29.657290214296978</v>
          </cell>
        </row>
        <row r="80">
          <cell r="E80">
            <v>20.068843491664495</v>
          </cell>
        </row>
        <row r="81">
          <cell r="E81">
            <v>10.015502901810539</v>
          </cell>
        </row>
        <row r="82">
          <cell r="E82">
            <v>13.494158283376812</v>
          </cell>
        </row>
        <row r="83">
          <cell r="E83">
            <v>105.43298269537888</v>
          </cell>
        </row>
        <row r="84">
          <cell r="E84">
            <v>28.698253036649461</v>
          </cell>
        </row>
        <row r="85">
          <cell r="E85">
            <v>103.73573705984646</v>
          </cell>
        </row>
        <row r="86">
          <cell r="E86">
            <v>12.795287192941224</v>
          </cell>
        </row>
        <row r="87">
          <cell r="E87">
            <v>30.246217685474839</v>
          </cell>
        </row>
        <row r="88">
          <cell r="E88">
            <v>36.727247846578237</v>
          </cell>
        </row>
        <row r="89">
          <cell r="E89">
            <v>145.85411391978104</v>
          </cell>
        </row>
        <row r="90">
          <cell r="E90">
            <v>13.550731442270219</v>
          </cell>
        </row>
        <row r="91">
          <cell r="E91">
            <v>23.851971943925097</v>
          </cell>
        </row>
        <row r="92">
          <cell r="E92">
            <v>17.861577963998506</v>
          </cell>
        </row>
        <row r="93">
          <cell r="E93">
            <v>10.280924299605571</v>
          </cell>
        </row>
        <row r="94">
          <cell r="E94">
            <v>20.529372149088115</v>
          </cell>
        </row>
        <row r="95">
          <cell r="E95">
            <v>35.131453767610019</v>
          </cell>
        </row>
      </sheetData>
      <sheetData sheetId="30">
        <row r="2">
          <cell r="E2">
            <v>1.9623441180972629</v>
          </cell>
        </row>
        <row r="3">
          <cell r="E3">
            <v>2.5451075841894681</v>
          </cell>
        </row>
        <row r="4">
          <cell r="E4">
            <v>1.0151710556389202</v>
          </cell>
        </row>
        <row r="5">
          <cell r="E5">
            <v>1.1592906024030611</v>
          </cell>
        </row>
        <row r="6">
          <cell r="E6">
            <v>1.8115110523190732</v>
          </cell>
        </row>
        <row r="7">
          <cell r="E7">
            <v>0.82277242784956561</v>
          </cell>
        </row>
        <row r="8">
          <cell r="E8">
            <v>4.4949345620830741</v>
          </cell>
        </row>
        <row r="9">
          <cell r="E9">
            <v>4.3436213032827986</v>
          </cell>
        </row>
        <row r="10">
          <cell r="E10">
            <v>4.0713428168470944</v>
          </cell>
        </row>
        <row r="11">
          <cell r="E11">
            <v>4.6668573425784556</v>
          </cell>
        </row>
        <row r="12">
          <cell r="E12">
            <v>1.327352847501104</v>
          </cell>
        </row>
        <row r="13">
          <cell r="E13">
            <v>4.4584614233683109</v>
          </cell>
        </row>
        <row r="14">
          <cell r="E14">
            <v>1.3599831051822802</v>
          </cell>
        </row>
        <row r="15">
          <cell r="E15">
            <v>2.0548295737776865</v>
          </cell>
        </row>
        <row r="16">
          <cell r="E16">
            <v>2.4271351695921024</v>
          </cell>
        </row>
        <row r="17">
          <cell r="E17">
            <v>0.88799068286034366</v>
          </cell>
        </row>
        <row r="18">
          <cell r="E18">
            <v>0.91038112399398097</v>
          </cell>
        </row>
        <row r="19">
          <cell r="E19">
            <v>2.4784833446872629</v>
          </cell>
        </row>
        <row r="20">
          <cell r="E20">
            <v>1.4317347621068663</v>
          </cell>
        </row>
        <row r="21">
          <cell r="E21">
            <v>1.1705516509622818</v>
          </cell>
        </row>
        <row r="22">
          <cell r="E22">
            <v>3.6675154478583059</v>
          </cell>
        </row>
        <row r="23">
          <cell r="E23">
            <v>2.149130072951404</v>
          </cell>
        </row>
        <row r="24">
          <cell r="E24">
            <v>2.497073337847707</v>
          </cell>
        </row>
        <row r="25">
          <cell r="E25">
            <v>6.1848374689664327</v>
          </cell>
        </row>
        <row r="26">
          <cell r="E26">
            <v>4.8507972602124285</v>
          </cell>
        </row>
        <row r="27">
          <cell r="E27">
            <v>1.8499312364405511</v>
          </cell>
        </row>
        <row r="28">
          <cell r="E28">
            <v>2.7669115666624866</v>
          </cell>
        </row>
        <row r="29">
          <cell r="E29">
            <v>0.77629031014858285</v>
          </cell>
        </row>
        <row r="30">
          <cell r="E30">
            <v>1.9376194589256814</v>
          </cell>
        </row>
        <row r="31">
          <cell r="E31">
            <v>1.0830755880289851</v>
          </cell>
        </row>
        <row r="32">
          <cell r="E32">
            <v>3.0598123732084623</v>
          </cell>
        </row>
        <row r="33">
          <cell r="E33">
            <v>3.0346407791089263</v>
          </cell>
        </row>
        <row r="34">
          <cell r="E34">
            <v>1.2248382413417702</v>
          </cell>
        </row>
        <row r="35">
          <cell r="E35">
            <v>23.486787015859328</v>
          </cell>
        </row>
        <row r="36">
          <cell r="E36">
            <v>2.099541082262578</v>
          </cell>
        </row>
        <row r="37">
          <cell r="E37">
            <v>0.41461800975807755</v>
          </cell>
        </row>
        <row r="38">
          <cell r="E38">
            <v>0.87935524110573271</v>
          </cell>
        </row>
        <row r="39">
          <cell r="E39">
            <v>7.785269341085777</v>
          </cell>
        </row>
        <row r="40">
          <cell r="E40">
            <v>5.1528482926352703</v>
          </cell>
        </row>
        <row r="41">
          <cell r="E41">
            <v>0.6887289455148623</v>
          </cell>
        </row>
        <row r="42">
          <cell r="E42">
            <v>5.3325294190233024</v>
          </cell>
        </row>
        <row r="43">
          <cell r="E43">
            <v>0.85286384314212538</v>
          </cell>
        </row>
        <row r="44">
          <cell r="E44">
            <v>1.5690399443104104</v>
          </cell>
        </row>
        <row r="45">
          <cell r="E45">
            <v>4.2049047271240401</v>
          </cell>
        </row>
        <row r="46">
          <cell r="E46">
            <v>3.6464203371631907</v>
          </cell>
        </row>
        <row r="47">
          <cell r="E47">
            <v>6.2565620034079643</v>
          </cell>
        </row>
        <row r="48">
          <cell r="E48">
            <v>2.1601068304801978</v>
          </cell>
        </row>
        <row r="49">
          <cell r="E49">
            <v>1.3252068248279174</v>
          </cell>
        </row>
        <row r="50">
          <cell r="E50">
            <v>1.3918409007316568</v>
          </cell>
        </row>
        <row r="51">
          <cell r="E51">
            <v>5.1649613951272544</v>
          </cell>
        </row>
        <row r="52">
          <cell r="E52">
            <v>2.6683702336166513</v>
          </cell>
        </row>
        <row r="53">
          <cell r="E53">
            <v>2.060190198107211</v>
          </cell>
        </row>
        <row r="54">
          <cell r="E54">
            <v>0.93288594172655359</v>
          </cell>
        </row>
        <row r="55">
          <cell r="E55">
            <v>1.3937972898489077</v>
          </cell>
        </row>
        <row r="56">
          <cell r="E56">
            <v>2.1191896091279183</v>
          </cell>
        </row>
        <row r="57">
          <cell r="E57">
            <v>2.5992733148507301</v>
          </cell>
        </row>
        <row r="58">
          <cell r="E58">
            <v>0.57635942221663927</v>
          </cell>
        </row>
        <row r="59">
          <cell r="E59">
            <v>1.2479568457109567</v>
          </cell>
        </row>
        <row r="60">
          <cell r="E60">
            <v>0.77446083379170738</v>
          </cell>
        </row>
        <row r="61">
          <cell r="E61">
            <v>3.7530377133084176</v>
          </cell>
        </row>
        <row r="62">
          <cell r="E62">
            <v>3.5531523553351589</v>
          </cell>
        </row>
        <row r="63">
          <cell r="E63">
            <v>1.1585137067311873</v>
          </cell>
        </row>
        <row r="64">
          <cell r="E64">
            <v>11.06237876186524</v>
          </cell>
        </row>
        <row r="65">
          <cell r="E65">
            <v>2.8074579856808244</v>
          </cell>
        </row>
        <row r="66">
          <cell r="E66">
            <v>4.0156438237906613</v>
          </cell>
        </row>
        <row r="67">
          <cell r="E67">
            <v>0.99731101203291117</v>
          </cell>
        </row>
        <row r="68">
          <cell r="E68">
            <v>1.7662464800785203</v>
          </cell>
        </row>
        <row r="69">
          <cell r="E69">
            <v>0.63216265478481615</v>
          </cell>
        </row>
        <row r="70">
          <cell r="E70">
            <v>4.0665383764474727</v>
          </cell>
        </row>
        <row r="71">
          <cell r="E71">
            <v>0.90560565109919078</v>
          </cell>
        </row>
        <row r="72">
          <cell r="E72">
            <v>1.9563486558546059</v>
          </cell>
        </row>
        <row r="73">
          <cell r="E73">
            <v>1.4491371517415981</v>
          </cell>
        </row>
        <row r="74">
          <cell r="E74">
            <v>0.81313449985441677</v>
          </cell>
        </row>
        <row r="75">
          <cell r="E75">
            <v>0.37471973967659333</v>
          </cell>
        </row>
        <row r="76">
          <cell r="E76">
            <v>1.8662255983788749</v>
          </cell>
        </row>
        <row r="77">
          <cell r="E77">
            <v>0.96745501914780907</v>
          </cell>
        </row>
        <row r="78">
          <cell r="E78">
            <v>0.54994654147614319</v>
          </cell>
        </row>
        <row r="79">
          <cell r="E79">
            <v>4.9757982826069913</v>
          </cell>
        </row>
        <row r="80">
          <cell r="E80">
            <v>3.6641302435732546</v>
          </cell>
        </row>
        <row r="81">
          <cell r="E81">
            <v>1.072671629219107</v>
          </cell>
        </row>
        <row r="82">
          <cell r="E82">
            <v>3.2197253108411452</v>
          </cell>
        </row>
        <row r="83">
          <cell r="E83">
            <v>3.5922880547988676</v>
          </cell>
        </row>
        <row r="84">
          <cell r="E84">
            <v>6.3326128080935904</v>
          </cell>
        </row>
        <row r="85">
          <cell r="E85">
            <v>7.587550224240557</v>
          </cell>
        </row>
        <row r="86">
          <cell r="E86">
            <v>0.67632769160090278</v>
          </cell>
        </row>
        <row r="87">
          <cell r="E87">
            <v>3.1769575920264543</v>
          </cell>
        </row>
        <row r="88">
          <cell r="E88">
            <v>3.5614434610706187</v>
          </cell>
        </row>
        <row r="89">
          <cell r="E89">
            <v>2.1752246611284507</v>
          </cell>
        </row>
        <row r="90">
          <cell r="E90">
            <v>5.0465098709256733</v>
          </cell>
        </row>
        <row r="91">
          <cell r="E91">
            <v>1.0825416705307049</v>
          </cell>
        </row>
        <row r="92">
          <cell r="E92">
            <v>6.3236145780689155</v>
          </cell>
        </row>
        <row r="93">
          <cell r="E93">
            <v>1.4513374895378339</v>
          </cell>
        </row>
        <row r="94">
          <cell r="E94">
            <v>4.283399946079026</v>
          </cell>
        </row>
        <row r="95">
          <cell r="E95">
            <v>9.1829445772175315</v>
          </cell>
        </row>
      </sheetData>
      <sheetData sheetId="31"/>
      <sheetData sheetId="32"/>
      <sheetData sheetId="33">
        <row r="2">
          <cell r="H2">
            <v>0.36620071377578411</v>
          </cell>
        </row>
        <row r="3">
          <cell r="H3">
            <v>0.15249479884885908</v>
          </cell>
        </row>
        <row r="4">
          <cell r="H4">
            <v>3.075109258968068E-2</v>
          </cell>
        </row>
        <row r="5">
          <cell r="H5">
            <v>0.20566758390991585</v>
          </cell>
        </row>
        <row r="6">
          <cell r="H6">
            <v>6.4613470545131613E-2</v>
          </cell>
        </row>
        <row r="7">
          <cell r="H7">
            <v>0.10259465039163591</v>
          </cell>
        </row>
        <row r="8">
          <cell r="H8">
            <v>2.6445657070231255E-4</v>
          </cell>
        </row>
        <row r="9">
          <cell r="H9">
            <v>-3.6811631590712022E-4</v>
          </cell>
        </row>
        <row r="10">
          <cell r="H10">
            <v>0.14657661188814805</v>
          </cell>
        </row>
        <row r="11">
          <cell r="H11">
            <v>0.28719366734568558</v>
          </cell>
        </row>
        <row r="12">
          <cell r="H12">
            <v>0.13517156563045288</v>
          </cell>
        </row>
        <row r="13">
          <cell r="H13">
            <v>5.645094247926231E-4</v>
          </cell>
        </row>
        <row r="14">
          <cell r="H14">
            <v>0.34596203413304549</v>
          </cell>
        </row>
        <row r="15">
          <cell r="H15">
            <v>0.23990816674375973</v>
          </cell>
        </row>
        <row r="16">
          <cell r="H16">
            <v>0.12126078877676111</v>
          </cell>
        </row>
        <row r="17">
          <cell r="H17">
            <v>0.25379383032265024</v>
          </cell>
        </row>
        <row r="18">
          <cell r="H18">
            <v>0.20349837596065587</v>
          </cell>
        </row>
        <row r="19">
          <cell r="H19">
            <v>0.17826252008578738</v>
          </cell>
        </row>
        <row r="20">
          <cell r="H20">
            <v>0.417859281998402</v>
          </cell>
        </row>
        <row r="21">
          <cell r="H21">
            <v>0.28393181700102466</v>
          </cell>
        </row>
        <row r="22">
          <cell r="H22">
            <v>0.42627570781813673</v>
          </cell>
        </row>
        <row r="23">
          <cell r="H23">
            <v>0.1454747413376444</v>
          </cell>
        </row>
        <row r="24">
          <cell r="H24">
            <v>2.8451413775521742E-2</v>
          </cell>
        </row>
        <row r="25">
          <cell r="H25">
            <v>6.4930486901624035E-2</v>
          </cell>
        </row>
        <row r="26">
          <cell r="H26">
            <v>0.19583591126440983</v>
          </cell>
        </row>
        <row r="27">
          <cell r="H27">
            <v>6.7741870602732721E-2</v>
          </cell>
        </row>
        <row r="28">
          <cell r="H28">
            <v>0.1840328456371863</v>
          </cell>
        </row>
        <row r="29">
          <cell r="H29">
            <v>5.4638914455599978E-2</v>
          </cell>
        </row>
        <row r="30">
          <cell r="H30">
            <v>0.17474664762348024</v>
          </cell>
        </row>
        <row r="31">
          <cell r="H31">
            <v>0.13834621712937481</v>
          </cell>
        </row>
        <row r="32">
          <cell r="H32">
            <v>0.11234825527684747</v>
          </cell>
        </row>
        <row r="33">
          <cell r="H33">
            <v>0.28322287490094245</v>
          </cell>
        </row>
        <row r="34">
          <cell r="H34">
            <v>0.15172833554504575</v>
          </cell>
        </row>
        <row r="35">
          <cell r="H35">
            <v>6.5375652946372759E-3</v>
          </cell>
        </row>
        <row r="36">
          <cell r="H36">
            <v>0.1859935447135467</v>
          </cell>
        </row>
        <row r="37">
          <cell r="H37">
            <v>0.15535644943181512</v>
          </cell>
        </row>
        <row r="38">
          <cell r="H38">
            <v>0.15236680821065973</v>
          </cell>
        </row>
        <row r="39">
          <cell r="H39">
            <v>4.6816390058494056E-2</v>
          </cell>
        </row>
        <row r="40">
          <cell r="H40">
            <v>0.15878607397399988</v>
          </cell>
        </row>
        <row r="41">
          <cell r="H41">
            <v>0.33786301082539277</v>
          </cell>
        </row>
        <row r="42">
          <cell r="H42">
            <v>0.19103562594036017</v>
          </cell>
        </row>
        <row r="43">
          <cell r="H43">
            <v>0.28173702467387046</v>
          </cell>
        </row>
        <row r="44">
          <cell r="H44">
            <v>0.20452836690892628</v>
          </cell>
        </row>
        <row r="45">
          <cell r="H45">
            <v>2.338560835877878E-2</v>
          </cell>
        </row>
        <row r="46">
          <cell r="H46">
            <v>0.34916245427993664</v>
          </cell>
        </row>
        <row r="47">
          <cell r="H47">
            <v>0.32885779790753611</v>
          </cell>
        </row>
        <row r="48">
          <cell r="H48">
            <v>0.19306560566074529</v>
          </cell>
        </row>
        <row r="49">
          <cell r="H49">
            <v>4.8284141395065781E-2</v>
          </cell>
        </row>
        <row r="50">
          <cell r="H50">
            <v>7.0761900090086594E-2</v>
          </cell>
        </row>
        <row r="51">
          <cell r="H51">
            <v>9.1618858518155641E-2</v>
          </cell>
        </row>
        <row r="52">
          <cell r="H52">
            <v>0.27440895225758682</v>
          </cell>
        </row>
        <row r="53">
          <cell r="H53">
            <v>0.34724969889915558</v>
          </cell>
        </row>
        <row r="54">
          <cell r="H54">
            <v>0.12191063223697689</v>
          </cell>
        </row>
        <row r="55">
          <cell r="H55">
            <v>0.22371179665386631</v>
          </cell>
        </row>
        <row r="56">
          <cell r="H56">
            <v>0.39824340316559603</v>
          </cell>
        </row>
        <row r="57">
          <cell r="H57">
            <v>7.1751043031635167E-2</v>
          </cell>
        </row>
        <row r="58">
          <cell r="H58">
            <v>0.2808940923374969</v>
          </cell>
        </row>
        <row r="59">
          <cell r="H59">
            <v>0.1604004979040459</v>
          </cell>
        </row>
        <row r="60">
          <cell r="H60">
            <v>0.4283275094215141</v>
          </cell>
        </row>
        <row r="61">
          <cell r="H61">
            <v>6.0420809677153589E-2</v>
          </cell>
        </row>
        <row r="62">
          <cell r="H62">
            <v>5.282254269046003E-2</v>
          </cell>
        </row>
        <row r="63">
          <cell r="H63">
            <v>0.15253143934703767</v>
          </cell>
        </row>
        <row r="64">
          <cell r="H64">
            <v>3.2919535377649287E-2</v>
          </cell>
        </row>
        <row r="65">
          <cell r="H65">
            <v>6.1246870475157367E-2</v>
          </cell>
        </row>
        <row r="66">
          <cell r="H66">
            <v>6.5124916516099793E-2</v>
          </cell>
        </row>
        <row r="67">
          <cell r="H67">
            <v>1.0758116120213667E-2</v>
          </cell>
        </row>
        <row r="68">
          <cell r="H68">
            <v>0.12254941456919057</v>
          </cell>
        </row>
        <row r="69">
          <cell r="H69">
            <v>5.2526535195568026E-2</v>
          </cell>
        </row>
        <row r="70">
          <cell r="H70">
            <v>0.18384754911547566</v>
          </cell>
        </row>
        <row r="71">
          <cell r="H71">
            <v>0.15601912407155186</v>
          </cell>
        </row>
        <row r="72">
          <cell r="H72">
            <v>0.50284847286762124</v>
          </cell>
        </row>
        <row r="73">
          <cell r="H73">
            <v>0.21342632081347138</v>
          </cell>
        </row>
        <row r="74">
          <cell r="H74">
            <v>0.17887258680308168</v>
          </cell>
        </row>
        <row r="75">
          <cell r="H75">
            <v>0.12766332763145424</v>
          </cell>
        </row>
        <row r="76">
          <cell r="H76">
            <v>5.0939512756182574E-2</v>
          </cell>
        </row>
        <row r="77">
          <cell r="H77">
            <v>0.15715843531246571</v>
          </cell>
        </row>
        <row r="78">
          <cell r="H78">
            <v>9.6174544302176548E-2</v>
          </cell>
        </row>
        <row r="79">
          <cell r="H79">
            <v>0.1851707902340006</v>
          </cell>
        </row>
        <row r="80">
          <cell r="H80">
            <v>0.38166166267508272</v>
          </cell>
        </row>
        <row r="81">
          <cell r="H81">
            <v>0.2879125341055872</v>
          </cell>
        </row>
        <row r="82">
          <cell r="H82">
            <v>0.3342396344576759</v>
          </cell>
        </row>
        <row r="83">
          <cell r="H83">
            <v>0.21872362118463728</v>
          </cell>
        </row>
        <row r="84">
          <cell r="H84">
            <v>-1.0250823148619595E-2</v>
          </cell>
        </row>
        <row r="85">
          <cell r="H85">
            <v>0.22470721283664671</v>
          </cell>
        </row>
        <row r="86">
          <cell r="H86">
            <v>0.48631538851966338</v>
          </cell>
        </row>
        <row r="87">
          <cell r="H87">
            <v>6.1518831942779746E-2</v>
          </cell>
        </row>
        <row r="88">
          <cell r="H88">
            <v>0.25986621816079664</v>
          </cell>
        </row>
        <row r="89">
          <cell r="H89">
            <v>0.12376739217567063</v>
          </cell>
        </row>
        <row r="90">
          <cell r="H90">
            <v>0.70880191137676474</v>
          </cell>
        </row>
        <row r="91">
          <cell r="H91">
            <v>0.24195399230782733</v>
          </cell>
        </row>
        <row r="92">
          <cell r="H92">
            <v>0.16937779933759034</v>
          </cell>
        </row>
        <row r="93">
          <cell r="H93">
            <v>0.13529236520773816</v>
          </cell>
        </row>
        <row r="94">
          <cell r="H94">
            <v>5.8204550746344036E-2</v>
          </cell>
        </row>
        <row r="95">
          <cell r="H95">
            <v>6.9067801827997419E-2</v>
          </cell>
        </row>
      </sheetData>
      <sheetData sheetId="34">
        <row r="3">
          <cell r="H3">
            <v>0.24712867867566909</v>
          </cell>
        </row>
        <row r="4">
          <cell r="H4">
            <v>0.16514709217792431</v>
          </cell>
        </row>
        <row r="5">
          <cell r="H5">
            <v>0.35993056432962162</v>
          </cell>
        </row>
        <row r="6">
          <cell r="H6">
            <v>0.20508511458335257</v>
          </cell>
        </row>
        <row r="7">
          <cell r="H7">
            <v>0.10579107985442861</v>
          </cell>
        </row>
        <row r="8">
          <cell r="H8">
            <v>0.21559462219926051</v>
          </cell>
        </row>
        <row r="9">
          <cell r="H9">
            <v>0.17163347967737153</v>
          </cell>
        </row>
        <row r="10">
          <cell r="H10">
            <v>0.21054765923481941</v>
          </cell>
        </row>
        <row r="11">
          <cell r="H11">
            <v>0.34926041014564846</v>
          </cell>
        </row>
        <row r="12">
          <cell r="H12">
            <v>0.18187508793156812</v>
          </cell>
        </row>
        <row r="13">
          <cell r="H13">
            <v>0.21951773068864888</v>
          </cell>
        </row>
        <row r="14">
          <cell r="H14">
            <v>0.20823984488924394</v>
          </cell>
        </row>
        <row r="15">
          <cell r="H15">
            <v>0.22045577488665988</v>
          </cell>
        </row>
        <row r="16">
          <cell r="H16">
            <v>0.22537233164821857</v>
          </cell>
        </row>
        <row r="17">
          <cell r="H17">
            <v>0.29816727963168077</v>
          </cell>
        </row>
        <row r="18">
          <cell r="H18">
            <v>0.20966607761406131</v>
          </cell>
        </row>
        <row r="19">
          <cell r="H19">
            <v>0.17552757581131406</v>
          </cell>
        </row>
        <row r="20">
          <cell r="H20">
            <v>0.21518437900478904</v>
          </cell>
        </row>
        <row r="21">
          <cell r="H21">
            <v>5.7877792248144003E-2</v>
          </cell>
        </row>
        <row r="22">
          <cell r="H22">
            <v>0.20902109276047354</v>
          </cell>
        </row>
        <row r="23">
          <cell r="H23">
            <v>0.16701412664987517</v>
          </cell>
        </row>
        <row r="24">
          <cell r="H24">
            <v>0.21149094625947643</v>
          </cell>
        </row>
        <row r="25">
          <cell r="H25">
            <v>0.15969215649818055</v>
          </cell>
        </row>
        <row r="26">
          <cell r="H26">
            <v>0.14251232985737891</v>
          </cell>
        </row>
        <row r="27">
          <cell r="H27">
            <v>0.12152173885442238</v>
          </cell>
        </row>
        <row r="28">
          <cell r="H28">
            <v>0.28828758577666874</v>
          </cell>
        </row>
        <row r="29">
          <cell r="H29">
            <v>0.20103829040431295</v>
          </cell>
        </row>
        <row r="30">
          <cell r="H30">
            <v>0.10064883323847465</v>
          </cell>
        </row>
        <row r="31">
          <cell r="H31">
            <v>0.18999442052432919</v>
          </cell>
        </row>
        <row r="32">
          <cell r="H32">
            <v>0.22883380517568075</v>
          </cell>
        </row>
        <row r="33">
          <cell r="H33">
            <v>0.21094506563113774</v>
          </cell>
        </row>
        <row r="34">
          <cell r="H34">
            <v>0.22114200170438975</v>
          </cell>
        </row>
        <row r="35">
          <cell r="H35">
            <v>0.20033571011302001</v>
          </cell>
        </row>
        <row r="36">
          <cell r="H36">
            <v>0.2088068946745798</v>
          </cell>
        </row>
        <row r="37">
          <cell r="H37">
            <v>0.19895740390789407</v>
          </cell>
        </row>
        <row r="38">
          <cell r="H38">
            <v>0.22254279669167149</v>
          </cell>
        </row>
        <row r="39">
          <cell r="H39">
            <v>0.32782325118771566</v>
          </cell>
        </row>
        <row r="40">
          <cell r="H40">
            <v>0.1404424588963212</v>
          </cell>
        </row>
        <row r="41">
          <cell r="H41">
            <v>0.15498161973077781</v>
          </cell>
        </row>
        <row r="42">
          <cell r="H42">
            <v>0.22031799938817112</v>
          </cell>
        </row>
        <row r="43">
          <cell r="H43">
            <v>0.15820736589386364</v>
          </cell>
        </row>
        <row r="44">
          <cell r="H44">
            <v>0.23124619223292053</v>
          </cell>
        </row>
        <row r="45">
          <cell r="H45">
            <v>0.24113534072653886</v>
          </cell>
        </row>
        <row r="46">
          <cell r="H46">
            <v>0.23845423964291163</v>
          </cell>
        </row>
        <row r="47">
          <cell r="H47">
            <v>0.2015988668185506</v>
          </cell>
        </row>
        <row r="48">
          <cell r="H48">
            <v>0.19105010155621463</v>
          </cell>
        </row>
        <row r="49">
          <cell r="H49">
            <v>0.20378651559004954</v>
          </cell>
        </row>
        <row r="50">
          <cell r="H50">
            <v>0.14548714514028421</v>
          </cell>
        </row>
        <row r="51">
          <cell r="H51">
            <v>0.19872018013981518</v>
          </cell>
        </row>
        <row r="52">
          <cell r="H52">
            <v>0.18201474107993432</v>
          </cell>
        </row>
        <row r="53">
          <cell r="H53">
            <v>0.20984581189172136</v>
          </cell>
        </row>
        <row r="54">
          <cell r="H54">
            <v>0.38407016996119214</v>
          </cell>
        </row>
        <row r="55">
          <cell r="H55">
            <v>0.24228527607361969</v>
          </cell>
        </row>
        <row r="56">
          <cell r="H56">
            <v>0.23128677128184674</v>
          </cell>
        </row>
        <row r="57">
          <cell r="H57">
            <v>0.20955223008563117</v>
          </cell>
        </row>
        <row r="58">
          <cell r="H58">
            <v>0.16732223134836754</v>
          </cell>
        </row>
        <row r="59">
          <cell r="H59">
            <v>0.21083263277631181</v>
          </cell>
        </row>
        <row r="60">
          <cell r="H60">
            <v>0.20377136598084747</v>
          </cell>
        </row>
        <row r="61">
          <cell r="H61">
            <v>0.25797346881174144</v>
          </cell>
        </row>
        <row r="62">
          <cell r="H62">
            <v>0.13472676053727245</v>
          </cell>
        </row>
        <row r="63">
          <cell r="H63">
            <v>0.44612559405051289</v>
          </cell>
        </row>
        <row r="64">
          <cell r="H64">
            <v>0.15298152239036389</v>
          </cell>
        </row>
        <row r="65">
          <cell r="H65">
            <v>4.2830130197032544E-2</v>
          </cell>
        </row>
        <row r="66">
          <cell r="H66">
            <v>0.22962895460275518</v>
          </cell>
        </row>
        <row r="67">
          <cell r="H67">
            <v>0.22877349119949147</v>
          </cell>
        </row>
        <row r="68">
          <cell r="H68">
            <v>0.2022882818442118</v>
          </cell>
        </row>
        <row r="69">
          <cell r="H69">
            <v>0.20045837235862293</v>
          </cell>
        </row>
        <row r="70">
          <cell r="H70">
            <v>6.4829821717990274E-2</v>
          </cell>
        </row>
        <row r="71">
          <cell r="H71">
            <v>0.21302882919614741</v>
          </cell>
        </row>
        <row r="72">
          <cell r="H72">
            <v>0.23558902670157125</v>
          </cell>
        </row>
        <row r="73">
          <cell r="H73">
            <v>0.24916304003227943</v>
          </cell>
        </row>
        <row r="74">
          <cell r="H74">
            <v>0.23456802565441692</v>
          </cell>
        </row>
        <row r="75">
          <cell r="H75">
            <v>0.25407023785694749</v>
          </cell>
        </row>
        <row r="76">
          <cell r="H76">
            <v>0.22297163025907965</v>
          </cell>
        </row>
        <row r="77">
          <cell r="H77">
            <v>4.4035702529034602E-3</v>
          </cell>
        </row>
        <row r="78">
          <cell r="H78">
            <v>0.20574028224664132</v>
          </cell>
        </row>
        <row r="79">
          <cell r="H79">
            <v>0</v>
          </cell>
        </row>
        <row r="80">
          <cell r="H80">
            <v>0.10212775505839949</v>
          </cell>
        </row>
        <row r="81">
          <cell r="H81">
            <v>0.13503787754453553</v>
          </cell>
        </row>
        <row r="82">
          <cell r="H82">
            <v>0.15555189720939572</v>
          </cell>
        </row>
        <row r="83">
          <cell r="H83">
            <v>0.14205695165101007</v>
          </cell>
        </row>
        <row r="84">
          <cell r="H84">
            <v>0.15916868395647554</v>
          </cell>
        </row>
        <row r="85">
          <cell r="H85">
            <v>0.19106183121096207</v>
          </cell>
        </row>
        <row r="86">
          <cell r="H86">
            <v>0.17780321331389323</v>
          </cell>
        </row>
        <row r="87">
          <cell r="H87">
            <v>0.20626448312357859</v>
          </cell>
        </row>
        <row r="88">
          <cell r="H88">
            <v>4.7446371619555242E-2</v>
          </cell>
        </row>
        <row r="89">
          <cell r="H89">
            <v>0.18446632886124401</v>
          </cell>
        </row>
        <row r="90">
          <cell r="H90">
            <v>0.22104818421663627</v>
          </cell>
        </row>
        <row r="91">
          <cell r="H91">
            <v>0.25215257842606509</v>
          </cell>
        </row>
        <row r="92">
          <cell r="H92">
            <v>0.22166954631975314</v>
          </cell>
        </row>
        <row r="93">
          <cell r="H93">
            <v>0.2228821337940716</v>
          </cell>
        </row>
        <row r="94">
          <cell r="H94">
            <v>0.24436980579597808</v>
          </cell>
        </row>
        <row r="95">
          <cell r="H95">
            <v>0.16649618768328447</v>
          </cell>
        </row>
        <row r="96">
          <cell r="H96">
            <v>0.18061405935116764</v>
          </cell>
        </row>
      </sheetData>
      <sheetData sheetId="35"/>
      <sheetData sheetId="36">
        <row r="3">
          <cell r="D3">
            <v>10.360206985338735</v>
          </cell>
          <cell r="E3">
            <v>17.033233750199781</v>
          </cell>
        </row>
        <row r="4">
          <cell r="D4">
            <v>14.590340622882026</v>
          </cell>
          <cell r="E4">
            <v>23.976115141646229</v>
          </cell>
        </row>
        <row r="5">
          <cell r="D5">
            <v>9.3937280818568443</v>
          </cell>
          <cell r="E5">
            <v>47.450143637072152</v>
          </cell>
        </row>
        <row r="6">
          <cell r="D6">
            <v>7.0219998222904456</v>
          </cell>
          <cell r="E6">
            <v>10.381787550219668</v>
          </cell>
        </row>
        <row r="7">
          <cell r="D7">
            <v>12.745223056693563</v>
          </cell>
          <cell r="E7">
            <v>27.015469059860539</v>
          </cell>
        </row>
        <row r="8">
          <cell r="D8">
            <v>7.1796271178219921</v>
          </cell>
          <cell r="E8">
            <v>14.540547974540397</v>
          </cell>
        </row>
        <row r="9">
          <cell r="D9" t="str">
            <v>NA</v>
          </cell>
          <cell r="E9" t="str">
            <v>NA</v>
          </cell>
        </row>
        <row r="10">
          <cell r="D10" t="str">
            <v>NA</v>
          </cell>
          <cell r="E10" t="str">
            <v>NA</v>
          </cell>
        </row>
        <row r="11">
          <cell r="D11">
            <v>15.905118508516384</v>
          </cell>
          <cell r="E11">
            <v>20.151879327037321</v>
          </cell>
        </row>
        <row r="12">
          <cell r="D12">
            <v>20.008347527759813</v>
          </cell>
          <cell r="E12">
            <v>24.137168786878842</v>
          </cell>
        </row>
        <row r="13">
          <cell r="D13">
            <v>6.5519630524093646</v>
          </cell>
          <cell r="E13">
            <v>8.9842493177172393</v>
          </cell>
        </row>
        <row r="14">
          <cell r="D14" t="str">
            <v>NA</v>
          </cell>
          <cell r="E14" t="str">
            <v>NA</v>
          </cell>
        </row>
        <row r="15">
          <cell r="D15">
            <v>7.8495447372704241</v>
          </cell>
          <cell r="E15">
            <v>9.7338715959223006</v>
          </cell>
        </row>
        <row r="16">
          <cell r="D16">
            <v>13.178267269008741</v>
          </cell>
          <cell r="E16">
            <v>21.791313120550598</v>
          </cell>
        </row>
        <row r="17">
          <cell r="D17">
            <v>7.388341366320442</v>
          </cell>
          <cell r="E17">
            <v>12.434965607445452</v>
          </cell>
        </row>
        <row r="18">
          <cell r="D18">
            <v>4.9188627149294541</v>
          </cell>
          <cell r="E18">
            <v>6.6585566466995108</v>
          </cell>
        </row>
        <row r="19">
          <cell r="D19">
            <v>5.0157178614705851</v>
          </cell>
          <cell r="E19">
            <v>6.7070116425908575</v>
          </cell>
        </row>
        <row r="20">
          <cell r="D20">
            <v>10.530080416847145</v>
          </cell>
          <cell r="E20">
            <v>16.533152933135522</v>
          </cell>
        </row>
        <row r="21">
          <cell r="D21">
            <v>3.8137225981171055</v>
          </cell>
          <cell r="E21">
            <v>5.3134978918000479</v>
          </cell>
        </row>
        <row r="22">
          <cell r="D22">
            <v>10.563161623441127</v>
          </cell>
          <cell r="E22">
            <v>16.723392422877364</v>
          </cell>
        </row>
        <row r="23">
          <cell r="D23">
            <v>14.733525349856887</v>
          </cell>
          <cell r="E23">
            <v>17.080897524012034</v>
          </cell>
        </row>
        <row r="24">
          <cell r="D24">
            <v>12.934160671927692</v>
          </cell>
          <cell r="E24">
            <v>18.749409005666379</v>
          </cell>
        </row>
        <row r="25">
          <cell r="D25">
            <v>30.955109543804362</v>
          </cell>
          <cell r="E25">
            <v>69.441093859764692</v>
          </cell>
        </row>
        <row r="26">
          <cell r="D26">
            <v>11.029260692823163</v>
          </cell>
          <cell r="E26">
            <v>40.682421818847885</v>
          </cell>
        </row>
        <row r="27">
          <cell r="D27">
            <v>12.336746475080462</v>
          </cell>
          <cell r="E27">
            <v>17.374965922425169</v>
          </cell>
        </row>
        <row r="28">
          <cell r="D28">
            <v>9.650215665864085</v>
          </cell>
          <cell r="E28">
            <v>30.359718234591035</v>
          </cell>
        </row>
        <row r="29">
          <cell r="D29">
            <v>12.687782652021538</v>
          </cell>
          <cell r="E29">
            <v>22.717789944737529</v>
          </cell>
        </row>
        <row r="30">
          <cell r="D30">
            <v>10.434016718178196</v>
          </cell>
          <cell r="E30">
            <v>27.827755671946431</v>
          </cell>
        </row>
        <row r="31">
          <cell r="D31">
            <v>11.91629375511652</v>
          </cell>
          <cell r="E31">
            <v>19.249574240444776</v>
          </cell>
        </row>
        <row r="32">
          <cell r="D32">
            <v>13.169580718377542</v>
          </cell>
          <cell r="E32">
            <v>22.987280318509931</v>
          </cell>
        </row>
        <row r="33">
          <cell r="D33">
            <v>17.462187520735604</v>
          </cell>
          <cell r="E33">
            <v>39.959071499427878</v>
          </cell>
        </row>
        <row r="34">
          <cell r="D34">
            <v>14.022412125338205</v>
          </cell>
          <cell r="E34">
            <v>23.388429760710196</v>
          </cell>
        </row>
        <row r="35">
          <cell r="D35">
            <v>12.608931082460121</v>
          </cell>
          <cell r="E35">
            <v>15.581328911598986</v>
          </cell>
        </row>
        <row r="36">
          <cell r="D36">
            <v>91.880271507963911</v>
          </cell>
          <cell r="E36">
            <v>90.630536583768119</v>
          </cell>
        </row>
        <row r="37">
          <cell r="D37">
            <v>13.24274225046033</v>
          </cell>
          <cell r="E37">
            <v>17.401340165255593</v>
          </cell>
        </row>
        <row r="38">
          <cell r="D38">
            <v>12.015914836847594</v>
          </cell>
          <cell r="E38">
            <v>19.708268616623734</v>
          </cell>
        </row>
        <row r="39">
          <cell r="D39">
            <v>6.2839190200646948</v>
          </cell>
          <cell r="E39">
            <v>10.046127129844884</v>
          </cell>
        </row>
        <row r="40">
          <cell r="D40">
            <v>12.701231489743156</v>
          </cell>
          <cell r="E40">
            <v>31.282179206839263</v>
          </cell>
        </row>
        <row r="41">
          <cell r="D41">
            <v>19.089978627201564</v>
          </cell>
          <cell r="E41">
            <v>32.02458868945606</v>
          </cell>
        </row>
        <row r="42">
          <cell r="D42">
            <v>12.160437523661249</v>
          </cell>
          <cell r="E42">
            <v>16.776247571494821</v>
          </cell>
        </row>
        <row r="43">
          <cell r="D43">
            <v>19.362951181106027</v>
          </cell>
          <cell r="E43">
            <v>30.48594494927957</v>
          </cell>
        </row>
        <row r="44">
          <cell r="D44">
            <v>4.3890620152083137</v>
          </cell>
          <cell r="E44">
            <v>4.5364031276398906</v>
          </cell>
        </row>
        <row r="45">
          <cell r="D45">
            <v>8.7043988675181971</v>
          </cell>
          <cell r="E45">
            <v>13.48218533002113</v>
          </cell>
        </row>
        <row r="46">
          <cell r="D46">
            <v>15.187616716813173</v>
          </cell>
          <cell r="E46">
            <v>82.577163959326853</v>
          </cell>
        </row>
        <row r="47">
          <cell r="D47">
            <v>16.847339181418562</v>
          </cell>
          <cell r="E47">
            <v>21.18720479743272</v>
          </cell>
        </row>
        <row r="48">
          <cell r="D48">
            <v>18.382536710012751</v>
          </cell>
          <cell r="E48">
            <v>24.564148067341321</v>
          </cell>
        </row>
        <row r="49">
          <cell r="D49">
            <v>7.4342754777128324</v>
          </cell>
          <cell r="E49">
            <v>9.8073341957188447</v>
          </cell>
        </row>
        <row r="50">
          <cell r="D50">
            <v>10.666709589984549</v>
          </cell>
          <cell r="E50">
            <v>12.247740216996728</v>
          </cell>
        </row>
        <row r="51">
          <cell r="D51">
            <v>14.615123157002838</v>
          </cell>
          <cell r="E51">
            <v>21.016328286322402</v>
          </cell>
        </row>
        <row r="52">
          <cell r="D52">
            <v>18.342065712597037</v>
          </cell>
          <cell r="E52">
            <v>22.443138397407701</v>
          </cell>
        </row>
        <row r="53">
          <cell r="D53">
            <v>14.083078687600038</v>
          </cell>
          <cell r="E53">
            <v>18.889167436267432</v>
          </cell>
        </row>
        <row r="54">
          <cell r="D54">
            <v>6.5793971374589546</v>
          </cell>
          <cell r="E54">
            <v>8.8543889128364412</v>
          </cell>
        </row>
        <row r="55">
          <cell r="D55">
            <v>8.4487645169046903</v>
          </cell>
          <cell r="E55">
            <v>14.906166393314605</v>
          </cell>
        </row>
        <row r="56">
          <cell r="D56">
            <v>5.7320775498789676</v>
          </cell>
          <cell r="E56">
            <v>7.9816868353676975</v>
          </cell>
        </row>
        <row r="57">
          <cell r="D57">
            <v>4.2762475428828282</v>
          </cell>
          <cell r="E57">
            <v>5.8693014187188091</v>
          </cell>
        </row>
        <row r="58">
          <cell r="D58">
            <v>11.364603400921791</v>
          </cell>
          <cell r="E58">
            <v>19.407040295183869</v>
          </cell>
        </row>
        <row r="59">
          <cell r="D59">
            <v>5.8988963206205138</v>
          </cell>
          <cell r="E59">
            <v>7.7833497505910376</v>
          </cell>
        </row>
        <row r="60">
          <cell r="D60">
            <v>8.2417995740318624</v>
          </cell>
          <cell r="E60">
            <v>12.954725986412068</v>
          </cell>
        </row>
        <row r="61">
          <cell r="D61">
            <v>3.4314540119535057</v>
          </cell>
          <cell r="E61">
            <v>4.1600867348658133</v>
          </cell>
        </row>
        <row r="62">
          <cell r="D62">
            <v>12.972637040869596</v>
          </cell>
          <cell r="E62">
            <v>23.94821694902156</v>
          </cell>
        </row>
        <row r="63">
          <cell r="D63">
            <v>10.884098925641386</v>
          </cell>
          <cell r="E63">
            <v>33.924611581302663</v>
          </cell>
        </row>
        <row r="64">
          <cell r="D64">
            <v>8.3960946722323548</v>
          </cell>
          <cell r="E64">
            <v>14.858834219149905</v>
          </cell>
        </row>
        <row r="65">
          <cell r="D65">
            <v>19.889516018721697</v>
          </cell>
          <cell r="E65">
            <v>43.36149682247148</v>
          </cell>
        </row>
        <row r="66">
          <cell r="D66">
            <v>10.539631090506099</v>
          </cell>
          <cell r="E66">
            <v>15.458491482757813</v>
          </cell>
        </row>
        <row r="67">
          <cell r="D67">
            <v>14.89079423992054</v>
          </cell>
          <cell r="E67">
            <v>21.390967318368396</v>
          </cell>
        </row>
        <row r="68">
          <cell r="D68">
            <v>8.7971462659737867</v>
          </cell>
          <cell r="E68">
            <v>159.94211887150664</v>
          </cell>
        </row>
        <row r="69">
          <cell r="D69">
            <v>9.6622797370029652</v>
          </cell>
          <cell r="E69">
            <v>20.261567691401542</v>
          </cell>
        </row>
        <row r="70">
          <cell r="D70">
            <v>12.075250898524033</v>
          </cell>
          <cell r="E70">
            <v>13.620688310926171</v>
          </cell>
        </row>
        <row r="71">
          <cell r="D71">
            <v>16.789677683444001</v>
          </cell>
          <cell r="E71">
            <v>31.709447042133828</v>
          </cell>
        </row>
        <row r="72">
          <cell r="D72">
            <v>9.7510306004997052</v>
          </cell>
          <cell r="E72">
            <v>15.107260975672965</v>
          </cell>
        </row>
        <row r="73">
          <cell r="D73">
            <v>11.469128120171815</v>
          </cell>
          <cell r="E73">
            <v>14.161032414237553</v>
          </cell>
        </row>
        <row r="74">
          <cell r="D74">
            <v>9.4337028665467226</v>
          </cell>
          <cell r="E74">
            <v>11.189698840895451</v>
          </cell>
        </row>
        <row r="75">
          <cell r="D75">
            <v>11.895592388704946</v>
          </cell>
          <cell r="E75">
            <v>19.728979846455509</v>
          </cell>
        </row>
        <row r="76">
          <cell r="D76">
            <v>5.89476304542662</v>
          </cell>
          <cell r="E76">
            <v>12.820375172626665</v>
          </cell>
        </row>
        <row r="77">
          <cell r="D77">
            <v>16.070943107400783</v>
          </cell>
          <cell r="E77">
            <v>98.640738304840809</v>
          </cell>
        </row>
        <row r="78">
          <cell r="D78">
            <v>8.3999023750456416</v>
          </cell>
          <cell r="E78">
            <v>16.588661331446687</v>
          </cell>
        </row>
        <row r="79">
          <cell r="D79">
            <v>4.8112747740259056</v>
          </cell>
          <cell r="E79">
            <v>9.4223053989184908</v>
          </cell>
        </row>
        <row r="80">
          <cell r="D80">
            <v>12.655041430895425</v>
          </cell>
          <cell r="E80">
            <v>19.336945230156992</v>
          </cell>
        </row>
        <row r="81">
          <cell r="D81">
            <v>11.777235010380455</v>
          </cell>
          <cell r="E81">
            <v>13.342294844275649</v>
          </cell>
        </row>
        <row r="82">
          <cell r="D82">
            <v>3.2815362092121219</v>
          </cell>
          <cell r="E82">
            <v>4.0638748800590418</v>
          </cell>
        </row>
        <row r="83">
          <cell r="D83">
            <v>20.228666883751565</v>
          </cell>
          <cell r="E83">
            <v>25.052228696194703</v>
          </cell>
        </row>
        <row r="84">
          <cell r="D84">
            <v>10.654085080406665</v>
          </cell>
          <cell r="E84">
            <v>13.78633819467794</v>
          </cell>
        </row>
        <row r="85">
          <cell r="D85">
            <v>14.835872625839691</v>
          </cell>
          <cell r="E85" t="str">
            <v>NA</v>
          </cell>
        </row>
        <row r="86">
          <cell r="D86">
            <v>21.327869033251581</v>
          </cell>
          <cell r="E86">
            <v>31.832828872759528</v>
          </cell>
        </row>
        <row r="87">
          <cell r="D87">
            <v>2.9604690976503054</v>
          </cell>
          <cell r="E87">
            <v>3.3903648016728862</v>
          </cell>
        </row>
        <row r="88">
          <cell r="D88">
            <v>8.7408928619052606</v>
          </cell>
          <cell r="E88">
            <v>25.662492041051511</v>
          </cell>
        </row>
        <row r="89">
          <cell r="D89">
            <v>14.699355157441362</v>
          </cell>
          <cell r="E89">
            <v>19.000536879308321</v>
          </cell>
        </row>
        <row r="90">
          <cell r="D90">
            <v>5.9843541152342832</v>
          </cell>
          <cell r="E90">
            <v>10.877670675991812</v>
          </cell>
        </row>
        <row r="91">
          <cell r="D91">
            <v>10.761389721102821</v>
          </cell>
          <cell r="E91">
            <v>11.467667597500895</v>
          </cell>
        </row>
        <row r="92">
          <cell r="D92">
            <v>7.6537113434500652</v>
          </cell>
          <cell r="E92">
            <v>11.544187954700289</v>
          </cell>
        </row>
        <row r="93">
          <cell r="D93">
            <v>12.476631341363998</v>
          </cell>
          <cell r="E93">
            <v>15.865279366688831</v>
          </cell>
        </row>
        <row r="94">
          <cell r="D94">
            <v>6.3383734793169006</v>
          </cell>
          <cell r="E94">
            <v>11.6361932152168</v>
          </cell>
        </row>
        <row r="95">
          <cell r="D95">
            <v>13.745257053013487</v>
          </cell>
          <cell r="E95">
            <v>23.7623070921024</v>
          </cell>
        </row>
        <row r="96">
          <cell r="D96">
            <v>20.002976875109358</v>
          </cell>
          <cell r="E96">
            <v>31.139459378884858</v>
          </cell>
        </row>
      </sheetData>
      <sheetData sheetId="37">
        <row r="13">
          <cell r="D13">
            <v>0.13572524073636261</v>
          </cell>
          <cell r="G13">
            <v>5.8800000000000005E-2</v>
          </cell>
          <cell r="K13">
            <v>0.10729463931854823</v>
          </cell>
        </row>
        <row r="14">
          <cell r="D14">
            <v>0.12280242744739564</v>
          </cell>
          <cell r="G14">
            <v>5.5E-2</v>
          </cell>
          <cell r="K14">
            <v>0.10594482009093814</v>
          </cell>
        </row>
        <row r="15">
          <cell r="D15">
            <v>0.12290832620918106</v>
          </cell>
          <cell r="G15">
            <v>5.5E-2</v>
          </cell>
          <cell r="K15">
            <v>6.9768520461179928E-2</v>
          </cell>
        </row>
        <row r="16">
          <cell r="D16">
            <v>0.11748702571231125</v>
          </cell>
          <cell r="G16">
            <v>5.5E-2</v>
          </cell>
          <cell r="K16">
            <v>9.1547448644762622E-2</v>
          </cell>
        </row>
        <row r="17">
          <cell r="D17">
            <v>0.13031150189817081</v>
          </cell>
          <cell r="G17">
            <v>5.8800000000000005E-2</v>
          </cell>
          <cell r="K17">
            <v>0.10150124989331025</v>
          </cell>
        </row>
        <row r="18">
          <cell r="D18">
            <v>0.12635511369361574</v>
          </cell>
          <cell r="G18">
            <v>5.5E-2</v>
          </cell>
          <cell r="K18">
            <v>0.10090782663624806</v>
          </cell>
        </row>
        <row r="19">
          <cell r="D19">
            <v>0.10295803430514877</v>
          </cell>
          <cell r="G19">
            <v>4.7300000000000002E-2</v>
          </cell>
          <cell r="K19">
            <v>5.6804419043127219E-2</v>
          </cell>
        </row>
        <row r="20">
          <cell r="D20">
            <v>6.8789529544534794E-2</v>
          </cell>
          <cell r="G20">
            <v>4.7300000000000002E-2</v>
          </cell>
          <cell r="K20">
            <v>5.5712254146514525E-2</v>
          </cell>
        </row>
        <row r="21">
          <cell r="D21">
            <v>9.8970669452058888E-2</v>
          </cell>
          <cell r="G21">
            <v>5.5E-2</v>
          </cell>
          <cell r="K21">
            <v>8.8211855004339756E-2</v>
          </cell>
        </row>
        <row r="22">
          <cell r="D22">
            <v>0.11622453243838685</v>
          </cell>
          <cell r="G22">
            <v>5.5E-2</v>
          </cell>
          <cell r="K22">
            <v>0.10629307611688682</v>
          </cell>
        </row>
        <row r="23">
          <cell r="D23">
            <v>0.11733028336730504</v>
          </cell>
          <cell r="G23">
            <v>5.5E-2</v>
          </cell>
          <cell r="K23">
            <v>7.2072689068383045E-2</v>
          </cell>
        </row>
        <row r="24">
          <cell r="D24">
            <v>0.11036561240331036</v>
          </cell>
          <cell r="G24">
            <v>5.5E-2</v>
          </cell>
          <cell r="K24">
            <v>6.4205262247417128E-2</v>
          </cell>
        </row>
        <row r="25">
          <cell r="D25">
            <v>0.11467043763252945</v>
          </cell>
          <cell r="G25">
            <v>5.5E-2</v>
          </cell>
          <cell r="K25">
            <v>9.8197643578034066E-2</v>
          </cell>
        </row>
        <row r="26">
          <cell r="D26">
            <v>0.10835264921490775</v>
          </cell>
          <cell r="G26">
            <v>5.5E-2</v>
          </cell>
          <cell r="K26">
            <v>9.3890340335996511E-2</v>
          </cell>
        </row>
        <row r="27">
          <cell r="D27">
            <v>0.11335675324844872</v>
          </cell>
          <cell r="G27">
            <v>5.5E-2</v>
          </cell>
          <cell r="K27">
            <v>7.6039501079269961E-2</v>
          </cell>
        </row>
        <row r="28">
          <cell r="D28">
            <v>0.11287782773972756</v>
          </cell>
          <cell r="G28">
            <v>5.5E-2</v>
          </cell>
          <cell r="K28">
            <v>8.9549092209944864E-2</v>
          </cell>
        </row>
        <row r="29">
          <cell r="D29">
            <v>0.12270791909526954</v>
          </cell>
          <cell r="G29">
            <v>5.5E-2</v>
          </cell>
          <cell r="K29">
            <v>9.2726762346118707E-2</v>
          </cell>
        </row>
        <row r="30">
          <cell r="D30">
            <v>0.11467130565107583</v>
          </cell>
          <cell r="G30">
            <v>5.5E-2</v>
          </cell>
          <cell r="K30">
            <v>9.8878578628661895E-2</v>
          </cell>
        </row>
        <row r="31">
          <cell r="D31">
            <v>0.12505942558372368</v>
          </cell>
          <cell r="G31">
            <v>5.8800000000000005E-2</v>
          </cell>
          <cell r="K31">
            <v>0.11061893812724044</v>
          </cell>
        </row>
        <row r="32">
          <cell r="D32">
            <v>0.10838038377796451</v>
          </cell>
          <cell r="G32">
            <v>5.5E-2</v>
          </cell>
          <cell r="K32">
            <v>9.1890342607912456E-2</v>
          </cell>
        </row>
        <row r="33">
          <cell r="D33">
            <v>0.11549053007138774</v>
          </cell>
          <cell r="G33">
            <v>5.5E-2</v>
          </cell>
          <cell r="K33">
            <v>0.10903551915795263</v>
          </cell>
        </row>
        <row r="34">
          <cell r="D34">
            <v>0.11390512256989718</v>
          </cell>
          <cell r="G34">
            <v>5.5E-2</v>
          </cell>
          <cell r="K34">
            <v>9.7084320436411659E-2</v>
          </cell>
        </row>
        <row r="35">
          <cell r="D35">
            <v>0.10047077140187777</v>
          </cell>
          <cell r="G35">
            <v>5.8800000000000005E-2</v>
          </cell>
          <cell r="K35">
            <v>9.0596507704384821E-2</v>
          </cell>
        </row>
        <row r="36">
          <cell r="D36">
            <v>0.11255949143619413</v>
          </cell>
          <cell r="G36">
            <v>5.8800000000000005E-2</v>
          </cell>
          <cell r="K36">
            <v>0.10346435865628759</v>
          </cell>
        </row>
        <row r="37">
          <cell r="D37">
            <v>0.11411956563786968</v>
          </cell>
          <cell r="G37">
            <v>5.8800000000000005E-2</v>
          </cell>
          <cell r="K37">
            <v>0.10572849259539045</v>
          </cell>
        </row>
        <row r="38">
          <cell r="D38">
            <v>0.10418923602557716</v>
          </cell>
          <cell r="G38">
            <v>5.5E-2</v>
          </cell>
          <cell r="K38">
            <v>8.943852557572636E-2</v>
          </cell>
        </row>
        <row r="39">
          <cell r="D39">
            <v>0.13322631851989669</v>
          </cell>
          <cell r="G39">
            <v>5.8800000000000005E-2</v>
          </cell>
          <cell r="K39">
            <v>0.11684555033628852</v>
          </cell>
        </row>
        <row r="40">
          <cell r="D40">
            <v>0.13021179597088292</v>
          </cell>
          <cell r="G40">
            <v>5.5E-2</v>
          </cell>
          <cell r="K40">
            <v>0.11764194761083187</v>
          </cell>
        </row>
        <row r="41">
          <cell r="D41">
            <v>0.11015441422648939</v>
          </cell>
          <cell r="G41">
            <v>5.5E-2</v>
          </cell>
          <cell r="K41">
            <v>9.9242881497845506E-2</v>
          </cell>
        </row>
        <row r="42">
          <cell r="D42">
            <v>0.10988778242162026</v>
          </cell>
          <cell r="G42">
            <v>5.5E-2</v>
          </cell>
          <cell r="K42">
            <v>9.3409474624861918E-2</v>
          </cell>
        </row>
        <row r="43">
          <cell r="D43">
            <v>0.12491782400738741</v>
          </cell>
          <cell r="G43">
            <v>5.8800000000000005E-2</v>
          </cell>
          <cell r="K43">
            <v>0.10473739552267081</v>
          </cell>
        </row>
        <row r="44">
          <cell r="D44">
            <v>9.9111517394552123E-2</v>
          </cell>
          <cell r="G44">
            <v>5.5E-2</v>
          </cell>
          <cell r="K44">
            <v>8.7341394695726882E-2</v>
          </cell>
        </row>
        <row r="45">
          <cell r="D45">
            <v>0.10653462642435381</v>
          </cell>
          <cell r="G45">
            <v>5.8800000000000005E-2</v>
          </cell>
          <cell r="K45">
            <v>9.0739407465428842E-2</v>
          </cell>
        </row>
        <row r="46">
          <cell r="D46">
            <v>9.1412069374080279E-2</v>
          </cell>
          <cell r="G46">
            <v>5.5E-2</v>
          </cell>
          <cell r="K46">
            <v>4.5792035116038507E-2</v>
          </cell>
        </row>
        <row r="47">
          <cell r="D47">
            <v>9.3300701847173317E-2</v>
          </cell>
          <cell r="G47">
            <v>5.5E-2</v>
          </cell>
          <cell r="K47">
            <v>8.1643886564827822E-2</v>
          </cell>
        </row>
        <row r="48">
          <cell r="D48">
            <v>0.10554812614075315</v>
          </cell>
          <cell r="G48">
            <v>5.5E-2</v>
          </cell>
          <cell r="K48">
            <v>8.5242668262840771E-2</v>
          </cell>
        </row>
        <row r="49">
          <cell r="D49">
            <v>0.11429119645402681</v>
          </cell>
          <cell r="G49">
            <v>5.5E-2</v>
          </cell>
          <cell r="K49">
            <v>8.8090435959512978E-2</v>
          </cell>
        </row>
        <row r="50">
          <cell r="D50">
            <v>0.13388164598855057</v>
          </cell>
          <cell r="G50">
            <v>7.0099999999999996E-2</v>
          </cell>
          <cell r="K50">
            <v>8.9345969819278573E-2</v>
          </cell>
        </row>
        <row r="51">
          <cell r="D51">
            <v>0.10784556177522446</v>
          </cell>
          <cell r="G51">
            <v>5.8800000000000005E-2</v>
          </cell>
          <cell r="K51">
            <v>0.10071098833122433</v>
          </cell>
        </row>
        <row r="52">
          <cell r="D52">
            <v>0.10772569739792186</v>
          </cell>
          <cell r="G52">
            <v>5.5E-2</v>
          </cell>
          <cell r="K52">
            <v>9.5030560380352236E-2</v>
          </cell>
        </row>
        <row r="53">
          <cell r="D53">
            <v>0.12620766157481933</v>
          </cell>
          <cell r="G53">
            <v>5.8800000000000005E-2</v>
          </cell>
          <cell r="K53">
            <v>0.11599300044475092</v>
          </cell>
        </row>
        <row r="54">
          <cell r="D54">
            <v>0.12803110401893641</v>
          </cell>
          <cell r="G54">
            <v>5.5E-2</v>
          </cell>
          <cell r="K54">
            <v>0.10682647033737112</v>
          </cell>
        </row>
        <row r="55">
          <cell r="D55">
            <v>0.1085356858302559</v>
          </cell>
          <cell r="G55">
            <v>5.8800000000000005E-2</v>
          </cell>
          <cell r="K55">
            <v>7.8513892144121633E-2</v>
          </cell>
        </row>
        <row r="56">
          <cell r="D56">
            <v>0.12552260629873019</v>
          </cell>
          <cell r="G56">
            <v>5.5E-2</v>
          </cell>
          <cell r="K56">
            <v>9.1840718071778432E-2</v>
          </cell>
        </row>
        <row r="57">
          <cell r="D57">
            <v>0.10740705842688056</v>
          </cell>
          <cell r="G57">
            <v>5.8800000000000005E-2</v>
          </cell>
          <cell r="K57">
            <v>9.889993040768906E-2</v>
          </cell>
        </row>
        <row r="58">
          <cell r="D58">
            <v>0.12223994500863593</v>
          </cell>
          <cell r="G58">
            <v>5.5E-2</v>
          </cell>
          <cell r="K58">
            <v>0.11288527033347798</v>
          </cell>
        </row>
        <row r="59">
          <cell r="D59">
            <v>0.11172902441928058</v>
          </cell>
          <cell r="G59">
            <v>5.5E-2</v>
          </cell>
          <cell r="K59">
            <v>9.5261479793524589E-2</v>
          </cell>
        </row>
        <row r="60">
          <cell r="D60">
            <v>9.4597607422674118E-2</v>
          </cell>
          <cell r="G60">
            <v>5.5E-2</v>
          </cell>
          <cell r="K60">
            <v>6.8976984558387341E-2</v>
          </cell>
        </row>
        <row r="61">
          <cell r="D61">
            <v>8.6516100951786926E-2</v>
          </cell>
          <cell r="G61">
            <v>5.5E-2</v>
          </cell>
          <cell r="K61">
            <v>7.8516494393779127E-2</v>
          </cell>
        </row>
        <row r="62">
          <cell r="D62">
            <v>7.5842609496058311E-2</v>
          </cell>
          <cell r="G62">
            <v>4.7300000000000002E-2</v>
          </cell>
          <cell r="K62">
            <v>6.465354158382644E-2</v>
          </cell>
        </row>
        <row r="63">
          <cell r="D63">
            <v>0.11155412382626342</v>
          </cell>
          <cell r="G63">
            <v>5.5E-2</v>
          </cell>
          <cell r="K63">
            <v>9.9428312768754912E-2</v>
          </cell>
        </row>
        <row r="64">
          <cell r="D64">
            <v>0.11542917578036356</v>
          </cell>
          <cell r="G64">
            <v>7.0099999999999996E-2</v>
          </cell>
          <cell r="K64">
            <v>0.10428770839268217</v>
          </cell>
        </row>
        <row r="65">
          <cell r="D65">
            <v>0.10871942339995216</v>
          </cell>
          <cell r="G65">
            <v>5.5E-2</v>
          </cell>
          <cell r="K65">
            <v>8.169894962414706E-2</v>
          </cell>
        </row>
        <row r="66">
          <cell r="D66">
            <v>9.6862662029294638E-2</v>
          </cell>
          <cell r="G66">
            <v>5.5E-2</v>
          </cell>
          <cell r="K66">
            <v>9.1125119879603117E-2</v>
          </cell>
        </row>
        <row r="67">
          <cell r="D67">
            <v>0.11349143419840936</v>
          </cell>
          <cell r="G67">
            <v>5.8800000000000005E-2</v>
          </cell>
          <cell r="K67">
            <v>0.10188606830617017</v>
          </cell>
        </row>
        <row r="68">
          <cell r="D68">
            <v>9.7680566680833608E-2</v>
          </cell>
          <cell r="G68">
            <v>5.5E-2</v>
          </cell>
          <cell r="K68">
            <v>7.4171219061293828E-2</v>
          </cell>
        </row>
        <row r="69">
          <cell r="D69">
            <v>0.12048446566138887</v>
          </cell>
          <cell r="G69">
            <v>5.5E-2</v>
          </cell>
          <cell r="K69">
            <v>0.10100261513897765</v>
          </cell>
        </row>
        <row r="70">
          <cell r="D70">
            <v>9.5373866616575903E-2</v>
          </cell>
          <cell r="G70">
            <v>4.7300000000000002E-2</v>
          </cell>
          <cell r="K70">
            <v>7.24574514874404E-2</v>
          </cell>
        </row>
        <row r="71">
          <cell r="D71">
            <v>0.1209505962656811</v>
          </cell>
          <cell r="G71">
            <v>5.5E-2</v>
          </cell>
          <cell r="K71">
            <v>9.6649565826932238E-2</v>
          </cell>
        </row>
        <row r="72">
          <cell r="D72">
            <v>8.1865057897788168E-2</v>
          </cell>
          <cell r="G72">
            <v>4.7300000000000002E-2</v>
          </cell>
          <cell r="K72">
            <v>6.1661029480277525E-2</v>
          </cell>
        </row>
        <row r="73">
          <cell r="D73">
            <v>0.11207697091486889</v>
          </cell>
          <cell r="G73">
            <v>7.0099999999999996E-2</v>
          </cell>
          <cell r="K73">
            <v>0.10372590869683809</v>
          </cell>
        </row>
        <row r="74">
          <cell r="D74">
            <v>0.10502480913527724</v>
          </cell>
          <cell r="G74">
            <v>5.5E-2</v>
          </cell>
          <cell r="K74">
            <v>8.6106121986008144E-2</v>
          </cell>
        </row>
        <row r="75">
          <cell r="D75">
            <v>0.10196453695452617</v>
          </cell>
          <cell r="G75">
            <v>4.7300000000000002E-2</v>
          </cell>
          <cell r="K75">
            <v>7.297024161006857E-2</v>
          </cell>
        </row>
        <row r="76">
          <cell r="D76">
            <v>0.12889153152264163</v>
          </cell>
          <cell r="G76">
            <v>5.8800000000000005E-2</v>
          </cell>
          <cell r="K76">
            <v>8.3991279254089821E-2</v>
          </cell>
        </row>
        <row r="77">
          <cell r="D77">
            <v>8.5714296824393993E-2</v>
          </cell>
          <cell r="G77">
            <v>5.5E-2</v>
          </cell>
          <cell r="K77">
            <v>7.3051371796759967E-2</v>
          </cell>
        </row>
        <row r="78">
          <cell r="D78">
            <v>0.11872176921454881</v>
          </cell>
          <cell r="G78">
            <v>5.5E-2</v>
          </cell>
          <cell r="K78">
            <v>7.8272235021963815E-2</v>
          </cell>
        </row>
        <row r="79">
          <cell r="D79">
            <v>0.12302806808332069</v>
          </cell>
          <cell r="G79">
            <v>5.5E-2</v>
          </cell>
          <cell r="K79">
            <v>9.5029941073845062E-2</v>
          </cell>
        </row>
        <row r="80">
          <cell r="D80">
            <v>8.8057343282931272E-2</v>
          </cell>
          <cell r="G80">
            <v>4.7300000000000002E-2</v>
          </cell>
          <cell r="K80">
            <v>7.1714023820378447E-2</v>
          </cell>
        </row>
        <row r="81">
          <cell r="D81">
            <v>0.12257763340779204</v>
          </cell>
          <cell r="G81">
            <v>5.5E-2</v>
          </cell>
          <cell r="K81">
            <v>0.10343876812214023</v>
          </cell>
        </row>
        <row r="82">
          <cell r="D82">
            <v>0.12909943522330541</v>
          </cell>
          <cell r="G82">
            <v>5.5E-2</v>
          </cell>
          <cell r="K82">
            <v>9.7032092787248961E-2</v>
          </cell>
        </row>
        <row r="83">
          <cell r="D83">
            <v>0.14507683765072193</v>
          </cell>
          <cell r="G83">
            <v>5.5E-2</v>
          </cell>
          <cell r="K83">
            <v>0.12690614714267401</v>
          </cell>
        </row>
        <row r="84">
          <cell r="D84">
            <v>0.11454959419026922</v>
          </cell>
          <cell r="G84">
            <v>5.5E-2</v>
          </cell>
          <cell r="K84">
            <v>9.3769176303337004E-2</v>
          </cell>
        </row>
        <row r="85">
          <cell r="D85">
            <v>0.11977488895039763</v>
          </cell>
          <cell r="G85">
            <v>5.5E-2</v>
          </cell>
          <cell r="K85">
            <v>0.10670396701953999</v>
          </cell>
        </row>
        <row r="86">
          <cell r="D86">
            <v>7.8453642143950508E-2</v>
          </cell>
          <cell r="G86">
            <v>5.5E-2</v>
          </cell>
          <cell r="K86">
            <v>6.3686489300322585E-2</v>
          </cell>
        </row>
        <row r="87">
          <cell r="D87">
            <v>0.12713552612600376</v>
          </cell>
          <cell r="G87">
            <v>5.8800000000000005E-2</v>
          </cell>
          <cell r="K87">
            <v>0.11377561258746482</v>
          </cell>
        </row>
        <row r="88">
          <cell r="D88">
            <v>0.12642731852317574</v>
          </cell>
          <cell r="G88">
            <v>5.5E-2</v>
          </cell>
          <cell r="K88">
            <v>0.10245890661070772</v>
          </cell>
        </row>
        <row r="89">
          <cell r="D89">
            <v>8.8578089790004505E-2</v>
          </cell>
          <cell r="G89">
            <v>5.5E-2</v>
          </cell>
          <cell r="K89">
            <v>5.2247990895071483E-2</v>
          </cell>
        </row>
        <row r="90">
          <cell r="D90">
            <v>0.13430012776286371</v>
          </cell>
          <cell r="G90">
            <v>5.5E-2</v>
          </cell>
          <cell r="K90">
            <v>0.12487881611852436</v>
          </cell>
        </row>
        <row r="91">
          <cell r="D91">
            <v>0.1431742776699238</v>
          </cell>
          <cell r="G91">
            <v>5.5E-2</v>
          </cell>
          <cell r="K91">
            <v>0.13242736181428552</v>
          </cell>
        </row>
        <row r="92">
          <cell r="D92">
            <v>9.4858074731747261E-2</v>
          </cell>
          <cell r="G92">
            <v>5.5E-2</v>
          </cell>
          <cell r="K92">
            <v>7.9811806911007713E-2</v>
          </cell>
        </row>
        <row r="93">
          <cell r="D93">
            <v>0.11766493651157327</v>
          </cell>
          <cell r="G93">
            <v>5.5E-2</v>
          </cell>
          <cell r="K93">
            <v>0.11134640097735939</v>
          </cell>
        </row>
        <row r="94">
          <cell r="D94">
            <v>0.11979639841928282</v>
          </cell>
          <cell r="G94">
            <v>5.8800000000000005E-2</v>
          </cell>
          <cell r="K94">
            <v>0.11632763909909853</v>
          </cell>
        </row>
        <row r="95">
          <cell r="D95">
            <v>0.13094756973001703</v>
          </cell>
          <cell r="G95">
            <v>5.8800000000000005E-2</v>
          </cell>
          <cell r="K95">
            <v>0.11791516039134364</v>
          </cell>
        </row>
        <row r="96">
          <cell r="D96">
            <v>0.1261044116707209</v>
          </cell>
          <cell r="G96">
            <v>5.8800000000000005E-2</v>
          </cell>
          <cell r="K96">
            <v>0.11908240552609259</v>
          </cell>
        </row>
        <row r="97">
          <cell r="D97">
            <v>0.11854357198189602</v>
          </cell>
          <cell r="G97">
            <v>5.5E-2</v>
          </cell>
          <cell r="K97">
            <v>0.10135615526221226</v>
          </cell>
        </row>
        <row r="98">
          <cell r="D98">
            <v>0.10003983838975619</v>
          </cell>
          <cell r="G98">
            <v>5.8800000000000005E-2</v>
          </cell>
          <cell r="K98">
            <v>7.7971219291561963E-2</v>
          </cell>
        </row>
        <row r="99">
          <cell r="D99">
            <v>0.11204729754011561</v>
          </cell>
          <cell r="G99">
            <v>5.5E-2</v>
          </cell>
          <cell r="K99">
            <v>0.10464394813646649</v>
          </cell>
        </row>
        <row r="100">
          <cell r="D100">
            <v>9.1206729017968183E-2</v>
          </cell>
          <cell r="G100">
            <v>5.8800000000000005E-2</v>
          </cell>
          <cell r="K100">
            <v>6.5736619727853246E-2</v>
          </cell>
        </row>
        <row r="101">
          <cell r="D101">
            <v>0.15762711626861525</v>
          </cell>
          <cell r="G101">
            <v>5.5E-2</v>
          </cell>
          <cell r="K101">
            <v>0.1350606001627262</v>
          </cell>
        </row>
        <row r="102">
          <cell r="D102">
            <v>0.10166098551616552</v>
          </cell>
          <cell r="G102">
            <v>5.5E-2</v>
          </cell>
          <cell r="K102">
            <v>8.7895753110726366E-2</v>
          </cell>
        </row>
        <row r="103">
          <cell r="D103">
            <v>0.10460515321298389</v>
          </cell>
          <cell r="G103">
            <v>4.7300000000000002E-2</v>
          </cell>
          <cell r="K103">
            <v>8.9715486100403807E-2</v>
          </cell>
        </row>
        <row r="104">
          <cell r="D104">
            <v>0.13058039357058715</v>
          </cell>
          <cell r="G104">
            <v>5.5E-2</v>
          </cell>
          <cell r="K104">
            <v>0.10332224468426371</v>
          </cell>
        </row>
        <row r="105">
          <cell r="D105">
            <v>7.6527281524337909E-2</v>
          </cell>
          <cell r="G105">
            <v>4.7300000000000002E-2</v>
          </cell>
          <cell r="K105">
            <v>5.9044559752505103E-2</v>
          </cell>
        </row>
        <row r="106">
          <cell r="D106">
            <v>0.10725347200529603</v>
          </cell>
          <cell r="G106">
            <v>5.5E-2</v>
          </cell>
          <cell r="K106">
            <v>8.7278656979083574E-2</v>
          </cell>
        </row>
      </sheetData>
      <sheetData sheetId="38"/>
      <sheetData sheetId="39">
        <row r="2">
          <cell r="F2">
            <v>3.141449120879309E-2</v>
          </cell>
        </row>
        <row r="3">
          <cell r="F3">
            <v>0.46912992617043536</v>
          </cell>
        </row>
        <row r="4">
          <cell r="F4">
            <v>1.0475454736403853E-2</v>
          </cell>
        </row>
        <row r="5">
          <cell r="F5">
            <v>0.26207135646756324</v>
          </cell>
        </row>
        <row r="6">
          <cell r="F6">
            <v>-2.638232462945013E-3</v>
          </cell>
        </row>
        <row r="7">
          <cell r="F7">
            <v>0.16055172230589412</v>
          </cell>
        </row>
        <row r="8">
          <cell r="F8" t="str">
            <v>NA</v>
          </cell>
        </row>
        <row r="9">
          <cell r="F9" t="str">
            <v>NA</v>
          </cell>
        </row>
        <row r="10">
          <cell r="F10">
            <v>0.15335977242937937</v>
          </cell>
        </row>
        <row r="11">
          <cell r="F11">
            <v>-9.0576564930885367E-2</v>
          </cell>
        </row>
        <row r="12">
          <cell r="F12">
            <v>0.10620894391959061</v>
          </cell>
        </row>
        <row r="13">
          <cell r="F13" t="str">
            <v>NA</v>
          </cell>
        </row>
        <row r="14">
          <cell r="F14">
            <v>0.18212892955536489</v>
          </cell>
        </row>
        <row r="15">
          <cell r="F15">
            <v>0.13038697382193254</v>
          </cell>
        </row>
        <row r="16">
          <cell r="F16">
            <v>5.9344318007066689E-3</v>
          </cell>
        </row>
        <row r="17">
          <cell r="F17">
            <v>0.13501869928478144</v>
          </cell>
        </row>
        <row r="18">
          <cell r="F18">
            <v>0.14468858429825437</v>
          </cell>
        </row>
        <row r="19">
          <cell r="F19">
            <v>0.22710714698009443</v>
          </cell>
        </row>
        <row r="20">
          <cell r="F20">
            <v>7.193329766827207E-2</v>
          </cell>
        </row>
        <row r="21">
          <cell r="F21">
            <v>0.15591437376823686</v>
          </cell>
        </row>
        <row r="22">
          <cell r="F22">
            <v>-8.7617856695005242E-2</v>
          </cell>
        </row>
        <row r="23">
          <cell r="F23">
            <v>0.20313324960220644</v>
          </cell>
        </row>
        <row r="24">
          <cell r="F24">
            <v>7.6139744625110986E-2</v>
          </cell>
        </row>
        <row r="25">
          <cell r="F25">
            <v>0.12996962084632474</v>
          </cell>
        </row>
        <row r="26">
          <cell r="F26">
            <v>0.19448863395055158</v>
          </cell>
        </row>
        <row r="27">
          <cell r="F27">
            <v>7.9575056602342875E-2</v>
          </cell>
        </row>
        <row r="28">
          <cell r="F28">
            <v>0.25546598517273594</v>
          </cell>
        </row>
        <row r="29">
          <cell r="F29">
            <v>0.13681325152347834</v>
          </cell>
        </row>
        <row r="30">
          <cell r="F30">
            <v>0.22422007253520718</v>
          </cell>
        </row>
        <row r="31">
          <cell r="F31">
            <v>0.2001452260073408</v>
          </cell>
        </row>
        <row r="32">
          <cell r="F32">
            <v>4.1918182350946673E-2</v>
          </cell>
        </row>
        <row r="33">
          <cell r="F33">
            <v>0.10044659986151996</v>
          </cell>
        </row>
        <row r="34">
          <cell r="F34">
            <v>0.14828566056749271</v>
          </cell>
        </row>
        <row r="35">
          <cell r="F35" t="str">
            <v>NA</v>
          </cell>
        </row>
        <row r="36">
          <cell r="F36">
            <v>6.7615070122169982E-2</v>
          </cell>
        </row>
        <row r="37">
          <cell r="F37">
            <v>6.3427895483225208E-2</v>
          </cell>
        </row>
        <row r="38">
          <cell r="F38">
            <v>0.15842212845958345</v>
          </cell>
        </row>
        <row r="39">
          <cell r="F39">
            <v>-0.6111278234342038</v>
          </cell>
        </row>
        <row r="40">
          <cell r="F40">
            <v>0.2449164318011062</v>
          </cell>
        </row>
        <row r="41">
          <cell r="F41">
            <v>-7.1402598028056971E-2</v>
          </cell>
        </row>
        <row r="42">
          <cell r="F42">
            <v>0.22486925050519696</v>
          </cell>
        </row>
        <row r="43">
          <cell r="F43">
            <v>0.63254621439333414</v>
          </cell>
        </row>
        <row r="44">
          <cell r="F44">
            <v>0.10445838743236993</v>
          </cell>
        </row>
        <row r="45">
          <cell r="F45">
            <v>7.508768954208403E-2</v>
          </cell>
        </row>
        <row r="46">
          <cell r="F46">
            <v>8.557124926849248E-2</v>
          </cell>
        </row>
        <row r="47">
          <cell r="F47">
            <v>3.0657700926152779E-2</v>
          </cell>
        </row>
        <row r="48">
          <cell r="F48">
            <v>2.4139638910329986E-2</v>
          </cell>
        </row>
        <row r="49">
          <cell r="F49">
            <v>0.16252107176106828</v>
          </cell>
        </row>
        <row r="50">
          <cell r="F50">
            <v>-0.51115076312450791</v>
          </cell>
        </row>
        <row r="51">
          <cell r="F51" t="str">
            <v>NA</v>
          </cell>
        </row>
        <row r="52">
          <cell r="F52">
            <v>0.25954733960836424</v>
          </cell>
        </row>
        <row r="53">
          <cell r="F53">
            <v>0.12050846757809916</v>
          </cell>
        </row>
        <row r="54">
          <cell r="F54">
            <v>0.10580064791999493</v>
          </cell>
        </row>
        <row r="55">
          <cell r="F55">
            <v>3.1610616267447898E-2</v>
          </cell>
        </row>
        <row r="56">
          <cell r="F56">
            <v>-3.6044277362041313E-2</v>
          </cell>
        </row>
        <row r="57">
          <cell r="F57">
            <v>3.5242294739286945E-2</v>
          </cell>
        </row>
        <row r="58">
          <cell r="F58">
            <v>5.2452832524179795E-2</v>
          </cell>
        </row>
        <row r="59">
          <cell r="F59">
            <v>0.10397534477232311</v>
          </cell>
        </row>
        <row r="60">
          <cell r="F60">
            <v>7.955855971818733E-2</v>
          </cell>
        </row>
        <row r="61">
          <cell r="F61">
            <v>6.578724389324328E-2</v>
          </cell>
        </row>
        <row r="62">
          <cell r="F62">
            <v>0.10747723875647383</v>
          </cell>
        </row>
        <row r="63">
          <cell r="F63">
            <v>9.8783804806749545E-2</v>
          </cell>
        </row>
        <row r="64">
          <cell r="F64">
            <v>1.1802755385535975</v>
          </cell>
        </row>
        <row r="65">
          <cell r="F65">
            <v>6.8979327664156362E-2</v>
          </cell>
        </row>
        <row r="66">
          <cell r="F66">
            <v>2.0459245976207137</v>
          </cell>
        </row>
        <row r="67">
          <cell r="F67">
            <v>0.15137872576266614</v>
          </cell>
        </row>
        <row r="68">
          <cell r="F68">
            <v>0.18853137911199377</v>
          </cell>
        </row>
        <row r="69">
          <cell r="F69">
            <v>-0.17934983376431474</v>
          </cell>
        </row>
        <row r="70">
          <cell r="F70">
            <v>1.691510380042419E-2</v>
          </cell>
        </row>
        <row r="71">
          <cell r="F71">
            <v>8.1386429198359977E-2</v>
          </cell>
        </row>
        <row r="72">
          <cell r="F72">
            <v>0.10000462572456546</v>
          </cell>
        </row>
        <row r="73">
          <cell r="F73">
            <v>0.17141068041195093</v>
          </cell>
        </row>
        <row r="74">
          <cell r="F74">
            <v>2.6165379645365121E-2</v>
          </cell>
        </row>
        <row r="75">
          <cell r="F75">
            <v>-5.8215488757404205E-3</v>
          </cell>
        </row>
        <row r="76">
          <cell r="F76">
            <v>-4.2848254664685798E-3</v>
          </cell>
        </row>
        <row r="77">
          <cell r="F77">
            <v>7.8075689362575099E-2</v>
          </cell>
        </row>
        <row r="78">
          <cell r="F78">
            <v>0.13332431037672471</v>
          </cell>
        </row>
        <row r="79">
          <cell r="F79">
            <v>0.2033162539524809</v>
          </cell>
        </row>
        <row r="80">
          <cell r="F80">
            <v>0.3428701992540078</v>
          </cell>
        </row>
        <row r="81">
          <cell r="F81">
            <v>9.3958615753230112E-2</v>
          </cell>
        </row>
        <row r="82">
          <cell r="F82">
            <v>0.24978584094939296</v>
          </cell>
        </row>
        <row r="83">
          <cell r="F83">
            <v>6.6824362083113348E-2</v>
          </cell>
        </row>
        <row r="84">
          <cell r="F84">
            <v>0.11330412713427597</v>
          </cell>
        </row>
        <row r="85">
          <cell r="F85">
            <v>0.13026992114930669</v>
          </cell>
        </row>
        <row r="86">
          <cell r="F86">
            <v>0.19440238903246351</v>
          </cell>
        </row>
        <row r="87">
          <cell r="F87">
            <v>6.1437877786718699E-2</v>
          </cell>
        </row>
        <row r="88">
          <cell r="F88">
            <v>0.23107855060632893</v>
          </cell>
        </row>
        <row r="89">
          <cell r="F89">
            <v>3.6739098538658686E-3</v>
          </cell>
        </row>
        <row r="90">
          <cell r="F90">
            <v>0.11365806683826973</v>
          </cell>
        </row>
        <row r="91">
          <cell r="F91">
            <v>7.2192914926226481E-2</v>
          </cell>
        </row>
        <row r="92">
          <cell r="F92">
            <v>1.3241792225468774E-2</v>
          </cell>
        </row>
        <row r="93">
          <cell r="F93">
            <v>5.4419109231104372E-2</v>
          </cell>
        </row>
        <row r="94">
          <cell r="F94">
            <v>8.922966654204853E-2</v>
          </cell>
        </row>
        <row r="95">
          <cell r="F95">
            <v>0.11821847966647889</v>
          </cell>
        </row>
      </sheetData>
      <sheetData sheetId="40">
        <row r="2">
          <cell r="B2">
            <v>58</v>
          </cell>
        </row>
      </sheetData>
      <sheetData sheetId="41">
        <row r="11">
          <cell r="C11">
            <v>0.18166952380952381</v>
          </cell>
          <cell r="G11">
            <v>3.5092407254195046E-2</v>
          </cell>
        </row>
        <row r="12">
          <cell r="G12">
            <v>2.9131497036001801E-2</v>
          </cell>
        </row>
        <row r="13">
          <cell r="G13">
            <v>9.1652642418683206E-2</v>
          </cell>
        </row>
        <row r="14">
          <cell r="G14">
            <v>2.2325046445097148E-2</v>
          </cell>
        </row>
        <row r="15">
          <cell r="G15">
            <v>8.3226546873060775E-2</v>
          </cell>
        </row>
        <row r="16">
          <cell r="G16">
            <v>3.6131129477856731E-2</v>
          </cell>
        </row>
        <row r="17">
          <cell r="G17">
            <v>1.3070339707981026E-2</v>
          </cell>
        </row>
        <row r="18">
          <cell r="G18">
            <v>2.9363729443897247E-2</v>
          </cell>
        </row>
        <row r="19">
          <cell r="G19">
            <v>7.8763550156130638E-2</v>
          </cell>
        </row>
        <row r="20">
          <cell r="G20">
            <v>4.6621319042533797E-2</v>
          </cell>
        </row>
        <row r="21">
          <cell r="G21">
            <v>2.4926670267360996E-2</v>
          </cell>
        </row>
        <row r="22">
          <cell r="G22">
            <v>3.8056979857082368E-2</v>
          </cell>
        </row>
        <row r="23">
          <cell r="G23">
            <v>2.4582389713126325E-2</v>
          </cell>
        </row>
        <row r="24">
          <cell r="G24">
            <v>2.8421300966096921E-2</v>
          </cell>
        </row>
        <row r="25">
          <cell r="G25">
            <v>0.11049608575165179</v>
          </cell>
        </row>
        <row r="26">
          <cell r="G26">
            <v>4.6946155965922734E-2</v>
          </cell>
        </row>
        <row r="27">
          <cell r="G27">
            <v>3.7962934913559079E-2</v>
          </cell>
        </row>
        <row r="28">
          <cell r="G28">
            <v>5.9270188988379699E-2</v>
          </cell>
        </row>
        <row r="29">
          <cell r="G29">
            <v>6.654469909067097E-2</v>
          </cell>
        </row>
        <row r="30">
          <cell r="G30">
            <v>1.229709556092224E-2</v>
          </cell>
        </row>
        <row r="31">
          <cell r="G31">
            <v>3.0428476782541368E-2</v>
          </cell>
        </row>
        <row r="32">
          <cell r="G32">
            <v>5.3432457224285933E-2</v>
          </cell>
        </row>
        <row r="33">
          <cell r="G33">
            <v>4.2501393888324822E-2</v>
          </cell>
        </row>
        <row r="34">
          <cell r="G34">
            <v>3.5583539077648038E-2</v>
          </cell>
        </row>
        <row r="35">
          <cell r="G35">
            <v>4.5444497459431313E-2</v>
          </cell>
        </row>
        <row r="36">
          <cell r="G36">
            <v>3.2093203022036013E-2</v>
          </cell>
        </row>
        <row r="37">
          <cell r="G37">
            <v>5.2685242562635834E-2</v>
          </cell>
        </row>
        <row r="38">
          <cell r="G38">
            <v>1.371020423662633E-2</v>
          </cell>
        </row>
        <row r="39">
          <cell r="G39">
            <v>4.5294833336637752E-2</v>
          </cell>
        </row>
        <row r="40">
          <cell r="G40">
            <v>3.1165438708910063E-2</v>
          </cell>
        </row>
        <row r="41">
          <cell r="G41">
            <v>4.4160033252208485E-2</v>
          </cell>
        </row>
        <row r="42">
          <cell r="G42">
            <v>7.9139727267509397E-2</v>
          </cell>
        </row>
        <row r="43">
          <cell r="G43">
            <v>2.9070036355784076E-2</v>
          </cell>
        </row>
        <row r="44">
          <cell r="G44">
            <v>2.5335116701238395E-2</v>
          </cell>
        </row>
        <row r="45">
          <cell r="G45">
            <v>3.7021542355624312E-2</v>
          </cell>
        </row>
        <row r="46">
          <cell r="G46">
            <v>8.2950791892441953E-3</v>
          </cell>
        </row>
        <row r="47">
          <cell r="G47">
            <v>3.8007682752639126E-2</v>
          </cell>
        </row>
        <row r="48">
          <cell r="G48">
            <v>0.45957007087460411</v>
          </cell>
        </row>
        <row r="49">
          <cell r="G49">
            <v>4.8577665270095417E-2</v>
          </cell>
        </row>
        <row r="50">
          <cell r="G50">
            <v>7.3256589939606218E-3</v>
          </cell>
        </row>
        <row r="51">
          <cell r="G51">
            <v>4.9135934356261277E-2</v>
          </cell>
        </row>
        <row r="52">
          <cell r="G52">
            <v>5.0943446585196223E-3</v>
          </cell>
        </row>
        <row r="53">
          <cell r="G53">
            <v>6.0329489055505968E-2</v>
          </cell>
        </row>
        <row r="54">
          <cell r="G54">
            <v>8.0785888262600178E-2</v>
          </cell>
        </row>
        <row r="55">
          <cell r="G55">
            <v>3.7284036291301163E-2</v>
          </cell>
        </row>
        <row r="56">
          <cell r="G56">
            <v>2.9758877206398943E-2</v>
          </cell>
        </row>
        <row r="57">
          <cell r="G57">
            <v>9.147240996291205E-3</v>
          </cell>
        </row>
        <row r="58">
          <cell r="G58">
            <v>1.5332374828122921E-3</v>
          </cell>
        </row>
        <row r="59">
          <cell r="G59">
            <v>9.4013777390528717E-3</v>
          </cell>
        </row>
        <row r="60">
          <cell r="G60">
            <v>2.8393720405116826E-2</v>
          </cell>
        </row>
        <row r="61">
          <cell r="G61">
            <v>2.4915916926800095E-2</v>
          </cell>
        </row>
        <row r="62">
          <cell r="G62">
            <v>8.4930771623781376E-2</v>
          </cell>
        </row>
        <row r="63">
          <cell r="G63">
            <v>2.3993627737332053E-2</v>
          </cell>
        </row>
        <row r="64">
          <cell r="G64">
            <v>4.8060973431784809E-2</v>
          </cell>
        </row>
        <row r="65">
          <cell r="G65">
            <v>0.18856742461529929</v>
          </cell>
        </row>
        <row r="66">
          <cell r="G66">
            <v>7.9992412805326513E-2</v>
          </cell>
        </row>
        <row r="67">
          <cell r="G67">
            <v>1.8953404395350631E-2</v>
          </cell>
        </row>
        <row r="68">
          <cell r="G68">
            <v>5.7495724252900962E-2</v>
          </cell>
        </row>
        <row r="69">
          <cell r="G69">
            <v>4.8408856504616772E-2</v>
          </cell>
        </row>
        <row r="70">
          <cell r="G70">
            <v>0.29221902100116548</v>
          </cell>
        </row>
        <row r="71">
          <cell r="G71">
            <v>0.23691578941503644</v>
          </cell>
        </row>
        <row r="72">
          <cell r="G72">
            <v>3.4528062285865198E-2</v>
          </cell>
        </row>
        <row r="73">
          <cell r="G73">
            <v>3.0609471497529343E-2</v>
          </cell>
        </row>
        <row r="74">
          <cell r="G74">
            <v>1.6656707603486576E-2</v>
          </cell>
        </row>
        <row r="75">
          <cell r="G75">
            <v>1.8100944716585025E-2</v>
          </cell>
        </row>
        <row r="76">
          <cell r="G76">
            <v>1.1949056366529672E-2</v>
          </cell>
        </row>
        <row r="77">
          <cell r="G77">
            <v>6.3165185357422896E-2</v>
          </cell>
        </row>
        <row r="78">
          <cell r="G78">
            <v>1.4160817633296391E-3</v>
          </cell>
        </row>
        <row r="79">
          <cell r="G79">
            <v>5.5110462367772506E-2</v>
          </cell>
        </row>
        <row r="80">
          <cell r="G80">
            <v>1.7778313148109137E-2</v>
          </cell>
        </row>
        <row r="81">
          <cell r="G81">
            <v>2.2444677911148944E-2</v>
          </cell>
        </row>
        <row r="82">
          <cell r="G82">
            <v>6.0647545579341045E-2</v>
          </cell>
        </row>
        <row r="83">
          <cell r="G83">
            <v>2.8461865484092286E-2</v>
          </cell>
        </row>
        <row r="84">
          <cell r="G84">
            <v>2.1644450260973638E-2</v>
          </cell>
        </row>
        <row r="85">
          <cell r="G85">
            <v>0.11698649326936973</v>
          </cell>
        </row>
        <row r="86">
          <cell r="G86">
            <v>2.5391764038313232E-2</v>
          </cell>
        </row>
        <row r="87">
          <cell r="G87">
            <v>5.2902454698591055E-2</v>
          </cell>
        </row>
        <row r="88">
          <cell r="G88">
            <v>0.16832492397226165</v>
          </cell>
        </row>
        <row r="89">
          <cell r="G89">
            <v>4.4924997757117648E-2</v>
          </cell>
        </row>
        <row r="90">
          <cell r="G90">
            <v>5.1803655272075054E-2</v>
          </cell>
        </row>
        <row r="91">
          <cell r="G91">
            <v>8.4552047992059367E-3</v>
          </cell>
        </row>
        <row r="92">
          <cell r="G92">
            <v>0.13448757972934877</v>
          </cell>
        </row>
        <row r="93">
          <cell r="G93">
            <v>6.4780861262625E-2</v>
          </cell>
        </row>
        <row r="94">
          <cell r="G94">
            <v>8.1722212196603083E-2</v>
          </cell>
        </row>
        <row r="95">
          <cell r="G95">
            <v>4.0528385149315387E-2</v>
          </cell>
        </row>
        <row r="96">
          <cell r="G96">
            <v>0.17161754624729897</v>
          </cell>
        </row>
        <row r="97">
          <cell r="G97">
            <v>2.4601984851124619E-2</v>
          </cell>
        </row>
        <row r="98">
          <cell r="G98">
            <v>0.15170847980907021</v>
          </cell>
        </row>
        <row r="99">
          <cell r="G99">
            <v>2.2929900257818856E-2</v>
          </cell>
        </row>
        <row r="100">
          <cell r="G100">
            <v>4.7303289099368033E-2</v>
          </cell>
        </row>
        <row r="101">
          <cell r="G101">
            <v>0.14796776026105116</v>
          </cell>
        </row>
        <row r="102">
          <cell r="G102">
            <v>0.12294170091825792</v>
          </cell>
        </row>
        <row r="103">
          <cell r="G103">
            <v>0.32903516939936395</v>
          </cell>
        </row>
        <row r="104">
          <cell r="G104">
            <v>0.50557117431877918</v>
          </cell>
        </row>
      </sheetData>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sheetName val="Intermediate Worksheet"/>
      <sheetName val="Acc Pay"/>
      <sheetName val="Acc Rec"/>
      <sheetName val="Beta"/>
      <sheetName val="Cap Ex"/>
      <sheetName val="Cash"/>
      <sheetName val="cfbasics"/>
      <sheetName val="Mkt Cap Changes"/>
      <sheetName val="Debt details"/>
      <sheetName val="Debt fundamentals"/>
      <sheetName val="Div &amp; FCFE"/>
      <sheetName val="Dividend fundamentals"/>
      <sheetName val="$ Values"/>
      <sheetName val="Employee Info"/>
      <sheetName val="Excess Returns&amp; Val added"/>
      <sheetName val="Financing Flows"/>
      <sheetName val="Fundgr"/>
      <sheetName val="fundgrEB"/>
      <sheetName val="Goodwill &amp; Impairments"/>
      <sheetName val="Hist Growth"/>
      <sheetName val="Indiv Regression Stats"/>
      <sheetName val="Insider &amp; inst holdings"/>
      <sheetName val="Lease effect"/>
      <sheetName val="Margins"/>
      <sheetName val="mgnroc"/>
      <sheetName val="oifcff"/>
      <sheetName val="optvar"/>
      <sheetName val="PBV"/>
      <sheetName val="PE"/>
      <sheetName val="PS"/>
      <sheetName val="R&amp;D Details"/>
      <sheetName val="ROE"/>
      <sheetName val="Return on capital"/>
      <sheetName val="Tax rates"/>
      <sheetName val="Total Beta"/>
      <sheetName val="EVEBITDA"/>
      <sheetName val="WACC"/>
      <sheetName val="WACC Pass-through"/>
      <sheetName val="Working capital"/>
      <sheetName val="Summary Sheet for valn"/>
      <sheetName val="Summary sheet uValue"/>
      <sheetName val="Summary for ginzu sheets"/>
      <sheetName val="Sheet1"/>
      <sheetName val="Sheet2"/>
    </sheetNames>
    <sheetDataSet>
      <sheetData sheetId="0">
        <row r="3">
          <cell r="A3" t="str">
            <v>Aerospace/Defense</v>
          </cell>
          <cell r="B3">
            <v>278</v>
          </cell>
        </row>
        <row r="4">
          <cell r="A4" t="str">
            <v>Air Transport</v>
          </cell>
          <cell r="B4">
            <v>155</v>
          </cell>
        </row>
        <row r="5">
          <cell r="A5" t="str">
            <v>Apparel</v>
          </cell>
          <cell r="B5">
            <v>1146</v>
          </cell>
        </row>
        <row r="6">
          <cell r="A6" t="str">
            <v>Auto &amp; Truck</v>
          </cell>
          <cell r="B6">
            <v>154</v>
          </cell>
        </row>
        <row r="7">
          <cell r="A7" t="str">
            <v>Auto Parts</v>
          </cell>
          <cell r="B7">
            <v>746</v>
          </cell>
        </row>
        <row r="8">
          <cell r="A8" t="str">
            <v>Bank (Money Center)</v>
          </cell>
          <cell r="B8">
            <v>596</v>
          </cell>
        </row>
        <row r="9">
          <cell r="A9" t="str">
            <v>Banks (Regional)</v>
          </cell>
          <cell r="B9">
            <v>800</v>
          </cell>
        </row>
        <row r="10">
          <cell r="A10" t="str">
            <v>Beverage (Alcoholic)</v>
          </cell>
          <cell r="B10">
            <v>220</v>
          </cell>
        </row>
        <row r="11">
          <cell r="A11" t="str">
            <v>Beverage (Soft)</v>
          </cell>
          <cell r="B11">
            <v>100</v>
          </cell>
        </row>
        <row r="12">
          <cell r="A12" t="str">
            <v>Broadcasting</v>
          </cell>
          <cell r="B12">
            <v>135</v>
          </cell>
        </row>
        <row r="13">
          <cell r="A13" t="str">
            <v>Brokerage &amp; Investment Banking</v>
          </cell>
          <cell r="B13">
            <v>592</v>
          </cell>
        </row>
        <row r="14">
          <cell r="A14" t="str">
            <v>Building Materials</v>
          </cell>
          <cell r="B14">
            <v>454</v>
          </cell>
        </row>
        <row r="15">
          <cell r="A15" t="str">
            <v>Business &amp; Consumer Services</v>
          </cell>
          <cell r="B15">
            <v>961</v>
          </cell>
        </row>
        <row r="16">
          <cell r="A16" t="str">
            <v>Cable TV</v>
          </cell>
          <cell r="B16">
            <v>54</v>
          </cell>
        </row>
        <row r="17">
          <cell r="A17" t="str">
            <v>Chemical (Basic)</v>
          </cell>
          <cell r="B17">
            <v>879</v>
          </cell>
        </row>
        <row r="18">
          <cell r="A18" t="str">
            <v>Chemical (Diversified)</v>
          </cell>
          <cell r="B18">
            <v>68</v>
          </cell>
        </row>
        <row r="19">
          <cell r="A19" t="str">
            <v>Chemical (Specialty)</v>
          </cell>
          <cell r="B19">
            <v>922</v>
          </cell>
        </row>
        <row r="20">
          <cell r="A20" t="str">
            <v>Coal &amp; Related Energy</v>
          </cell>
          <cell r="B20">
            <v>212</v>
          </cell>
        </row>
        <row r="21">
          <cell r="A21" t="str">
            <v>Computer Services</v>
          </cell>
          <cell r="B21">
            <v>1105</v>
          </cell>
        </row>
        <row r="22">
          <cell r="A22" t="str">
            <v>Computers/Peripherals</v>
          </cell>
          <cell r="B22">
            <v>333</v>
          </cell>
        </row>
        <row r="23">
          <cell r="A23" t="str">
            <v>Construction Supplies</v>
          </cell>
          <cell r="B23">
            <v>790</v>
          </cell>
        </row>
        <row r="24">
          <cell r="A24" t="str">
            <v>Diversified</v>
          </cell>
          <cell r="B24">
            <v>314</v>
          </cell>
        </row>
        <row r="25">
          <cell r="A25" t="str">
            <v>Drugs (Biotechnology)</v>
          </cell>
          <cell r="B25">
            <v>1267</v>
          </cell>
        </row>
        <row r="26">
          <cell r="A26" t="str">
            <v>Drugs (Pharmaceutical)</v>
          </cell>
          <cell r="B26">
            <v>1352</v>
          </cell>
        </row>
        <row r="27">
          <cell r="A27" t="str">
            <v>Education</v>
          </cell>
          <cell r="B27">
            <v>251</v>
          </cell>
        </row>
        <row r="28">
          <cell r="A28" t="str">
            <v>Electrical Equipment</v>
          </cell>
          <cell r="B28">
            <v>1045</v>
          </cell>
        </row>
        <row r="29">
          <cell r="A29" t="str">
            <v>Electronics (Consumer &amp; Office)</v>
          </cell>
          <cell r="B29">
            <v>134</v>
          </cell>
        </row>
        <row r="30">
          <cell r="A30" t="str">
            <v>Electronics (General)</v>
          </cell>
          <cell r="B30">
            <v>1457</v>
          </cell>
        </row>
        <row r="31">
          <cell r="A31" t="str">
            <v>Engineering/Construction</v>
          </cell>
          <cell r="B31">
            <v>1269</v>
          </cell>
        </row>
        <row r="32">
          <cell r="A32" t="str">
            <v>Entertainment</v>
          </cell>
          <cell r="B32">
            <v>752</v>
          </cell>
        </row>
        <row r="33">
          <cell r="A33" t="str">
            <v>Environmental &amp; Waste Services</v>
          </cell>
          <cell r="B33">
            <v>370</v>
          </cell>
        </row>
        <row r="34">
          <cell r="A34" t="str">
            <v>Farming/Agriculture</v>
          </cell>
          <cell r="B34">
            <v>426</v>
          </cell>
        </row>
        <row r="35">
          <cell r="A35" t="str">
            <v>Financial Svcs. (Non-bank &amp; Insurance)</v>
          </cell>
          <cell r="B35">
            <v>1089</v>
          </cell>
        </row>
        <row r="36">
          <cell r="A36" t="str">
            <v>Food Processing</v>
          </cell>
          <cell r="B36">
            <v>1397</v>
          </cell>
        </row>
        <row r="37">
          <cell r="A37" t="str">
            <v>Food Wholesalers</v>
          </cell>
          <cell r="B37">
            <v>169</v>
          </cell>
        </row>
        <row r="38">
          <cell r="A38" t="str">
            <v>Furn/Home Furnishings</v>
          </cell>
          <cell r="B38">
            <v>362</v>
          </cell>
        </row>
        <row r="39">
          <cell r="A39" t="str">
            <v>Green &amp; Renewable Energy</v>
          </cell>
          <cell r="B39">
            <v>248</v>
          </cell>
        </row>
        <row r="40">
          <cell r="A40" t="str">
            <v>Healthcare Products</v>
          </cell>
          <cell r="B40">
            <v>896</v>
          </cell>
        </row>
        <row r="41">
          <cell r="A41" t="str">
            <v>Healthcare Support Services</v>
          </cell>
          <cell r="B41">
            <v>460</v>
          </cell>
        </row>
        <row r="42">
          <cell r="A42" t="str">
            <v>Heathcare Information and Technology</v>
          </cell>
          <cell r="B42">
            <v>447</v>
          </cell>
        </row>
        <row r="43">
          <cell r="A43" t="str">
            <v>Homebuilding</v>
          </cell>
          <cell r="B43">
            <v>171</v>
          </cell>
        </row>
        <row r="44">
          <cell r="A44" t="str">
            <v>Hospitals/Healthcare Facilities</v>
          </cell>
          <cell r="B44">
            <v>231</v>
          </cell>
        </row>
        <row r="45">
          <cell r="A45" t="str">
            <v>Hotel/Gaming</v>
          </cell>
          <cell r="B45">
            <v>650</v>
          </cell>
        </row>
        <row r="46">
          <cell r="A46" t="str">
            <v>Household Products</v>
          </cell>
          <cell r="B46">
            <v>589</v>
          </cell>
        </row>
        <row r="47">
          <cell r="A47" t="str">
            <v>Information Services</v>
          </cell>
          <cell r="B47">
            <v>242</v>
          </cell>
        </row>
        <row r="48">
          <cell r="A48" t="str">
            <v>Insurance (General)</v>
          </cell>
          <cell r="B48">
            <v>206</v>
          </cell>
        </row>
        <row r="49">
          <cell r="A49" t="str">
            <v>Insurance (Life)</v>
          </cell>
          <cell r="B49">
            <v>142</v>
          </cell>
        </row>
        <row r="50">
          <cell r="A50" t="str">
            <v>Insurance (Prop/Cas.)</v>
          </cell>
          <cell r="B50">
            <v>235</v>
          </cell>
        </row>
        <row r="51">
          <cell r="A51" t="str">
            <v>Investments &amp; Asset Management</v>
          </cell>
          <cell r="B51">
            <v>1660</v>
          </cell>
        </row>
        <row r="52">
          <cell r="A52" t="str">
            <v>Machinery</v>
          </cell>
          <cell r="B52">
            <v>1463</v>
          </cell>
        </row>
        <row r="53">
          <cell r="A53" t="str">
            <v>Metals &amp; Mining</v>
          </cell>
          <cell r="B53">
            <v>1783</v>
          </cell>
        </row>
        <row r="54">
          <cell r="A54" t="str">
            <v>Office Equipment &amp; Services</v>
          </cell>
          <cell r="B54">
            <v>144</v>
          </cell>
        </row>
        <row r="55">
          <cell r="A55" t="str">
            <v>Oil/Gas (Integrated)</v>
          </cell>
          <cell r="B55">
            <v>36</v>
          </cell>
        </row>
        <row r="56">
          <cell r="A56" t="str">
            <v>Oil/Gas (Production and Exploration)</v>
          </cell>
          <cell r="B56">
            <v>616</v>
          </cell>
        </row>
        <row r="57">
          <cell r="A57" t="str">
            <v>Oil/Gas Distribution</v>
          </cell>
          <cell r="B57">
            <v>166</v>
          </cell>
        </row>
        <row r="58">
          <cell r="A58" t="str">
            <v>Oilfield Svcs/Equip.</v>
          </cell>
          <cell r="B58">
            <v>455</v>
          </cell>
        </row>
        <row r="59">
          <cell r="A59" t="str">
            <v>Packaging &amp; Container</v>
          </cell>
          <cell r="B59">
            <v>414</v>
          </cell>
        </row>
        <row r="60">
          <cell r="A60" t="str">
            <v>Paper/Forest Products</v>
          </cell>
          <cell r="B60">
            <v>268</v>
          </cell>
        </row>
        <row r="61">
          <cell r="A61" t="str">
            <v>Power</v>
          </cell>
          <cell r="B61">
            <v>485</v>
          </cell>
        </row>
        <row r="62">
          <cell r="A62" t="str">
            <v>Precious Metals</v>
          </cell>
          <cell r="B62">
            <v>930</v>
          </cell>
        </row>
        <row r="63">
          <cell r="A63" t="str">
            <v>Publishing &amp; Newspapers</v>
          </cell>
          <cell r="B63">
            <v>327</v>
          </cell>
        </row>
        <row r="64">
          <cell r="A64" t="str">
            <v>R.E.I.T.</v>
          </cell>
          <cell r="B64">
            <v>792</v>
          </cell>
        </row>
        <row r="65">
          <cell r="A65" t="str">
            <v>Real Estate (Development)</v>
          </cell>
          <cell r="B65">
            <v>869</v>
          </cell>
        </row>
        <row r="66">
          <cell r="A66" t="str">
            <v>Real Estate (General/Diversified)</v>
          </cell>
          <cell r="B66">
            <v>342</v>
          </cell>
        </row>
        <row r="67">
          <cell r="A67" t="str">
            <v>Real Estate (Operations &amp; Services)</v>
          </cell>
          <cell r="B67">
            <v>730</v>
          </cell>
        </row>
        <row r="68">
          <cell r="A68" t="str">
            <v>Recreation</v>
          </cell>
          <cell r="B68">
            <v>323</v>
          </cell>
        </row>
        <row r="69">
          <cell r="A69" t="str">
            <v>Reinsurance</v>
          </cell>
          <cell r="B69">
            <v>34</v>
          </cell>
        </row>
        <row r="70">
          <cell r="A70" t="str">
            <v>Restaurant/Dining</v>
          </cell>
          <cell r="B70">
            <v>382</v>
          </cell>
        </row>
        <row r="71">
          <cell r="A71" t="str">
            <v>Retail (Automotive)</v>
          </cell>
          <cell r="B71">
            <v>193</v>
          </cell>
        </row>
        <row r="72">
          <cell r="A72" t="str">
            <v>Retail (Building Supply)</v>
          </cell>
          <cell r="B72">
            <v>98</v>
          </cell>
        </row>
        <row r="73">
          <cell r="A73" t="str">
            <v>Retail (Distributors)</v>
          </cell>
          <cell r="B73">
            <v>1006</v>
          </cell>
        </row>
        <row r="74">
          <cell r="A74" t="str">
            <v>Retail (General)</v>
          </cell>
          <cell r="B74">
            <v>189</v>
          </cell>
        </row>
        <row r="75">
          <cell r="A75" t="str">
            <v>Retail (Grocery and Food)</v>
          </cell>
          <cell r="B75">
            <v>181</v>
          </cell>
        </row>
        <row r="76">
          <cell r="A76" t="str">
            <v>Retail (Online)</v>
          </cell>
          <cell r="B76">
            <v>342</v>
          </cell>
        </row>
        <row r="77">
          <cell r="A77" t="str">
            <v>Retail (Special Lines)</v>
          </cell>
          <cell r="B77">
            <v>495</v>
          </cell>
        </row>
        <row r="78">
          <cell r="A78" t="str">
            <v>Rubber&amp; Tires</v>
          </cell>
          <cell r="B78">
            <v>89</v>
          </cell>
        </row>
        <row r="79">
          <cell r="A79" t="str">
            <v>Semiconductor</v>
          </cell>
          <cell r="B79">
            <v>624</v>
          </cell>
        </row>
        <row r="80">
          <cell r="A80" t="str">
            <v>Semiconductor Equip</v>
          </cell>
          <cell r="B80">
            <v>342</v>
          </cell>
        </row>
        <row r="81">
          <cell r="A81" t="str">
            <v>Shipbuilding &amp; Marine</v>
          </cell>
          <cell r="B81">
            <v>349</v>
          </cell>
        </row>
        <row r="82">
          <cell r="A82" t="str">
            <v>Shoe</v>
          </cell>
          <cell r="B82">
            <v>85</v>
          </cell>
        </row>
        <row r="83">
          <cell r="A83" t="str">
            <v>Software (Entertainment)</v>
          </cell>
          <cell r="B83">
            <v>320</v>
          </cell>
        </row>
        <row r="84">
          <cell r="A84" t="str">
            <v>Software (Internet)</v>
          </cell>
          <cell r="B84">
            <v>152</v>
          </cell>
        </row>
        <row r="85">
          <cell r="A85" t="str">
            <v>Software (System &amp; Application)</v>
          </cell>
          <cell r="B85">
            <v>1648</v>
          </cell>
        </row>
        <row r="86">
          <cell r="A86" t="str">
            <v>Steel</v>
          </cell>
          <cell r="B86">
            <v>710</v>
          </cell>
        </row>
        <row r="87">
          <cell r="A87" t="str">
            <v>Telecom (Wireless)</v>
          </cell>
          <cell r="B87">
            <v>99</v>
          </cell>
        </row>
        <row r="88">
          <cell r="A88" t="str">
            <v>Telecom. Equipment</v>
          </cell>
          <cell r="B88">
            <v>461</v>
          </cell>
        </row>
        <row r="89">
          <cell r="A89" t="str">
            <v>Telecom. Services</v>
          </cell>
          <cell r="B89">
            <v>295</v>
          </cell>
        </row>
        <row r="90">
          <cell r="A90" t="str">
            <v>Tobacco</v>
          </cell>
          <cell r="B90">
            <v>56</v>
          </cell>
        </row>
        <row r="91">
          <cell r="A91" t="str">
            <v>Transportation</v>
          </cell>
          <cell r="B91">
            <v>302</v>
          </cell>
        </row>
        <row r="92">
          <cell r="A92" t="str">
            <v>Transportation (Railroads)</v>
          </cell>
          <cell r="B92">
            <v>50</v>
          </cell>
        </row>
        <row r="93">
          <cell r="A93" t="str">
            <v>Trucking</v>
          </cell>
          <cell r="B93">
            <v>220</v>
          </cell>
        </row>
        <row r="94">
          <cell r="A94" t="str">
            <v>Utility (General)</v>
          </cell>
          <cell r="B94">
            <v>51</v>
          </cell>
        </row>
        <row r="95">
          <cell r="A95" t="str">
            <v>Utility (Water)</v>
          </cell>
          <cell r="B95">
            <v>104</v>
          </cell>
        </row>
      </sheetData>
      <sheetData sheetId="1"/>
      <sheetData sheetId="2"/>
      <sheetData sheetId="3"/>
      <sheetData sheetId="4">
        <row r="5">
          <cell r="C5">
            <v>1.2935834925393561</v>
          </cell>
          <cell r="H5">
            <v>1.1743473424289956</v>
          </cell>
        </row>
        <row r="6">
          <cell r="C6">
            <v>1.1580552633554024</v>
          </cell>
          <cell r="H6">
            <v>1.0573692747052328</v>
          </cell>
        </row>
        <row r="7">
          <cell r="C7">
            <v>1.2354206917515256</v>
          </cell>
          <cell r="H7">
            <v>0.76161422717292737</v>
          </cell>
        </row>
        <row r="8">
          <cell r="C8">
            <v>0.90237888995411852</v>
          </cell>
          <cell r="H8">
            <v>0.84193602052433447</v>
          </cell>
        </row>
        <row r="9">
          <cell r="C9">
            <v>1.3526231349119202</v>
          </cell>
          <cell r="H9">
            <v>1.0338355926371079</v>
          </cell>
        </row>
        <row r="10">
          <cell r="C10">
            <v>1.4130101599580891</v>
          </cell>
          <cell r="H10">
            <v>1.2875467841381958</v>
          </cell>
        </row>
        <row r="11">
          <cell r="C11">
            <v>0.87521547410293199</v>
          </cell>
          <cell r="H11">
            <v>0.43761147216067758</v>
          </cell>
        </row>
        <row r="12">
          <cell r="C12">
            <v>0.56387028942928497</v>
          </cell>
          <cell r="H12">
            <v>0.35775658622823059</v>
          </cell>
        </row>
        <row r="13">
          <cell r="C13">
            <v>0.87215644318047292</v>
          </cell>
          <cell r="H13">
            <v>0.81071819316509697</v>
          </cell>
        </row>
        <row r="14">
          <cell r="C14">
            <v>0.85590019190367983</v>
          </cell>
          <cell r="H14">
            <v>0.79471832647132434</v>
          </cell>
        </row>
        <row r="15">
          <cell r="C15">
            <v>1.0569743272387224</v>
          </cell>
          <cell r="H15">
            <v>0.74442956673736649</v>
          </cell>
        </row>
        <row r="16">
          <cell r="C16">
            <v>0.99146242776310933</v>
          </cell>
          <cell r="H16">
            <v>0.4509503326169772</v>
          </cell>
        </row>
        <row r="17">
          <cell r="C17">
            <v>1.1065292223300869</v>
          </cell>
          <cell r="H17">
            <v>0.99755173182959556</v>
          </cell>
        </row>
        <row r="18">
          <cell r="C18">
            <v>1.0942430346454961</v>
          </cell>
          <cell r="H18">
            <v>0.99674884417931131</v>
          </cell>
        </row>
        <row r="19">
          <cell r="C19">
            <v>1.0239833762823261</v>
          </cell>
          <cell r="H19">
            <v>0.60543299464722078</v>
          </cell>
        </row>
        <row r="20">
          <cell r="C20">
            <v>1.1399114789559386</v>
          </cell>
          <cell r="H20">
            <v>0.98778658397913077</v>
          </cell>
        </row>
        <row r="21">
          <cell r="C21">
            <v>1.1958248741877604</v>
          </cell>
          <cell r="H21">
            <v>0.94195069531991238</v>
          </cell>
        </row>
        <row r="22">
          <cell r="C22">
            <v>1.1068628177675968</v>
          </cell>
          <cell r="H22">
            <v>1.0212013193407876</v>
          </cell>
        </row>
        <row r="23">
          <cell r="C23">
            <v>1.2119612126219459</v>
          </cell>
          <cell r="H23">
            <v>1.3528350871710502</v>
          </cell>
        </row>
        <row r="24">
          <cell r="C24">
            <v>1.0882471920280821</v>
          </cell>
          <cell r="H24">
            <v>1.0374271307252976</v>
          </cell>
        </row>
        <row r="25">
          <cell r="C25">
            <v>1.2620051937696362</v>
          </cell>
          <cell r="H25">
            <v>1.2200041411476166</v>
          </cell>
        </row>
        <row r="26">
          <cell r="C26">
            <v>1.1168579550772775</v>
          </cell>
          <cell r="H26">
            <v>0.93727399630888553</v>
          </cell>
        </row>
        <row r="27">
          <cell r="C27">
            <v>0.9639252546213195</v>
          </cell>
          <cell r="H27">
            <v>0.73470874506873063</v>
          </cell>
        </row>
        <row r="28">
          <cell r="C28">
            <v>1.268267613064147</v>
          </cell>
          <cell r="H28">
            <v>1.2526532845890637</v>
          </cell>
        </row>
        <row r="29">
          <cell r="C29">
            <v>1.0635869533243638</v>
          </cell>
          <cell r="H29">
            <v>0.99546354279818405</v>
          </cell>
        </row>
        <row r="30">
          <cell r="C30">
            <v>0.87876725882387718</v>
          </cell>
          <cell r="H30">
            <v>0.79172170997592162</v>
          </cell>
        </row>
        <row r="31">
          <cell r="C31">
            <v>1.1360186851537797</v>
          </cell>
          <cell r="H31">
            <v>1.1023236899495159</v>
          </cell>
        </row>
        <row r="32">
          <cell r="C32">
            <v>1.2725160060597946</v>
          </cell>
          <cell r="H32">
            <v>1.0955088212486108</v>
          </cell>
        </row>
        <row r="33">
          <cell r="C33">
            <v>1.2955238162109064</v>
          </cell>
          <cell r="H33">
            <v>1.2905124151341338</v>
          </cell>
        </row>
        <row r="34">
          <cell r="C34">
            <v>1.0295667164846354</v>
          </cell>
          <cell r="H34">
            <v>0.73013745206540159</v>
          </cell>
        </row>
        <row r="35">
          <cell r="C35">
            <v>1.2013486787553214</v>
          </cell>
          <cell r="H35">
            <v>1.1016400810257481</v>
          </cell>
        </row>
        <row r="36">
          <cell r="C36">
            <v>1.0880867288276126</v>
          </cell>
          <cell r="H36">
            <v>0.89640526150774003</v>
          </cell>
        </row>
        <row r="37">
          <cell r="C37">
            <v>0.84191689518664237</v>
          </cell>
          <cell r="H37">
            <v>0.65968878267504505</v>
          </cell>
        </row>
        <row r="38">
          <cell r="C38">
            <v>0.88179367642992346</v>
          </cell>
          <cell r="H38">
            <v>0.15539901285715607</v>
          </cell>
        </row>
        <row r="39">
          <cell r="C39">
            <v>0.79603809344606158</v>
          </cell>
          <cell r="H39">
            <v>0.69180804648805327</v>
          </cell>
        </row>
        <row r="40">
          <cell r="C40">
            <v>0.68839747956966135</v>
          </cell>
          <cell r="H40">
            <v>0.48470614104865478</v>
          </cell>
        </row>
        <row r="41">
          <cell r="C41">
            <v>1.0821054084407624</v>
          </cell>
          <cell r="H41">
            <v>1.0884231491124254</v>
          </cell>
        </row>
        <row r="42">
          <cell r="C42">
            <v>1.0336423067859184</v>
          </cell>
          <cell r="H42">
            <v>0.73909035032579629</v>
          </cell>
        </row>
        <row r="43">
          <cell r="C43">
            <v>1.1305011645147018</v>
          </cell>
          <cell r="H43">
            <v>1.0775359783236322</v>
          </cell>
        </row>
        <row r="44">
          <cell r="C44">
            <v>1.0131363720531945</v>
          </cell>
          <cell r="H44">
            <v>0.92055004436243304</v>
          </cell>
        </row>
        <row r="45">
          <cell r="C45">
            <v>1.3377797757878629</v>
          </cell>
          <cell r="H45">
            <v>1.2736117177372563</v>
          </cell>
        </row>
        <row r="46">
          <cell r="C46">
            <v>1.1397794466928413</v>
          </cell>
          <cell r="H46">
            <v>0.97489554506089793</v>
          </cell>
        </row>
        <row r="47">
          <cell r="C47">
            <v>0.76794023174770742</v>
          </cell>
          <cell r="H47">
            <v>0.57071053339417088</v>
          </cell>
        </row>
        <row r="48">
          <cell r="C48">
            <v>0.97058639732290319</v>
          </cell>
          <cell r="H48">
            <v>0.74523740871313393</v>
          </cell>
        </row>
        <row r="49">
          <cell r="C49">
            <v>1.0240740179746777</v>
          </cell>
          <cell r="H49">
            <v>0.95925072154323698</v>
          </cell>
        </row>
        <row r="50">
          <cell r="C50">
            <v>1.4107202256089806</v>
          </cell>
          <cell r="H50">
            <v>1.341638572668401</v>
          </cell>
        </row>
        <row r="51">
          <cell r="C51">
            <v>0.69066681475722358</v>
          </cell>
          <cell r="H51">
            <v>0.60929069819651416</v>
          </cell>
        </row>
        <row r="52">
          <cell r="C52">
            <v>0.90378650219753498</v>
          </cell>
          <cell r="H52">
            <v>0.79627620062989934</v>
          </cell>
        </row>
        <row r="53">
          <cell r="C53">
            <v>0.74575047892416713</v>
          </cell>
          <cell r="H53">
            <v>0.69069421823593102</v>
          </cell>
        </row>
        <row r="54">
          <cell r="C54">
            <v>0.79218334924212164</v>
          </cell>
          <cell r="H54">
            <v>0.56519706406152803</v>
          </cell>
        </row>
        <row r="55">
          <cell r="C55">
            <v>1.1021402522422057</v>
          </cell>
          <cell r="H55">
            <v>1.0629501446657796</v>
          </cell>
        </row>
        <row r="56">
          <cell r="C56">
            <v>1.1980661936405959</v>
          </cell>
          <cell r="H56">
            <v>1.109674282355319</v>
          </cell>
        </row>
        <row r="57">
          <cell r="C57">
            <v>0.92524147810104651</v>
          </cell>
          <cell r="H57">
            <v>0.83449438172372425</v>
          </cell>
        </row>
        <row r="58">
          <cell r="C58">
            <v>1.084261071514385</v>
          </cell>
          <cell r="H58">
            <v>1.0257376245751695</v>
          </cell>
        </row>
        <row r="59">
          <cell r="C59">
            <v>1.3064445801888949</v>
          </cell>
          <cell r="H59">
            <v>1.1719532510287904</v>
          </cell>
        </row>
        <row r="60">
          <cell r="C60">
            <v>0.95988331574324681</v>
          </cell>
          <cell r="H60">
            <v>0.64089564623933604</v>
          </cell>
        </row>
        <row r="61">
          <cell r="C61">
            <v>1.1458047060134187</v>
          </cell>
          <cell r="H61">
            <v>0.91861441331163474</v>
          </cell>
        </row>
        <row r="62">
          <cell r="C62">
            <v>0.83576683531576557</v>
          </cell>
          <cell r="H62">
            <v>0.64542329085878691</v>
          </cell>
        </row>
        <row r="63">
          <cell r="C63">
            <v>0.9932645149292465</v>
          </cell>
          <cell r="H63">
            <v>0.75235968116666097</v>
          </cell>
        </row>
        <row r="64">
          <cell r="C64">
            <v>0.72851850030208987</v>
          </cell>
          <cell r="H64">
            <v>0.44330464743495768</v>
          </cell>
        </row>
        <row r="65">
          <cell r="C65">
            <v>1.1408458156282186</v>
          </cell>
          <cell r="H65">
            <v>1.1011319908908235</v>
          </cell>
        </row>
        <row r="66">
          <cell r="C66">
            <v>0.88913332691145819</v>
          </cell>
          <cell r="H66">
            <v>0.86903952851253174</v>
          </cell>
        </row>
        <row r="67">
          <cell r="C67">
            <v>0.79260643027832334</v>
          </cell>
          <cell r="H67">
            <v>0.50916998451540341</v>
          </cell>
        </row>
        <row r="68">
          <cell r="C68">
            <v>1.0176524508975406</v>
          </cell>
          <cell r="H68">
            <v>0.50125460232442209</v>
          </cell>
        </row>
        <row r="69">
          <cell r="C69">
            <v>0.93422776635121907</v>
          </cell>
          <cell r="H69">
            <v>0.52970275755712826</v>
          </cell>
        </row>
        <row r="70">
          <cell r="C70">
            <v>0.90118806772324567</v>
          </cell>
          <cell r="H70">
            <v>0.55215535355669476</v>
          </cell>
        </row>
        <row r="71">
          <cell r="C71">
            <v>1.1091960963190381</v>
          </cell>
          <cell r="H71">
            <v>0.98589762336376341</v>
          </cell>
        </row>
        <row r="72">
          <cell r="C72">
            <v>1.1599096579998216</v>
          </cell>
          <cell r="H72">
            <v>1.0895323174584777</v>
          </cell>
        </row>
        <row r="73">
          <cell r="C73">
            <v>0.99532073680959354</v>
          </cell>
          <cell r="H73">
            <v>0.82892528781008357</v>
          </cell>
        </row>
        <row r="74">
          <cell r="C74">
            <v>0.98313395219463651</v>
          </cell>
          <cell r="H74">
            <v>0.71856893323128923</v>
          </cell>
        </row>
        <row r="75">
          <cell r="C75">
            <v>1.0792224241204762</v>
          </cell>
          <cell r="H75">
            <v>0.93437765921000759</v>
          </cell>
        </row>
        <row r="76">
          <cell r="C76">
            <v>0.82885193903775201</v>
          </cell>
          <cell r="H76">
            <v>0.59760159969496118</v>
          </cell>
        </row>
        <row r="77">
          <cell r="C77">
            <v>0.89053705625931245</v>
          </cell>
          <cell r="H77">
            <v>0.73476065744121066</v>
          </cell>
        </row>
        <row r="78">
          <cell r="C78">
            <v>0.70540273569157119</v>
          </cell>
          <cell r="H78">
            <v>0.52854536395017226</v>
          </cell>
        </row>
        <row r="79">
          <cell r="C79">
            <v>1.5920102722913301</v>
          </cell>
          <cell r="H79">
            <v>1.490503406647991</v>
          </cell>
        </row>
        <row r="80">
          <cell r="C80">
            <v>1.0901256163386903</v>
          </cell>
          <cell r="H80">
            <v>0.95617888872243273</v>
          </cell>
        </row>
        <row r="81">
          <cell r="C81">
            <v>1.1594988998620432</v>
          </cell>
          <cell r="H81">
            <v>0.93006424566882906</v>
          </cell>
        </row>
        <row r="82">
          <cell r="C82">
            <v>1.6915425349552258</v>
          </cell>
          <cell r="H82">
            <v>1.6715997850986177</v>
          </cell>
        </row>
        <row r="83">
          <cell r="C83">
            <v>1.9625184452168636</v>
          </cell>
          <cell r="H83">
            <v>1.9829052012920763</v>
          </cell>
        </row>
        <row r="84">
          <cell r="C84">
            <v>1.095060022552661</v>
          </cell>
          <cell r="H84">
            <v>1.0486074968125012</v>
          </cell>
        </row>
        <row r="85">
          <cell r="C85">
            <v>1.0205314602380813</v>
          </cell>
          <cell r="H85">
            <v>0.97918154671132795</v>
          </cell>
        </row>
        <row r="86">
          <cell r="C86">
            <v>1.4800451918455317</v>
          </cell>
          <cell r="H86">
            <v>1.4648921606853302</v>
          </cell>
        </row>
        <row r="87">
          <cell r="C87">
            <v>1.3494055466433648</v>
          </cell>
          <cell r="H87">
            <v>1.2628480564068731</v>
          </cell>
        </row>
        <row r="88">
          <cell r="C88">
            <v>1.3540948759786284</v>
          </cell>
          <cell r="H88">
            <v>1.3178605209622307</v>
          </cell>
        </row>
        <row r="89">
          <cell r="C89">
            <v>1.2339858111510127</v>
          </cell>
          <cell r="H89">
            <v>1.0387463631868152</v>
          </cell>
        </row>
        <row r="90">
          <cell r="C90">
            <v>0.8356105248266873</v>
          </cell>
          <cell r="H90">
            <v>0.59944869496241837</v>
          </cell>
        </row>
        <row r="91">
          <cell r="C91">
            <v>1.1987978378632358</v>
          </cell>
          <cell r="H91">
            <v>1.1754366702843682</v>
          </cell>
        </row>
        <row r="92">
          <cell r="C92">
            <v>0.83120448295402005</v>
          </cell>
          <cell r="H92">
            <v>0.53286343841338268</v>
          </cell>
        </row>
        <row r="93">
          <cell r="C93">
            <v>0.89286131889100684</v>
          </cell>
          <cell r="H93">
            <v>0.77526113772172134</v>
          </cell>
        </row>
        <row r="94">
          <cell r="C94">
            <v>1.0148110401540846</v>
          </cell>
          <cell r="H94">
            <v>0.83086798417579999</v>
          </cell>
        </row>
        <row r="95">
          <cell r="C95">
            <v>0.67261472581248538</v>
          </cell>
          <cell r="H95">
            <v>0.53771205524892773</v>
          </cell>
        </row>
        <row r="96">
          <cell r="C96">
            <v>1.0796626585301576</v>
          </cell>
          <cell r="H96">
            <v>0.80103060507905366</v>
          </cell>
        </row>
        <row r="97">
          <cell r="C97">
            <v>0.68093285394007141</v>
          </cell>
          <cell r="H97">
            <v>0.44555229098762261</v>
          </cell>
        </row>
        <row r="98">
          <cell r="C98">
            <v>0.74037836279006486</v>
          </cell>
          <cell r="H98">
            <v>0.48577767777887526</v>
          </cell>
        </row>
      </sheetData>
      <sheetData sheetId="5">
        <row r="2">
          <cell r="H2">
            <v>7.2159828874774857E-3</v>
          </cell>
          <cell r="J2">
            <v>2.7111386724556512</v>
          </cell>
        </row>
        <row r="3">
          <cell r="H3">
            <v>9.3530759960407574E-3</v>
          </cell>
          <cell r="J3">
            <v>1.6921275153858071</v>
          </cell>
        </row>
        <row r="4">
          <cell r="H4">
            <v>3.2559147510088392E-2</v>
          </cell>
          <cell r="J4">
            <v>0.80542277986245103</v>
          </cell>
        </row>
        <row r="5">
          <cell r="H5">
            <v>1.6666737691856361E-2</v>
          </cell>
          <cell r="J5">
            <v>1.5806190152148958</v>
          </cell>
        </row>
        <row r="6">
          <cell r="H6">
            <v>2.7560794421056058E-2</v>
          </cell>
          <cell r="J6">
            <v>0.92471336879470623</v>
          </cell>
        </row>
        <row r="7">
          <cell r="H7">
            <v>3.1668608532252063E-2</v>
          </cell>
          <cell r="J7">
            <v>1.4689858860581844</v>
          </cell>
        </row>
        <row r="8">
          <cell r="H8">
            <v>3.4360841059937627E-2</v>
          </cell>
          <cell r="J8">
            <v>0.14023331329651406</v>
          </cell>
        </row>
        <row r="9">
          <cell r="H9">
            <v>-1.3115480793971833E-2</v>
          </cell>
          <cell r="J9">
            <v>0.19352947870025708</v>
          </cell>
        </row>
        <row r="10">
          <cell r="H10">
            <v>9.4143632278324684E-3</v>
          </cell>
          <cell r="J10">
            <v>0.76562332653538567</v>
          </cell>
        </row>
        <row r="11">
          <cell r="H11">
            <v>4.1904157836908283E-2</v>
          </cell>
          <cell r="J11">
            <v>1.5704645257815757</v>
          </cell>
        </row>
        <row r="12">
          <cell r="H12">
            <v>1.7539067116144117E-2</v>
          </cell>
          <cell r="J12">
            <v>0.99150565006743141</v>
          </cell>
        </row>
        <row r="13">
          <cell r="H13">
            <v>-5.0229492121968318E-3</v>
          </cell>
          <cell r="J13">
            <v>0.19322010265558867</v>
          </cell>
        </row>
        <row r="14">
          <cell r="H14">
            <v>4.0279969081317146E-2</v>
          </cell>
          <cell r="J14">
            <v>1.851184271800939</v>
          </cell>
        </row>
        <row r="15">
          <cell r="H15">
            <v>4.3555397829954337E-2</v>
          </cell>
          <cell r="J15">
            <v>2.6318315409345043</v>
          </cell>
        </row>
        <row r="16">
          <cell r="H16">
            <v>1.1541357856634741E-3</v>
          </cell>
          <cell r="J16">
            <v>0.76919568734944921</v>
          </cell>
        </row>
        <row r="17">
          <cell r="H17">
            <v>6.290271963579111E-2</v>
          </cell>
          <cell r="J17">
            <v>1.2655741833436442</v>
          </cell>
        </row>
        <row r="18">
          <cell r="H18">
            <v>1.968897467248543E-2</v>
          </cell>
          <cell r="J18">
            <v>1.1466338195851349</v>
          </cell>
        </row>
        <row r="19">
          <cell r="H19">
            <v>4.9838107270292677E-2</v>
          </cell>
          <cell r="J19">
            <v>1.3054375504666331</v>
          </cell>
        </row>
        <row r="20">
          <cell r="H20">
            <v>3.6084716364272768E-2</v>
          </cell>
          <cell r="J20">
            <v>1.4608803604303342</v>
          </cell>
        </row>
        <row r="21">
          <cell r="H21">
            <v>9.8915425769399018E-3</v>
          </cell>
          <cell r="J21">
            <v>3.2818741479491207</v>
          </cell>
        </row>
        <row r="22">
          <cell r="H22">
            <v>3.2027334541902312E-2</v>
          </cell>
          <cell r="J22">
            <v>1.7356503868390247</v>
          </cell>
        </row>
        <row r="23">
          <cell r="H23">
            <v>3.8623609957872958E-2</v>
          </cell>
          <cell r="J23">
            <v>1.0671627220556099</v>
          </cell>
        </row>
        <row r="24">
          <cell r="H24">
            <v>7.6312329361308776E-3</v>
          </cell>
          <cell r="J24">
            <v>0.7840641464318554</v>
          </cell>
        </row>
        <row r="25">
          <cell r="H25">
            <v>2.8951510522702298E-2</v>
          </cell>
          <cell r="J25">
            <v>0.45983261646900347</v>
          </cell>
        </row>
        <row r="26">
          <cell r="H26">
            <v>2.0118063231931719E-2</v>
          </cell>
          <cell r="J26">
            <v>0.71487767283195569</v>
          </cell>
        </row>
        <row r="27">
          <cell r="H27">
            <v>9.4070086977542544E-2</v>
          </cell>
          <cell r="J27">
            <v>0.85141497410935729</v>
          </cell>
        </row>
        <row r="28">
          <cell r="H28">
            <v>6.501200066309834E-2</v>
          </cell>
          <cell r="J28">
            <v>1.5879625149016394</v>
          </cell>
        </row>
        <row r="29">
          <cell r="H29">
            <v>3.5786919353448146E-2</v>
          </cell>
          <cell r="J29">
            <v>1.288634554510691</v>
          </cell>
        </row>
        <row r="30">
          <cell r="H30">
            <v>4.9651604052128297E-2</v>
          </cell>
          <cell r="J30">
            <v>1.4384315985614258</v>
          </cell>
        </row>
        <row r="31">
          <cell r="H31">
            <v>2.5650645849841693E-2</v>
          </cell>
          <cell r="J31">
            <v>1.7980446299653665</v>
          </cell>
        </row>
        <row r="32">
          <cell r="H32">
            <v>1.8753776279506335E-2</v>
          </cell>
          <cell r="J32">
            <v>1.2759768911988971</v>
          </cell>
        </row>
        <row r="33">
          <cell r="H33">
            <v>8.77448543218802E-2</v>
          </cell>
          <cell r="J33">
            <v>1.1302069098777168</v>
          </cell>
        </row>
        <row r="34">
          <cell r="H34">
            <v>3.452772940859547E-2</v>
          </cell>
          <cell r="J34">
            <v>1.5664988491796712</v>
          </cell>
        </row>
        <row r="35">
          <cell r="H35">
            <v>4.1852132738418361E-2</v>
          </cell>
          <cell r="J35">
            <v>6.4711238201554208E-2</v>
          </cell>
        </row>
        <row r="36">
          <cell r="H36">
            <v>3.3295072764184648E-2</v>
          </cell>
          <cell r="J36">
            <v>1.6660267682211776</v>
          </cell>
        </row>
        <row r="37">
          <cell r="H37">
            <v>5.7544623637667347E-3</v>
          </cell>
          <cell r="J37">
            <v>5.3695862056734871</v>
          </cell>
        </row>
        <row r="38">
          <cell r="H38">
            <v>1.9103425361702391E-2</v>
          </cell>
          <cell r="J38">
            <v>2.2818130755137274</v>
          </cell>
        </row>
        <row r="39">
          <cell r="H39">
            <v>0.24846525569738823</v>
          </cell>
          <cell r="J39">
            <v>0.2293780785175985</v>
          </cell>
        </row>
        <row r="40">
          <cell r="H40">
            <v>0.10326654607578553</v>
          </cell>
          <cell r="J40">
            <v>0.95057028731285942</v>
          </cell>
        </row>
        <row r="41">
          <cell r="H41">
            <v>1.147731795337012E-2</v>
          </cell>
          <cell r="J41">
            <v>6.7790063689414541</v>
          </cell>
        </row>
        <row r="42">
          <cell r="H42">
            <v>0.14879751394370175</v>
          </cell>
          <cell r="J42">
            <v>1.0682277315056228</v>
          </cell>
        </row>
        <row r="43">
          <cell r="H43">
            <v>1.1182492565286405E-2</v>
          </cell>
          <cell r="J43">
            <v>1.4588857872173531</v>
          </cell>
        </row>
        <row r="44">
          <cell r="H44">
            <v>3.1508810674146785E-2</v>
          </cell>
          <cell r="J44">
            <v>1.2424263296458609</v>
          </cell>
        </row>
        <row r="45">
          <cell r="H45">
            <v>1.6421566811355561E-2</v>
          </cell>
          <cell r="J45">
            <v>0.56318485275992658</v>
          </cell>
        </row>
        <row r="46">
          <cell r="H46">
            <v>2.6033477826032644E-2</v>
          </cell>
          <cell r="J46">
            <v>1.748546760596642</v>
          </cell>
        </row>
        <row r="47">
          <cell r="H47">
            <v>2.5610685683135626E-2</v>
          </cell>
          <cell r="J47">
            <v>1.5812475805660275</v>
          </cell>
        </row>
        <row r="48">
          <cell r="H48">
            <v>6.7555680333910902E-3</v>
          </cell>
          <cell r="J48">
            <v>1.24965626436614</v>
          </cell>
        </row>
        <row r="49">
          <cell r="H49">
            <v>1.2637845656328256E-2</v>
          </cell>
          <cell r="J49">
            <v>0.80201760425906587</v>
          </cell>
        </row>
        <row r="50">
          <cell r="H50">
            <v>2.7305540715448855E-3</v>
          </cell>
          <cell r="J50">
            <v>1.2439988186908715</v>
          </cell>
        </row>
        <row r="51">
          <cell r="H51">
            <v>0.13382356189944222</v>
          </cell>
          <cell r="J51">
            <v>0.32929523205310735</v>
          </cell>
        </row>
        <row r="52">
          <cell r="H52">
            <v>5.2782923233098585E-2</v>
          </cell>
          <cell r="J52">
            <v>1.4166874133694627</v>
          </cell>
        </row>
        <row r="53">
          <cell r="H53">
            <v>3.6642012812418592E-2</v>
          </cell>
          <cell r="J53">
            <v>1.5541907800285226</v>
          </cell>
        </row>
        <row r="54">
          <cell r="H54">
            <v>2.8513177071206312E-2</v>
          </cell>
          <cell r="J54">
            <v>1.8244325968890227</v>
          </cell>
        </row>
        <row r="55">
          <cell r="H55">
            <v>1.0887406636895138E-2</v>
          </cell>
          <cell r="J55">
            <v>1.7857895827693153</v>
          </cell>
        </row>
        <row r="56">
          <cell r="H56">
            <v>0.10412878403283038</v>
          </cell>
          <cell r="J56">
            <v>0.86121731092209874</v>
          </cell>
        </row>
        <row r="57">
          <cell r="H57">
            <v>4.9080369154499467E-2</v>
          </cell>
          <cell r="J57">
            <v>0.73009263082634401</v>
          </cell>
        </row>
        <row r="58">
          <cell r="H58">
            <v>1.7349901508777407E-2</v>
          </cell>
          <cell r="J58">
            <v>2.613156854484068</v>
          </cell>
        </row>
        <row r="59">
          <cell r="H59">
            <v>4.4226653802734196E-2</v>
          </cell>
          <cell r="J59">
            <v>1.5638858386300616</v>
          </cell>
        </row>
        <row r="60">
          <cell r="H60">
            <v>5.5442508522972618E-2</v>
          </cell>
          <cell r="J60">
            <v>0.95057512290737167</v>
          </cell>
        </row>
        <row r="61">
          <cell r="H61">
            <v>6.8802991514656131E-2</v>
          </cell>
          <cell r="J61">
            <v>0.72896487550187217</v>
          </cell>
        </row>
        <row r="62">
          <cell r="H62">
            <v>0.11013130656603419</v>
          </cell>
          <cell r="J62">
            <v>0.82760527587667976</v>
          </cell>
        </row>
        <row r="63">
          <cell r="H63">
            <v>2.5056726303420367E-2</v>
          </cell>
          <cell r="J63">
            <v>1.2217649449167178</v>
          </cell>
        </row>
        <row r="64">
          <cell r="H64">
            <v>2.5883461310246391E-2</v>
          </cell>
          <cell r="J64">
            <v>0.11475356271315791</v>
          </cell>
        </row>
        <row r="65">
          <cell r="H65">
            <v>1.7039267244275656E-2</v>
          </cell>
          <cell r="J65">
            <v>0.52893270500810741</v>
          </cell>
        </row>
        <row r="66">
          <cell r="H66">
            <v>7.1706126778043278E-2</v>
          </cell>
          <cell r="J66">
            <v>0.23569371461739638</v>
          </cell>
        </row>
        <row r="67">
          <cell r="H67">
            <v>7.7174872024271202E-2</v>
          </cell>
          <cell r="J67">
            <v>0.25341437544914164</v>
          </cell>
        </row>
        <row r="68">
          <cell r="H68">
            <v>6.1053441623273752E-2</v>
          </cell>
          <cell r="J68">
            <v>1.0486354163424807</v>
          </cell>
        </row>
        <row r="69">
          <cell r="H69">
            <v>1.6224944864916987E-2</v>
          </cell>
          <cell r="J69">
            <v>1.5733691708079169</v>
          </cell>
        </row>
        <row r="70">
          <cell r="H70">
            <v>2.4723541317790931E-2</v>
          </cell>
          <cell r="J70">
            <v>1.6243248607297194</v>
          </cell>
        </row>
        <row r="71">
          <cell r="H71">
            <v>3.3179051086357797E-2</v>
          </cell>
          <cell r="J71">
            <v>3.174007342761481</v>
          </cell>
        </row>
        <row r="72">
          <cell r="H72">
            <v>5.5379604041460315E-3</v>
          </cell>
          <cell r="J72">
            <v>3.0101136822043171</v>
          </cell>
        </row>
        <row r="73">
          <cell r="H73">
            <v>3.5509615216160868E-2</v>
          </cell>
          <cell r="J73">
            <v>1.961608220217619</v>
          </cell>
        </row>
        <row r="74">
          <cell r="H74">
            <v>1.2404123717395098E-2</v>
          </cell>
          <cell r="J74">
            <v>3.0944631955801012</v>
          </cell>
        </row>
        <row r="75">
          <cell r="H75">
            <v>7.8426614836429581E-3</v>
          </cell>
          <cell r="J75">
            <v>3.1264014495235903</v>
          </cell>
        </row>
        <row r="76">
          <cell r="H76">
            <v>6.433562988524151E-2</v>
          </cell>
          <cell r="J76">
            <v>1.3082127267773387</v>
          </cell>
        </row>
        <row r="77">
          <cell r="H77">
            <v>6.8208137188517049E-3</v>
          </cell>
          <cell r="J77">
            <v>2.5174585784193328</v>
          </cell>
        </row>
        <row r="78">
          <cell r="H78">
            <v>2.2036302112200399E-2</v>
          </cell>
          <cell r="J78">
            <v>1.0936166560589926</v>
          </cell>
        </row>
        <row r="79">
          <cell r="H79">
            <v>0.12206170568941127</v>
          </cell>
          <cell r="J79">
            <v>0.83496770904191153</v>
          </cell>
        </row>
        <row r="80">
          <cell r="H80">
            <v>0.11219404476537231</v>
          </cell>
          <cell r="J80">
            <v>1.2343126023017275</v>
          </cell>
        </row>
        <row r="81">
          <cell r="H81">
            <v>3.711561558510823E-2</v>
          </cell>
          <cell r="J81">
            <v>1.1192465562494063</v>
          </cell>
        </row>
        <row r="82">
          <cell r="H82">
            <v>1.3903215448473651E-2</v>
          </cell>
          <cell r="J82">
            <v>2.0177263229114235</v>
          </cell>
        </row>
        <row r="83">
          <cell r="H83">
            <v>0.12181383405728993</v>
          </cell>
          <cell r="J83">
            <v>0.68847708198285007</v>
          </cell>
        </row>
        <row r="84">
          <cell r="H84">
            <v>0.10911160059070062</v>
          </cell>
          <cell r="J84">
            <v>0.87012726304513266</v>
          </cell>
        </row>
        <row r="85">
          <cell r="H85">
            <v>0.17698341089820932</v>
          </cell>
          <cell r="J85">
            <v>0.94647831787590087</v>
          </cell>
        </row>
        <row r="86">
          <cell r="H86">
            <v>3.1233063526508904E-2</v>
          </cell>
          <cell r="J86">
            <v>1.5324538849846425</v>
          </cell>
        </row>
        <row r="87">
          <cell r="H87">
            <v>1.0045620758875377E-2</v>
          </cell>
          <cell r="J87">
            <v>0.59875669525319775</v>
          </cell>
        </row>
        <row r="88">
          <cell r="H88">
            <v>3.5067191787542577E-2</v>
          </cell>
          <cell r="J88">
            <v>1.2296782460866211</v>
          </cell>
        </row>
        <row r="89">
          <cell r="H89">
            <v>1.8398303676254975E-3</v>
          </cell>
          <cell r="J89">
            <v>0.66302528624879975</v>
          </cell>
        </row>
        <row r="90">
          <cell r="H90">
            <v>1.2922319142159418E-2</v>
          </cell>
          <cell r="J90">
            <v>0.73483182839642613</v>
          </cell>
        </row>
        <row r="91">
          <cell r="H91">
            <v>2.1304357895726649E-2</v>
          </cell>
          <cell r="J91">
            <v>1.9460842931032309</v>
          </cell>
        </row>
        <row r="92">
          <cell r="H92">
            <v>8.1073848062129403E-2</v>
          </cell>
          <cell r="J92">
            <v>0.35264141209829214</v>
          </cell>
        </row>
        <row r="93">
          <cell r="H93">
            <v>6.5333099457492758E-2</v>
          </cell>
          <cell r="J93">
            <v>1.2683662093737476</v>
          </cell>
        </row>
        <row r="94">
          <cell r="H94">
            <v>7.4413848046799388E-2</v>
          </cell>
          <cell r="J94">
            <v>0.79592572670996531</v>
          </cell>
        </row>
        <row r="95">
          <cell r="H95">
            <v>0.11132379540777157</v>
          </cell>
          <cell r="J95">
            <v>0.2960000594907215</v>
          </cell>
        </row>
      </sheetData>
      <sheetData sheetId="6"/>
      <sheetData sheetId="7"/>
      <sheetData sheetId="8"/>
      <sheetData sheetId="9"/>
      <sheetData sheetId="10">
        <row r="2">
          <cell r="F2">
            <v>0.26559116619465917</v>
          </cell>
        </row>
        <row r="3">
          <cell r="F3">
            <v>0.18855316790308613</v>
          </cell>
        </row>
        <row r="4">
          <cell r="F4">
            <v>0.52376822281143809</v>
          </cell>
        </row>
        <row r="5">
          <cell r="F5">
            <v>0.15361852401854517</v>
          </cell>
        </row>
        <row r="6">
          <cell r="F6">
            <v>0.42427592940792425</v>
          </cell>
        </row>
        <row r="7">
          <cell r="F7">
            <v>0.26055904721279227</v>
          </cell>
        </row>
        <row r="8">
          <cell r="F8">
            <v>0.75025597377956421</v>
          </cell>
        </row>
        <row r="9">
          <cell r="F9">
            <v>0.6591944805456077</v>
          </cell>
        </row>
        <row r="10">
          <cell r="F10">
            <v>0.14071582488908002</v>
          </cell>
        </row>
        <row r="11">
          <cell r="F11">
            <v>0.13328497731995359</v>
          </cell>
        </row>
        <row r="12">
          <cell r="F12">
            <v>0.44641195523530475</v>
          </cell>
        </row>
        <row r="13">
          <cell r="F13">
            <v>0.70577788318489221</v>
          </cell>
        </row>
        <row r="14">
          <cell r="F14">
            <v>0.20177093676880761</v>
          </cell>
        </row>
        <row r="15">
          <cell r="F15">
            <v>0.18870553380788824</v>
          </cell>
        </row>
        <row r="16">
          <cell r="F16">
            <v>0.49450981804764355</v>
          </cell>
        </row>
        <row r="17">
          <cell r="F17">
            <v>0.27051844186953267</v>
          </cell>
        </row>
        <row r="18">
          <cell r="F18">
            <v>0.34287939688821434</v>
          </cell>
        </row>
        <row r="19">
          <cell r="F19">
            <v>0.17459079391537816</v>
          </cell>
        </row>
        <row r="20">
          <cell r="F20">
            <v>0.19555045254951162</v>
          </cell>
        </row>
        <row r="21">
          <cell r="F21">
            <v>0.14049829938709574</v>
          </cell>
        </row>
        <row r="22">
          <cell r="F22">
            <v>0.105922132128553</v>
          </cell>
        </row>
        <row r="23">
          <cell r="F23">
            <v>0.31133232518566467</v>
          </cell>
        </row>
        <row r="24">
          <cell r="F24">
            <v>0.35858198888340026</v>
          </cell>
        </row>
        <row r="25">
          <cell r="F25">
            <v>0.1139572454338612</v>
          </cell>
        </row>
        <row r="26">
          <cell r="F26">
            <v>0.13152916490130936</v>
          </cell>
        </row>
        <row r="27">
          <cell r="F27">
            <v>0.24741750017757028</v>
          </cell>
        </row>
        <row r="28">
          <cell r="F28">
            <v>0.14301741508197188</v>
          </cell>
        </row>
        <row r="29">
          <cell r="F29">
            <v>0.30715094709946367</v>
          </cell>
        </row>
        <row r="30">
          <cell r="F30">
            <v>0.16342124700338245</v>
          </cell>
        </row>
        <row r="31">
          <cell r="F31">
            <v>0.51038470427563054</v>
          </cell>
        </row>
        <row r="32">
          <cell r="F32">
            <v>0.20884276813170335</v>
          </cell>
        </row>
        <row r="33">
          <cell r="F33">
            <v>0.27226072626110814</v>
          </cell>
        </row>
        <row r="34">
          <cell r="F34">
            <v>0.31714825367380384</v>
          </cell>
        </row>
        <row r="35">
          <cell r="F35">
            <v>0.8719326375242562</v>
          </cell>
        </row>
        <row r="36">
          <cell r="F36">
            <v>0.22476528833524001</v>
          </cell>
        </row>
        <row r="37">
          <cell r="F37">
            <v>0.40467275546799308</v>
          </cell>
        </row>
        <row r="38">
          <cell r="F38">
            <v>0.2042984087234449</v>
          </cell>
        </row>
        <row r="39">
          <cell r="F39">
            <v>0.38391147299077572</v>
          </cell>
        </row>
        <row r="40">
          <cell r="F40">
            <v>0.11619162184556213</v>
          </cell>
        </row>
        <row r="41">
          <cell r="F41">
            <v>0.21480632072052405</v>
          </cell>
        </row>
        <row r="42">
          <cell r="F42">
            <v>0.10660654390272724</v>
          </cell>
        </row>
        <row r="43">
          <cell r="F43">
            <v>0.31532837433795108</v>
          </cell>
        </row>
        <row r="44">
          <cell r="F44">
            <v>0.33983004729540051</v>
          </cell>
        </row>
        <row r="45">
          <cell r="F45">
            <v>0.36056008478203067</v>
          </cell>
        </row>
        <row r="46">
          <cell r="F46">
            <v>0.12288598649272289</v>
          </cell>
        </row>
        <row r="47">
          <cell r="F47">
            <v>0.12308124671080803</v>
          </cell>
        </row>
        <row r="48">
          <cell r="F48">
            <v>0.2918827858410955</v>
          </cell>
        </row>
        <row r="49">
          <cell r="F49">
            <v>0.49617651063680412</v>
          </cell>
        </row>
        <row r="50">
          <cell r="F50">
            <v>0.20181381932143566</v>
          </cell>
        </row>
        <row r="51">
          <cell r="F51">
            <v>0.43258015946052009</v>
          </cell>
        </row>
        <row r="52">
          <cell r="F52">
            <v>0.14718270181512369</v>
          </cell>
        </row>
        <row r="53">
          <cell r="F53">
            <v>0.21009308863775686</v>
          </cell>
        </row>
        <row r="54">
          <cell r="F54">
            <v>0.25131553911848697</v>
          </cell>
        </row>
        <row r="55">
          <cell r="F55">
            <v>0.16268470683281316</v>
          </cell>
        </row>
        <row r="56">
          <cell r="F56">
            <v>0.20768151674921126</v>
          </cell>
        </row>
        <row r="57">
          <cell r="F57">
            <v>0.42266188084582412</v>
          </cell>
        </row>
        <row r="58">
          <cell r="F58">
            <v>0.31780520070676432</v>
          </cell>
        </row>
        <row r="59">
          <cell r="F59">
            <v>0.32860706063842687</v>
          </cell>
        </row>
        <row r="60">
          <cell r="F60">
            <v>0.38038958402186268</v>
          </cell>
        </row>
        <row r="61">
          <cell r="F61">
            <v>0.49018534791706631</v>
          </cell>
        </row>
        <row r="62">
          <cell r="F62">
            <v>0.15433126027989771</v>
          </cell>
        </row>
        <row r="63">
          <cell r="F63">
            <v>0.22992110847420524</v>
          </cell>
        </row>
        <row r="64">
          <cell r="F64">
            <v>0.4393257428399891</v>
          </cell>
        </row>
        <row r="65">
          <cell r="F65">
            <v>0.66950390839006624</v>
          </cell>
        </row>
        <row r="66">
          <cell r="F66">
            <v>0.5549975323855354</v>
          </cell>
        </row>
        <row r="67">
          <cell r="F67">
            <v>0.49710493526141969</v>
          </cell>
        </row>
        <row r="68">
          <cell r="F68">
            <v>0.24702270915957644</v>
          </cell>
        </row>
        <row r="69">
          <cell r="F69">
            <v>0.2601501525257125</v>
          </cell>
        </row>
        <row r="70">
          <cell r="F70">
            <v>0.24614511902439928</v>
          </cell>
        </row>
        <row r="71">
          <cell r="F71">
            <v>0.36886129425022746</v>
          </cell>
        </row>
        <row r="72">
          <cell r="F72">
            <v>0.19388701670171191</v>
          </cell>
        </row>
        <row r="73">
          <cell r="F73">
            <v>0.40906163103204718</v>
          </cell>
        </row>
        <row r="74">
          <cell r="F74">
            <v>0.26731537858518772</v>
          </cell>
        </row>
        <row r="75">
          <cell r="F75">
            <v>0.36670130796647049</v>
          </cell>
        </row>
        <row r="76">
          <cell r="F76">
            <v>0.17038387188172086</v>
          </cell>
        </row>
        <row r="77">
          <cell r="F77">
            <v>0.23738748343322327</v>
          </cell>
        </row>
        <row r="78">
          <cell r="F78">
            <v>0.3385984307682709</v>
          </cell>
        </row>
        <row r="79">
          <cell r="F79">
            <v>0.10404370853456175</v>
          </cell>
        </row>
        <row r="80">
          <cell r="F80">
            <v>6.6204624535447815E-2</v>
          </cell>
        </row>
        <row r="81">
          <cell r="F81">
            <v>0.3334209359136372</v>
          </cell>
        </row>
        <row r="82">
          <cell r="F82">
            <v>0.11028060105470616</v>
          </cell>
        </row>
        <row r="83">
          <cell r="F83">
            <v>6.7282894806011295E-2</v>
          </cell>
        </row>
        <row r="84">
          <cell r="F84">
            <v>0.14289541246400556</v>
          </cell>
        </row>
        <row r="85">
          <cell r="F85">
            <v>8.207902347015307E-2</v>
          </cell>
        </row>
        <row r="86">
          <cell r="F86">
            <v>0.32124888739024365</v>
          </cell>
        </row>
        <row r="87">
          <cell r="F87">
            <v>0.40997135229477483</v>
          </cell>
        </row>
        <row r="88">
          <cell r="F88">
            <v>0.12271568825108702</v>
          </cell>
        </row>
        <row r="89">
          <cell r="F89">
            <v>0.45523285018801557</v>
          </cell>
        </row>
        <row r="90">
          <cell r="F90">
            <v>0.21150591899864943</v>
          </cell>
        </row>
        <row r="91">
          <cell r="F91">
            <v>0.31145967209766678</v>
          </cell>
        </row>
        <row r="92">
          <cell r="F92">
            <v>0.28093173916735564</v>
          </cell>
        </row>
        <row r="93">
          <cell r="F93">
            <v>0.37028006138641539</v>
          </cell>
        </row>
        <row r="94">
          <cell r="F94">
            <v>0.44647469066862239</v>
          </cell>
        </row>
        <row r="95">
          <cell r="F95">
            <v>0.45258505055032439</v>
          </cell>
        </row>
      </sheetData>
      <sheetData sheetId="11"/>
      <sheetData sheetId="12">
        <row r="2">
          <cell r="E2">
            <v>0.44451143385934094</v>
          </cell>
        </row>
        <row r="3">
          <cell r="E3">
            <v>0.72951493462206618</v>
          </cell>
        </row>
        <row r="4">
          <cell r="E4">
            <v>4.4191751889956421E-3</v>
          </cell>
        </row>
        <row r="5">
          <cell r="E5">
            <v>0.4288308576857397</v>
          </cell>
        </row>
        <row r="6">
          <cell r="E6">
            <v>0.22505595545281412</v>
          </cell>
        </row>
        <row r="7">
          <cell r="E7">
            <v>0.51852413385931106</v>
          </cell>
        </row>
        <row r="8">
          <cell r="E8">
            <v>0.33483400470597052</v>
          </cell>
        </row>
        <row r="9">
          <cell r="E9">
            <v>0.27524500019645759</v>
          </cell>
        </row>
        <row r="10">
          <cell r="E10">
            <v>0.41804095988813733</v>
          </cell>
        </row>
        <row r="11">
          <cell r="E11">
            <v>0.54691572779078046</v>
          </cell>
        </row>
        <row r="12">
          <cell r="E12">
            <v>0.10093323840372377</v>
          </cell>
        </row>
        <row r="13">
          <cell r="E13">
            <v>0.5223993223618727</v>
          </cell>
        </row>
        <row r="14">
          <cell r="E14">
            <v>0.30296802718936278</v>
          </cell>
        </row>
        <row r="15">
          <cell r="E15">
            <v>0.54671438017820373</v>
          </cell>
        </row>
        <row r="16">
          <cell r="E16">
            <v>0.35370332420360845</v>
          </cell>
        </row>
        <row r="17">
          <cell r="E17">
            <v>0.46416333241579638</v>
          </cell>
        </row>
        <row r="18">
          <cell r="E18">
            <v>0.29292289982848024</v>
          </cell>
        </row>
        <row r="19">
          <cell r="E19">
            <v>0.33805283025981031</v>
          </cell>
        </row>
        <row r="20">
          <cell r="E20">
            <v>0.40895723661895989</v>
          </cell>
        </row>
        <row r="21">
          <cell r="E21">
            <v>0.52194735385474622</v>
          </cell>
        </row>
        <row r="22">
          <cell r="E22">
            <v>0.22650677990976426</v>
          </cell>
        </row>
        <row r="23">
          <cell r="E23">
            <v>0.51446026350372742</v>
          </cell>
        </row>
        <row r="24">
          <cell r="E24">
            <v>0.39840140166419818</v>
          </cell>
        </row>
        <row r="25">
          <cell r="E25">
            <v>2.2318145787477788E-3</v>
          </cell>
        </row>
        <row r="26">
          <cell r="E26">
            <v>0.50405839541139608</v>
          </cell>
        </row>
        <row r="27">
          <cell r="E27">
            <v>0.71826245482073359</v>
          </cell>
        </row>
        <row r="28">
          <cell r="E28">
            <v>0.44354143830219317</v>
          </cell>
        </row>
        <row r="29">
          <cell r="E29">
            <v>0.30310692992960891</v>
          </cell>
        </row>
        <row r="30">
          <cell r="E30">
            <v>0.39313439546655421</v>
          </cell>
        </row>
        <row r="31">
          <cell r="E31">
            <v>0.59131516172456033</v>
          </cell>
        </row>
        <row r="32">
          <cell r="E32">
            <v>0.36913257422099616</v>
          </cell>
        </row>
        <row r="33">
          <cell r="E33">
            <v>0.55849304447529791</v>
          </cell>
        </row>
        <row r="34">
          <cell r="E34">
            <v>0.32007015569173347</v>
          </cell>
        </row>
        <row r="35">
          <cell r="E35">
            <v>0.22864298056819313</v>
          </cell>
        </row>
        <row r="36">
          <cell r="E36">
            <v>0.51559701498212285</v>
          </cell>
        </row>
        <row r="37">
          <cell r="E37">
            <v>0.41004672915186663</v>
          </cell>
        </row>
        <row r="38">
          <cell r="E38">
            <v>0.52638382360021452</v>
          </cell>
        </row>
        <row r="39">
          <cell r="E39">
            <v>0.35813487987426063</v>
          </cell>
        </row>
        <row r="40">
          <cell r="E40">
            <v>0.47892134430038719</v>
          </cell>
        </row>
        <row r="41">
          <cell r="E41">
            <v>0.37539624729138682</v>
          </cell>
        </row>
        <row r="42">
          <cell r="E42">
            <v>0.35753705040317413</v>
          </cell>
        </row>
        <row r="43">
          <cell r="E43">
            <v>0.16051300014034145</v>
          </cell>
        </row>
        <row r="44">
          <cell r="E44">
            <v>0.31772256372534741</v>
          </cell>
        </row>
        <row r="45">
          <cell r="E45">
            <v>0.76205189764877668</v>
          </cell>
        </row>
        <row r="46">
          <cell r="E46">
            <v>0.59982517906400279</v>
          </cell>
        </row>
        <row r="47">
          <cell r="E47">
            <v>0.30606857936674892</v>
          </cell>
        </row>
        <row r="48">
          <cell r="E48">
            <v>0.3914994014939252</v>
          </cell>
        </row>
        <row r="49">
          <cell r="E49">
            <v>0.45904302814741293</v>
          </cell>
        </row>
        <row r="50">
          <cell r="E50">
            <v>0.54947809797432756</v>
          </cell>
        </row>
        <row r="51">
          <cell r="E51">
            <v>0.47729614764336215</v>
          </cell>
        </row>
        <row r="52">
          <cell r="E52">
            <v>0.39724065432609074</v>
          </cell>
        </row>
        <row r="53">
          <cell r="E53">
            <v>0.47218810263430189</v>
          </cell>
        </row>
        <row r="54">
          <cell r="E54">
            <v>0.63488890541059773</v>
          </cell>
        </row>
        <row r="55">
          <cell r="E55">
            <v>0.37303344260196158</v>
          </cell>
        </row>
        <row r="56">
          <cell r="E56">
            <v>0.23995987250134324</v>
          </cell>
        </row>
        <row r="57">
          <cell r="E57">
            <v>1.1059354092352709</v>
          </cell>
        </row>
        <row r="58">
          <cell r="E58">
            <v>0.2379445180748172</v>
          </cell>
        </row>
        <row r="59">
          <cell r="E59">
            <v>0.39149024112254632</v>
          </cell>
        </row>
        <row r="60">
          <cell r="E60">
            <v>0.227065803635393</v>
          </cell>
        </row>
        <row r="61">
          <cell r="E61">
            <v>2.3563791476947751</v>
          </cell>
        </row>
        <row r="62">
          <cell r="E62">
            <v>0.73625171843106163</v>
          </cell>
        </row>
        <row r="63">
          <cell r="E63">
            <v>0.89648700518886948</v>
          </cell>
        </row>
        <row r="64">
          <cell r="E64">
            <v>0.70088392829994195</v>
          </cell>
        </row>
        <row r="65">
          <cell r="E65">
            <v>1.0751257428507728</v>
          </cell>
        </row>
        <row r="66">
          <cell r="E66">
            <v>0.54498146633642408</v>
          </cell>
        </row>
        <row r="67">
          <cell r="E67">
            <v>0.53211526909566764</v>
          </cell>
        </row>
        <row r="68">
          <cell r="E68">
            <v>0.56847876316386725</v>
          </cell>
        </row>
        <row r="69">
          <cell r="E69">
            <v>1.15165212446575</v>
          </cell>
        </row>
        <row r="70">
          <cell r="E70">
            <v>0.6213721003208682</v>
          </cell>
        </row>
        <row r="71">
          <cell r="E71">
            <v>0.25656588413790438</v>
          </cell>
        </row>
        <row r="72">
          <cell r="E72">
            <v>0.40523933459490058</v>
          </cell>
        </row>
        <row r="73">
          <cell r="E73">
            <v>0.30974771474443691</v>
          </cell>
        </row>
        <row r="74">
          <cell r="E74">
            <v>0.46569953644887679</v>
          </cell>
        </row>
        <row r="75">
          <cell r="E75">
            <v>0.33680698768837153</v>
          </cell>
        </row>
        <row r="76">
          <cell r="E76">
            <v>3.8494175802843227E-3</v>
          </cell>
        </row>
        <row r="77">
          <cell r="E77">
            <v>0.525527360937459</v>
          </cell>
        </row>
        <row r="78">
          <cell r="E78">
            <v>0.45219331797462237</v>
          </cell>
        </row>
        <row r="79">
          <cell r="E79">
            <v>0.32598202249818786</v>
          </cell>
        </row>
        <row r="80">
          <cell r="E80">
            <v>0.24045618885891673</v>
          </cell>
        </row>
        <row r="81">
          <cell r="E81">
            <v>0.31311541565817647</v>
          </cell>
        </row>
        <row r="82">
          <cell r="E82">
            <v>0.30772156513652943</v>
          </cell>
        </row>
        <row r="83">
          <cell r="E83">
            <v>2.7321544447000384E-2</v>
          </cell>
        </row>
        <row r="84">
          <cell r="E84">
            <v>4.1529204862765573E-3</v>
          </cell>
        </row>
        <row r="85">
          <cell r="E85">
            <v>0.42167938062996485</v>
          </cell>
        </row>
        <row r="86">
          <cell r="E86">
            <v>0.34425266167339813</v>
          </cell>
        </row>
        <row r="87">
          <cell r="E87">
            <v>0.94566204010401345</v>
          </cell>
        </row>
        <row r="88">
          <cell r="E88">
            <v>0.48118218970957899</v>
          </cell>
        </row>
        <row r="89">
          <cell r="E89">
            <v>0.63969274552605071</v>
          </cell>
        </row>
        <row r="90">
          <cell r="E90">
            <v>0.91180748886312335</v>
          </cell>
        </row>
        <row r="91">
          <cell r="E91">
            <v>0.3759045643575265</v>
          </cell>
        </row>
        <row r="92">
          <cell r="E92">
            <v>0.42288213474408926</v>
          </cell>
        </row>
        <row r="93">
          <cell r="E93">
            <v>0.47214545338387454</v>
          </cell>
        </row>
        <row r="94">
          <cell r="E94">
            <v>0.56808177867298026</v>
          </cell>
        </row>
        <row r="95">
          <cell r="E95">
            <v>0.80660637410407132</v>
          </cell>
        </row>
      </sheetData>
      <sheetData sheetId="13"/>
      <sheetData sheetId="14"/>
      <sheetData sheetId="15"/>
      <sheetData sheetId="16"/>
      <sheetData sheetId="17">
        <row r="2">
          <cell r="C2">
            <v>0.10200864604262225</v>
          </cell>
          <cell r="D2">
            <v>0.555488566140659</v>
          </cell>
        </row>
        <row r="3">
          <cell r="C3">
            <v>8.0355181939871512E-2</v>
          </cell>
          <cell r="D3">
            <v>0.27048506537793382</v>
          </cell>
        </row>
        <row r="4">
          <cell r="C4">
            <v>-9.3242946827625517E-2</v>
          </cell>
          <cell r="D4">
            <v>0.99558082481100441</v>
          </cell>
        </row>
        <row r="5">
          <cell r="C5">
            <v>0.15307722601657631</v>
          </cell>
          <cell r="D5">
            <v>0.5711691423142603</v>
          </cell>
        </row>
        <row r="6">
          <cell r="C6">
            <v>0.11518174528970851</v>
          </cell>
          <cell r="D6">
            <v>0.77494404454718591</v>
          </cell>
        </row>
        <row r="7">
          <cell r="C7">
            <v>5.2512079188338168E-2</v>
          </cell>
          <cell r="D7">
            <v>0.48147586614068894</v>
          </cell>
        </row>
        <row r="8">
          <cell r="C8">
            <v>1.033504286307702E-2</v>
          </cell>
          <cell r="D8">
            <v>0.66516599529402942</v>
          </cell>
        </row>
        <row r="9">
          <cell r="C9">
            <v>9.0436939806665881E-2</v>
          </cell>
          <cell r="D9">
            <v>0.72475499980354241</v>
          </cell>
        </row>
        <row r="10">
          <cell r="C10">
            <v>0.14498308042811484</v>
          </cell>
          <cell r="D10">
            <v>0.58195904011186261</v>
          </cell>
        </row>
        <row r="11">
          <cell r="C11">
            <v>0.24708930327847395</v>
          </cell>
          <cell r="D11">
            <v>0.45308427220921954</v>
          </cell>
        </row>
        <row r="12">
          <cell r="C12">
            <v>0.2978111577675327</v>
          </cell>
          <cell r="D12">
            <v>0.89906676159627619</v>
          </cell>
        </row>
        <row r="13">
          <cell r="C13">
            <v>9.2032782861292586E-2</v>
          </cell>
          <cell r="D13">
            <v>0.4776006776381273</v>
          </cell>
        </row>
        <row r="14">
          <cell r="C14">
            <v>0.15118080309483573</v>
          </cell>
          <cell r="D14">
            <v>0.69703197281063722</v>
          </cell>
        </row>
        <row r="15">
          <cell r="C15">
            <v>0.10173941306387643</v>
          </cell>
          <cell r="D15">
            <v>0.45328561982179627</v>
          </cell>
        </row>
        <row r="16">
          <cell r="C16">
            <v>0.10901267306081759</v>
          </cell>
          <cell r="D16">
            <v>0.6462966757963915</v>
          </cell>
        </row>
        <row r="17">
          <cell r="C17">
            <v>0.13015440695282732</v>
          </cell>
          <cell r="D17">
            <v>0.53583666758420367</v>
          </cell>
        </row>
        <row r="18">
          <cell r="C18">
            <v>0.13650087385165174</v>
          </cell>
          <cell r="D18">
            <v>0.7070771001715197</v>
          </cell>
        </row>
        <row r="19">
          <cell r="C19">
            <v>0.15901047052663181</v>
          </cell>
          <cell r="D19">
            <v>0.66194716974018974</v>
          </cell>
        </row>
        <row r="20">
          <cell r="C20">
            <v>0.31438462941240891</v>
          </cell>
          <cell r="D20">
            <v>0.59104276338104011</v>
          </cell>
        </row>
        <row r="21">
          <cell r="C21">
            <v>0.13814920572691777</v>
          </cell>
          <cell r="D21">
            <v>0.47805264614525378</v>
          </cell>
        </row>
        <row r="22">
          <cell r="C22">
            <v>0.27940376674380923</v>
          </cell>
          <cell r="D22">
            <v>0.7734932200902358</v>
          </cell>
        </row>
        <row r="23">
          <cell r="C23">
            <v>8.0922460272459681E-2</v>
          </cell>
          <cell r="D23">
            <v>0.48553973649627258</v>
          </cell>
        </row>
        <row r="24">
          <cell r="C24">
            <v>5.8112853136737509E-2</v>
          </cell>
          <cell r="D24">
            <v>0.60159859833580187</v>
          </cell>
        </row>
        <row r="25">
          <cell r="C25">
            <v>-1.0637065540967156E-2</v>
          </cell>
          <cell r="D25">
            <v>0.99776818542125223</v>
          </cell>
        </row>
        <row r="26">
          <cell r="C26">
            <v>0.16122384369938733</v>
          </cell>
          <cell r="D26">
            <v>0.49594160458860392</v>
          </cell>
        </row>
        <row r="27">
          <cell r="C27">
            <v>3.679776661145092E-2</v>
          </cell>
          <cell r="D27">
            <v>0.28173754517926641</v>
          </cell>
        </row>
        <row r="28">
          <cell r="C28">
            <v>9.0067755168144137E-2</v>
          </cell>
          <cell r="D28">
            <v>0.55645856169780683</v>
          </cell>
        </row>
        <row r="29">
          <cell r="C29">
            <v>7.8509104048175279E-2</v>
          </cell>
          <cell r="D29">
            <v>0.69689307007039103</v>
          </cell>
        </row>
        <row r="30">
          <cell r="C30">
            <v>9.5623518017835266E-2</v>
          </cell>
          <cell r="D30">
            <v>0.60686560453344573</v>
          </cell>
        </row>
        <row r="31">
          <cell r="C31">
            <v>9.1449190767282085E-2</v>
          </cell>
          <cell r="D31">
            <v>0.40868483827543967</v>
          </cell>
        </row>
        <row r="32">
          <cell r="C32">
            <v>5.3343812988993114E-2</v>
          </cell>
          <cell r="D32">
            <v>0.6308674257790039</v>
          </cell>
        </row>
        <row r="33">
          <cell r="C33">
            <v>9.1371725037155543E-2</v>
          </cell>
          <cell r="D33">
            <v>0.44150695552470209</v>
          </cell>
        </row>
        <row r="34">
          <cell r="C34">
            <v>0.14362550060321239</v>
          </cell>
          <cell r="D34">
            <v>0.67992984430826653</v>
          </cell>
        </row>
        <row r="35">
          <cell r="C35">
            <v>0.14209285342615216</v>
          </cell>
          <cell r="D35">
            <v>0.7713570194318069</v>
          </cell>
        </row>
        <row r="36">
          <cell r="C36">
            <v>0.11636452300326208</v>
          </cell>
          <cell r="D36">
            <v>0.48440298501787715</v>
          </cell>
        </row>
        <row r="37">
          <cell r="C37">
            <v>0.1313375950156184</v>
          </cell>
          <cell r="D37">
            <v>0.58995327084813343</v>
          </cell>
        </row>
        <row r="38">
          <cell r="C38">
            <v>0.1353404441072435</v>
          </cell>
          <cell r="D38">
            <v>0.47361617639978548</v>
          </cell>
        </row>
        <row r="39">
          <cell r="C39">
            <v>0.19282714525293054</v>
          </cell>
          <cell r="D39">
            <v>0.64186512012573937</v>
          </cell>
        </row>
        <row r="40">
          <cell r="C40">
            <v>7.8992341195298507E-2</v>
          </cell>
          <cell r="D40">
            <v>0.52107865569961276</v>
          </cell>
        </row>
        <row r="41">
          <cell r="C41">
            <v>0.10886237618760991</v>
          </cell>
          <cell r="D41">
            <v>0.62460375270861324</v>
          </cell>
        </row>
        <row r="42">
          <cell r="C42">
            <v>3.5050016747700995E-2</v>
          </cell>
          <cell r="D42">
            <v>0.64246294959682593</v>
          </cell>
        </row>
        <row r="43">
          <cell r="C43">
            <v>0.19431222567463893</v>
          </cell>
          <cell r="D43">
            <v>0.83948699985965858</v>
          </cell>
        </row>
        <row r="44">
          <cell r="C44">
            <v>0.15650807269310177</v>
          </cell>
          <cell r="D44">
            <v>0.68227743627465265</v>
          </cell>
        </row>
        <row r="45">
          <cell r="C45">
            <v>2.2693214706000397E-2</v>
          </cell>
          <cell r="D45">
            <v>0.23794810235122332</v>
          </cell>
        </row>
        <row r="46">
          <cell r="C46">
            <v>0.19391815619878336</v>
          </cell>
          <cell r="D46">
            <v>0.40017482093599721</v>
          </cell>
        </row>
        <row r="47">
          <cell r="C47">
            <v>0.14456373910874776</v>
          </cell>
          <cell r="D47">
            <v>0.69393142063325108</v>
          </cell>
        </row>
        <row r="48">
          <cell r="C48">
            <v>0.1109472421073442</v>
          </cell>
          <cell r="D48">
            <v>0.60850059850607474</v>
          </cell>
        </row>
        <row r="49">
          <cell r="C49">
            <v>7.0183178984228919E-2</v>
          </cell>
          <cell r="D49">
            <v>0.54095697185258707</v>
          </cell>
        </row>
        <row r="50">
          <cell r="C50">
            <v>6.7870937712370794E-2</v>
          </cell>
          <cell r="D50">
            <v>0.45052190202567244</v>
          </cell>
        </row>
        <row r="51">
          <cell r="C51">
            <v>0.12311740738383642</v>
          </cell>
          <cell r="D51">
            <v>0.52270385235663785</v>
          </cell>
        </row>
        <row r="52">
          <cell r="C52">
            <v>0.10790104842911155</v>
          </cell>
          <cell r="D52">
            <v>0.60275934567390932</v>
          </cell>
        </row>
        <row r="53">
          <cell r="C53">
            <v>0.2395479215961703</v>
          </cell>
          <cell r="D53">
            <v>0.52781189736569811</v>
          </cell>
        </row>
        <row r="54">
          <cell r="C54">
            <v>5.7369127188005534E-2</v>
          </cell>
          <cell r="D54">
            <v>0.36511109458940227</v>
          </cell>
        </row>
        <row r="55">
          <cell r="C55">
            <v>0.27383892566202067</v>
          </cell>
          <cell r="D55">
            <v>0.62696655739803842</v>
          </cell>
        </row>
        <row r="56">
          <cell r="C56">
            <v>0.34554609990982482</v>
          </cell>
          <cell r="D56">
            <v>0.76004012749865679</v>
          </cell>
        </row>
        <row r="57">
          <cell r="C57">
            <v>8.4745790010922972E-2</v>
          </cell>
          <cell r="D57">
            <v>-0.10593540923527089</v>
          </cell>
        </row>
        <row r="58">
          <cell r="C58">
            <v>0.16953802063524387</v>
          </cell>
          <cell r="D58">
            <v>0.7620554819251828</v>
          </cell>
        </row>
        <row r="59">
          <cell r="C59">
            <v>0.12941444561462065</v>
          </cell>
          <cell r="D59">
            <v>0.60850975887745373</v>
          </cell>
        </row>
        <row r="60">
          <cell r="C60">
            <v>0.15075339671662341</v>
          </cell>
          <cell r="D60">
            <v>0.77293419636460703</v>
          </cell>
        </row>
        <row r="61">
          <cell r="C61">
            <v>2.5145559391345728E-2</v>
          </cell>
          <cell r="D61">
            <v>-1.3563791476947751</v>
          </cell>
        </row>
        <row r="62">
          <cell r="C62">
            <v>7.8535027733689977E-2</v>
          </cell>
          <cell r="D62">
            <v>0.26374828156893837</v>
          </cell>
        </row>
        <row r="63">
          <cell r="C63">
            <v>2.9633954369228457E-2</v>
          </cell>
          <cell r="D63">
            <v>0.10351299481113052</v>
          </cell>
        </row>
        <row r="64">
          <cell r="C64">
            <v>9.2519075438043677E-2</v>
          </cell>
          <cell r="D64">
            <v>0.29911607170005805</v>
          </cell>
        </row>
        <row r="65">
          <cell r="C65">
            <v>4.5763966797147754E-2</v>
          </cell>
          <cell r="D65">
            <v>-7.5125742850772781E-2</v>
          </cell>
        </row>
        <row r="66">
          <cell r="C66">
            <v>4.0329748272550953E-2</v>
          </cell>
          <cell r="D66">
            <v>0.45501853366357592</v>
          </cell>
        </row>
        <row r="67">
          <cell r="C67">
            <v>6.5265588445008613E-2</v>
          </cell>
          <cell r="D67">
            <v>0.46788473090433236</v>
          </cell>
        </row>
        <row r="68">
          <cell r="C68">
            <v>7.5242702559188704E-2</v>
          </cell>
          <cell r="D68">
            <v>0.43152123683613275</v>
          </cell>
        </row>
        <row r="69">
          <cell r="C69">
            <v>1.9833468303193061E-2</v>
          </cell>
          <cell r="D69">
            <v>-0.15165212446575005</v>
          </cell>
        </row>
        <row r="70">
          <cell r="C70">
            <v>0.36850752125706215</v>
          </cell>
          <cell r="D70">
            <v>0.3786278996791318</v>
          </cell>
        </row>
        <row r="71">
          <cell r="C71">
            <v>0.21267051934563361</v>
          </cell>
          <cell r="D71">
            <v>0.74343411586209562</v>
          </cell>
        </row>
        <row r="72">
          <cell r="C72">
            <v>0.62069170974216659</v>
          </cell>
          <cell r="D72">
            <v>0.59476066540509942</v>
          </cell>
        </row>
        <row r="73">
          <cell r="C73">
            <v>0.14904706797430581</v>
          </cell>
          <cell r="D73">
            <v>0.69025228525556304</v>
          </cell>
        </row>
        <row r="74">
          <cell r="C74">
            <v>0.12667539417897708</v>
          </cell>
          <cell r="D74">
            <v>0.53430046355112326</v>
          </cell>
        </row>
        <row r="75">
          <cell r="C75">
            <v>0.14692867887469693</v>
          </cell>
          <cell r="D75">
            <v>0.66319301231162853</v>
          </cell>
        </row>
        <row r="76">
          <cell r="C76">
            <v>-1.2913862822285392E-3</v>
          </cell>
          <cell r="D76">
            <v>0.99615058241971566</v>
          </cell>
        </row>
        <row r="77">
          <cell r="C77">
            <v>0.12040782319843941</v>
          </cell>
          <cell r="D77">
            <v>0.474472639062541</v>
          </cell>
        </row>
        <row r="78">
          <cell r="C78">
            <v>6.9080050211145549E-2</v>
          </cell>
          <cell r="D78">
            <v>0.54780668202537763</v>
          </cell>
        </row>
        <row r="79">
          <cell r="C79">
            <v>0.22004463854331047</v>
          </cell>
          <cell r="D79">
            <v>0.67401797750181214</v>
          </cell>
        </row>
        <row r="80">
          <cell r="C80">
            <v>0.30321818101232301</v>
          </cell>
          <cell r="D80">
            <v>0.75954381114108327</v>
          </cell>
        </row>
        <row r="81">
          <cell r="C81">
            <v>0.52203977353633646</v>
          </cell>
          <cell r="D81">
            <v>0.68688458434182353</v>
          </cell>
        </row>
        <row r="82">
          <cell r="C82">
            <v>0.21068525458903517</v>
          </cell>
          <cell r="D82">
            <v>0.69227843486347052</v>
          </cell>
        </row>
        <row r="83">
          <cell r="C83">
            <v>0.18663687839130547</v>
          </cell>
          <cell r="D83">
            <v>0.97267845555299959</v>
          </cell>
        </row>
        <row r="84">
          <cell r="C84">
            <v>-0.14640466217181433</v>
          </cell>
          <cell r="D84">
            <v>0.99584707951372342</v>
          </cell>
        </row>
        <row r="85">
          <cell r="C85">
            <v>0.13415189960739474</v>
          </cell>
          <cell r="D85">
            <v>0.5783206193700352</v>
          </cell>
        </row>
        <row r="86">
          <cell r="C86">
            <v>0.19513585801447908</v>
          </cell>
          <cell r="D86">
            <v>0.65574733832660193</v>
          </cell>
        </row>
        <row r="87">
          <cell r="C87">
            <v>5.9656101073844982E-2</v>
          </cell>
          <cell r="D87">
            <v>5.4337959895986554E-2</v>
          </cell>
        </row>
        <row r="88">
          <cell r="C88">
            <v>0.12699399947863158</v>
          </cell>
          <cell r="D88">
            <v>0.51881781029042107</v>
          </cell>
        </row>
        <row r="89">
          <cell r="C89">
            <v>9.7927580759062105E-2</v>
          </cell>
          <cell r="D89">
            <v>0.36030725447394929</v>
          </cell>
        </row>
        <row r="90">
          <cell r="C90">
            <v>0.22341989038959192</v>
          </cell>
          <cell r="D90">
            <v>8.819251113687665E-2</v>
          </cell>
        </row>
        <row r="91">
          <cell r="C91">
            <v>0.18047586417013964</v>
          </cell>
          <cell r="D91">
            <v>0.6240954356424735</v>
          </cell>
        </row>
        <row r="92">
          <cell r="C92">
            <v>0.10779442786699867</v>
          </cell>
          <cell r="D92">
            <v>0.5771178652559108</v>
          </cell>
        </row>
        <row r="93">
          <cell r="C93">
            <v>4.8007666832446935E-2</v>
          </cell>
          <cell r="D93">
            <v>0.52785454661612552</v>
          </cell>
        </row>
        <row r="94">
          <cell r="C94">
            <v>0.12706804579670924</v>
          </cell>
          <cell r="D94">
            <v>0.43191822132701974</v>
          </cell>
        </row>
        <row r="95">
          <cell r="C95">
            <v>5.007048841854516E-2</v>
          </cell>
          <cell r="D95">
            <v>0.58427331107159464</v>
          </cell>
        </row>
      </sheetData>
      <sheetData sheetId="18">
        <row r="2">
          <cell r="D2">
            <v>0.27774109940881886</v>
          </cell>
        </row>
        <row r="3">
          <cell r="D3">
            <v>0.41378426559560244</v>
          </cell>
        </row>
        <row r="4">
          <cell r="D4">
            <v>9.5547125985183889</v>
          </cell>
        </row>
        <row r="5">
          <cell r="D5">
            <v>0.4898760232758958</v>
          </cell>
        </row>
        <row r="6">
          <cell r="D6">
            <v>0.501947218801582</v>
          </cell>
        </row>
        <row r="7">
          <cell r="D7">
            <v>2.0647634316505332</v>
          </cell>
        </row>
        <row r="8">
          <cell r="D8">
            <v>84.189822596779209</v>
          </cell>
        </row>
        <row r="9">
          <cell r="D9" t="str">
            <v>NA</v>
          </cell>
        </row>
        <row r="10">
          <cell r="D10">
            <v>1.6495762907882471E-2</v>
          </cell>
        </row>
        <row r="11">
          <cell r="D11">
            <v>0.25833730543349975</v>
          </cell>
        </row>
        <row r="12">
          <cell r="D12">
            <v>1.3085560327270698</v>
          </cell>
        </row>
        <row r="13">
          <cell r="D13">
            <v>-39.913584925845541</v>
          </cell>
        </row>
        <row r="14">
          <cell r="D14">
            <v>0.86926825996365231</v>
          </cell>
        </row>
        <row r="15">
          <cell r="D15">
            <v>0.86727780133182975</v>
          </cell>
        </row>
        <row r="16">
          <cell r="D16">
            <v>6.1135959638478815E-2</v>
          </cell>
        </row>
        <row r="17">
          <cell r="D17">
            <v>1.1979557665164933</v>
          </cell>
        </row>
        <row r="18">
          <cell r="D18">
            <v>0.80238917598445381</v>
          </cell>
        </row>
        <row r="19">
          <cell r="D19">
            <v>0.75738103516745536</v>
          </cell>
        </row>
        <row r="20">
          <cell r="D20">
            <v>0.14301394578319884</v>
          </cell>
        </row>
        <row r="21">
          <cell r="D21">
            <v>0.6566015328288205</v>
          </cell>
        </row>
        <row r="22">
          <cell r="D22">
            <v>0.48420479578077191</v>
          </cell>
        </row>
        <row r="23">
          <cell r="D23">
            <v>1.075371172802579</v>
          </cell>
        </row>
        <row r="24">
          <cell r="D24">
            <v>0.49580074819389314</v>
          </cell>
        </row>
        <row r="25">
          <cell r="D25">
            <v>1.8806559490214771</v>
          </cell>
        </row>
        <row r="26">
          <cell r="D26">
            <v>0.22118800607153283</v>
          </cell>
        </row>
        <row r="27">
          <cell r="D27">
            <v>1.9475349905213291</v>
          </cell>
        </row>
        <row r="28">
          <cell r="D28">
            <v>2.0550213941805726</v>
          </cell>
        </row>
        <row r="29">
          <cell r="D29">
            <v>1.6572731380834365</v>
          </cell>
        </row>
        <row r="30">
          <cell r="D30">
            <v>1.6115539785648181</v>
          </cell>
        </row>
        <row r="31">
          <cell r="D31">
            <v>1.7330707134271515</v>
          </cell>
        </row>
        <row r="32">
          <cell r="D32">
            <v>0.5072249381554339</v>
          </cell>
        </row>
        <row r="33">
          <cell r="D33">
            <v>1.6514979421321525</v>
          </cell>
        </row>
        <row r="34">
          <cell r="D34">
            <v>1.3044537684733635</v>
          </cell>
        </row>
        <row r="35">
          <cell r="D35">
            <v>0.49278863336413131</v>
          </cell>
        </row>
        <row r="36">
          <cell r="D36">
            <v>0.79410782944645997</v>
          </cell>
        </row>
        <row r="37">
          <cell r="D37">
            <v>0.85072534702466673</v>
          </cell>
        </row>
        <row r="38">
          <cell r="D38">
            <v>0.80371735502561836</v>
          </cell>
        </row>
        <row r="39">
          <cell r="D39">
            <v>1.171130427953877</v>
          </cell>
        </row>
        <row r="40">
          <cell r="D40">
            <v>1.1082463831838485</v>
          </cell>
        </row>
        <row r="41">
          <cell r="D41">
            <v>0.46684760161861932</v>
          </cell>
        </row>
        <row r="42">
          <cell r="D42">
            <v>1.4410021525209946</v>
          </cell>
        </row>
        <row r="43">
          <cell r="D43">
            <v>0.74946002329353456</v>
          </cell>
        </row>
        <row r="44">
          <cell r="D44">
            <v>0.56708032204861203</v>
          </cell>
        </row>
        <row r="45">
          <cell r="D45">
            <v>1.1479792696025544</v>
          </cell>
        </row>
        <row r="46">
          <cell r="D46">
            <v>0.35417315095367757</v>
          </cell>
        </row>
        <row r="47">
          <cell r="D47">
            <v>0.36520338073701031</v>
          </cell>
        </row>
        <row r="48">
          <cell r="D48">
            <v>0.40041511839985872</v>
          </cell>
        </row>
        <row r="49">
          <cell r="D49">
            <v>0.24419652289647661</v>
          </cell>
        </row>
        <row r="50">
          <cell r="D50">
            <v>0.34426103752747311</v>
          </cell>
        </row>
        <row r="51">
          <cell r="D51">
            <v>0.92376896892922944</v>
          </cell>
        </row>
        <row r="52">
          <cell r="D52">
            <v>1.3529004573697616</v>
          </cell>
        </row>
        <row r="53">
          <cell r="D53">
            <v>0.57132784278564519</v>
          </cell>
        </row>
        <row r="54">
          <cell r="D54">
            <v>1.093383155296316</v>
          </cell>
        </row>
        <row r="55">
          <cell r="D55">
            <v>0.25434157304490956</v>
          </cell>
        </row>
        <row r="56">
          <cell r="D56">
            <v>0.39979108991661882</v>
          </cell>
        </row>
        <row r="57">
          <cell r="D57">
            <v>0.72807608387840983</v>
          </cell>
        </row>
        <row r="58">
          <cell r="D58">
            <v>0.87249783797510927</v>
          </cell>
        </row>
        <row r="59">
          <cell r="D59">
            <v>0.99286044008723728</v>
          </cell>
        </row>
        <row r="60">
          <cell r="D60">
            <v>0.76547067575041072</v>
          </cell>
        </row>
        <row r="61">
          <cell r="D61" t="str">
            <v>NA</v>
          </cell>
        </row>
        <row r="62">
          <cell r="D62">
            <v>1.0172987135360556</v>
          </cell>
        </row>
        <row r="63">
          <cell r="D63">
            <v>0.61457801131291045</v>
          </cell>
        </row>
        <row r="64">
          <cell r="D64">
            <v>9.464086024167101E-2</v>
          </cell>
        </row>
        <row r="65">
          <cell r="D65">
            <v>0.16278381269454029</v>
          </cell>
        </row>
        <row r="66">
          <cell r="D66">
            <v>0.93134238136231007</v>
          </cell>
        </row>
        <row r="67">
          <cell r="D67">
            <v>0.88999270872123326</v>
          </cell>
        </row>
        <row r="68">
          <cell r="D68">
            <v>1.3640377199332356</v>
          </cell>
        </row>
        <row r="69">
          <cell r="D69">
            <v>2.8942118934640808</v>
          </cell>
        </row>
        <row r="70">
          <cell r="D70">
            <v>0.37280426770845015</v>
          </cell>
        </row>
        <row r="71">
          <cell r="D71">
            <v>1.269679651746447</v>
          </cell>
        </row>
        <row r="72">
          <cell r="D72">
            <v>0.4152885052448525</v>
          </cell>
        </row>
        <row r="73">
          <cell r="D73">
            <v>1.2620694542181561</v>
          </cell>
        </row>
        <row r="74">
          <cell r="D74">
            <v>0.79241997634249972</v>
          </cell>
        </row>
        <row r="75">
          <cell r="D75">
            <v>0.26020992647242941</v>
          </cell>
        </row>
        <row r="76">
          <cell r="D76" t="str">
            <v>NA</v>
          </cell>
        </row>
        <row r="77">
          <cell r="D77">
            <v>0.6221607841938781</v>
          </cell>
        </row>
        <row r="78">
          <cell r="D78">
            <v>1.2578311950085885</v>
          </cell>
        </row>
        <row r="79">
          <cell r="D79">
            <v>0.87615023789822055</v>
          </cell>
        </row>
        <row r="80">
          <cell r="D80">
            <v>0.89577065377444465</v>
          </cell>
        </row>
        <row r="81">
          <cell r="D81">
            <v>0.10442336279857994</v>
          </cell>
        </row>
        <row r="82">
          <cell r="D82">
            <v>0.55734544636254946</v>
          </cell>
        </row>
        <row r="83">
          <cell r="D83">
            <v>0.6400453768028459</v>
          </cell>
        </row>
        <row r="84">
          <cell r="D84" t="str">
            <v>NA</v>
          </cell>
        </row>
        <row r="85">
          <cell r="D85">
            <v>1.4772666888447972</v>
          </cell>
        </row>
        <row r="86">
          <cell r="D86">
            <v>0.69060940526576531</v>
          </cell>
        </row>
        <row r="87">
          <cell r="D87">
            <v>0.23431849746915523</v>
          </cell>
        </row>
        <row r="88">
          <cell r="D88">
            <v>0.80979020806717117</v>
          </cell>
        </row>
        <row r="89">
          <cell r="D89">
            <v>6.3041372120910863E-2</v>
          </cell>
        </row>
        <row r="90">
          <cell r="D90">
            <v>5.4294763263544675E-2</v>
          </cell>
        </row>
        <row r="91">
          <cell r="D91">
            <v>0.56371293751510465</v>
          </cell>
        </row>
        <row r="92">
          <cell r="D92">
            <v>0.49777850427936171</v>
          </cell>
        </row>
        <row r="93">
          <cell r="D93">
            <v>1.2953650987044991</v>
          </cell>
        </row>
        <row r="94">
          <cell r="D94">
            <v>1.1281129759412232</v>
          </cell>
        </row>
        <row r="95">
          <cell r="D95">
            <v>0.99074678758901424</v>
          </cell>
        </row>
      </sheetData>
      <sheetData sheetId="19"/>
      <sheetData sheetId="20">
        <row r="3">
          <cell r="D3">
            <v>7.3714201183431957E-2</v>
          </cell>
        </row>
        <row r="4">
          <cell r="D4">
            <v>-2.4202561983471073E-2</v>
          </cell>
        </row>
        <row r="5">
          <cell r="D5">
            <v>4.6189893238434081E-2</v>
          </cell>
        </row>
        <row r="6">
          <cell r="D6">
            <v>8.2065959595959595E-2</v>
          </cell>
        </row>
        <row r="7">
          <cell r="D7">
            <v>5.157986111111109E-2</v>
          </cell>
        </row>
        <row r="8">
          <cell r="D8">
            <v>0.10534848197343455</v>
          </cell>
        </row>
        <row r="9">
          <cell r="D9">
            <v>9.0058796992481246E-2</v>
          </cell>
        </row>
        <row r="10">
          <cell r="D10">
            <v>9.1329397590361447E-2</v>
          </cell>
        </row>
        <row r="11">
          <cell r="D11">
            <v>9.0173050847457623E-2</v>
          </cell>
        </row>
        <row r="12">
          <cell r="D12">
            <v>4.4277545454545458E-2</v>
          </cell>
        </row>
        <row r="13">
          <cell r="D13">
            <v>0.10401919621749414</v>
          </cell>
        </row>
        <row r="14">
          <cell r="D14">
            <v>7.6625747126436813E-2</v>
          </cell>
        </row>
        <row r="15">
          <cell r="D15">
            <v>7.7030524590164018E-2</v>
          </cell>
        </row>
        <row r="16">
          <cell r="D16">
            <v>4.2067906976744174E-2</v>
          </cell>
        </row>
        <row r="17">
          <cell r="D17">
            <v>0.1238678778625954</v>
          </cell>
        </row>
        <row r="18">
          <cell r="D18">
            <v>7.925883333333332E-2</v>
          </cell>
        </row>
        <row r="19">
          <cell r="D19">
            <v>0.12358691813804168</v>
          </cell>
        </row>
        <row r="20">
          <cell r="D20">
            <v>0.19073247787610623</v>
          </cell>
        </row>
        <row r="21">
          <cell r="D21">
            <v>9.3645663956639702E-2</v>
          </cell>
        </row>
        <row r="22">
          <cell r="D22">
            <v>4.3304879999999969E-2</v>
          </cell>
        </row>
        <row r="23">
          <cell r="D23">
            <v>8.988834162520723E-2</v>
          </cell>
        </row>
        <row r="24">
          <cell r="D24">
            <v>9.8170408163265194E-2</v>
          </cell>
        </row>
        <row r="25">
          <cell r="D25">
            <v>0.26030372043010735</v>
          </cell>
        </row>
        <row r="26">
          <cell r="D26">
            <v>0.17139170469798656</v>
          </cell>
        </row>
        <row r="27">
          <cell r="D27">
            <v>7.2462666666666703E-2</v>
          </cell>
        </row>
        <row r="28">
          <cell r="D28">
            <v>0.12176879483500726</v>
          </cell>
        </row>
        <row r="29">
          <cell r="D29">
            <v>2.8733333333333326E-2</v>
          </cell>
        </row>
        <row r="30">
          <cell r="D30">
            <v>7.440767161410021E-2</v>
          </cell>
        </row>
        <row r="31">
          <cell r="D31">
            <v>7.8894370546318357E-2</v>
          </cell>
        </row>
        <row r="32">
          <cell r="D32">
            <v>0.10592681498829039</v>
          </cell>
        </row>
        <row r="33">
          <cell r="D33">
            <v>8.3761952380952381E-2</v>
          </cell>
        </row>
        <row r="34">
          <cell r="D34">
            <v>0.1273559602649007</v>
          </cell>
        </row>
        <row r="35">
          <cell r="D35">
            <v>0.104697216066482</v>
          </cell>
        </row>
        <row r="36">
          <cell r="D36">
            <v>9.7076004119464404E-2</v>
          </cell>
        </row>
        <row r="37">
          <cell r="D37">
            <v>6.2875454545454554E-2</v>
          </cell>
        </row>
        <row r="38">
          <cell r="D38">
            <v>9.0344183266932332E-2</v>
          </cell>
        </row>
        <row r="39">
          <cell r="D39">
            <v>0.15748204724409451</v>
          </cell>
        </row>
        <row r="40">
          <cell r="D40">
            <v>0.15152649797570858</v>
          </cell>
        </row>
        <row r="41">
          <cell r="D41">
            <v>0.14661127906976745</v>
          </cell>
        </row>
        <row r="42">
          <cell r="D42">
            <v>0.20462864035087733</v>
          </cell>
        </row>
        <row r="43">
          <cell r="D43">
            <v>7.5865362318840626E-2</v>
          </cell>
        </row>
        <row r="44">
          <cell r="D44">
            <v>9.0183986928104559E-2</v>
          </cell>
        </row>
        <row r="45">
          <cell r="D45">
            <v>-1.46983857442348E-2</v>
          </cell>
        </row>
        <row r="46">
          <cell r="D46">
            <v>6.8795195530726189E-2</v>
          </cell>
        </row>
        <row r="47">
          <cell r="D47">
            <v>0.1099322137404581</v>
          </cell>
        </row>
        <row r="48">
          <cell r="D48">
            <v>6.3152899408284016E-2</v>
          </cell>
        </row>
        <row r="49">
          <cell r="D49">
            <v>0.10457288288288295</v>
          </cell>
        </row>
        <row r="50">
          <cell r="D50">
            <v>6.4738636363636318E-2</v>
          </cell>
        </row>
        <row r="51">
          <cell r="D51">
            <v>0.11960795744680854</v>
          </cell>
        </row>
        <row r="52">
          <cell r="D52">
            <v>7.4357194780987929E-2</v>
          </cell>
        </row>
        <row r="53">
          <cell r="D53">
            <v>0.14998445360824739</v>
          </cell>
        </row>
        <row r="54">
          <cell r="D54">
            <v>6.0780172413793132E-2</v>
          </cell>
        </row>
        <row r="55">
          <cell r="D55">
            <v>0.14567833333333333</v>
          </cell>
        </row>
        <row r="56">
          <cell r="D56">
            <v>0.30223883792048944</v>
          </cell>
        </row>
        <row r="57">
          <cell r="D57">
            <v>0.16448449152542369</v>
          </cell>
        </row>
        <row r="58">
          <cell r="D58">
            <v>7.2712420749279513E-2</v>
          </cell>
        </row>
        <row r="59">
          <cell r="D59">
            <v>7.7229067524115708E-2</v>
          </cell>
        </row>
        <row r="60">
          <cell r="D60">
            <v>9.0147203791469191E-2</v>
          </cell>
        </row>
        <row r="61">
          <cell r="D61">
            <v>0.13698196428571432</v>
          </cell>
        </row>
        <row r="62">
          <cell r="D62">
            <v>0.22946125628140696</v>
          </cell>
        </row>
        <row r="63">
          <cell r="D63">
            <v>1.6786992481203009E-2</v>
          </cell>
        </row>
        <row r="64">
          <cell r="D64">
            <v>9.401075971731436E-2</v>
          </cell>
        </row>
        <row r="65">
          <cell r="D65">
            <v>7.3651298076923083E-2</v>
          </cell>
        </row>
        <row r="66">
          <cell r="D66">
            <v>4.9859999999999995E-2</v>
          </cell>
        </row>
        <row r="67">
          <cell r="D67">
            <v>9.9823312500000122E-2</v>
          </cell>
        </row>
        <row r="68">
          <cell r="D68">
            <v>5.1076739130434812E-2</v>
          </cell>
        </row>
        <row r="69">
          <cell r="D69">
            <v>3.1153928571428572E-2</v>
          </cell>
        </row>
        <row r="70">
          <cell r="D70">
            <v>-2.8214814814814916E-3</v>
          </cell>
        </row>
        <row r="71">
          <cell r="D71">
            <v>8.8188805970149248E-2</v>
          </cell>
        </row>
        <row r="72">
          <cell r="D72">
            <v>4.9730985915492958E-2</v>
          </cell>
        </row>
        <row r="73">
          <cell r="D73">
            <v>7.3500151933701671E-2</v>
          </cell>
        </row>
        <row r="74">
          <cell r="D74">
            <v>-2.8960848484848482E-2</v>
          </cell>
        </row>
        <row r="75">
          <cell r="D75">
            <v>4.6530136054421807E-2</v>
          </cell>
        </row>
        <row r="76">
          <cell r="D76">
            <v>0.16550980645161301</v>
          </cell>
        </row>
        <row r="77">
          <cell r="D77">
            <v>2.7746815642458116E-2</v>
          </cell>
        </row>
        <row r="78">
          <cell r="D78">
            <v>5.632847222222228E-2</v>
          </cell>
        </row>
        <row r="79">
          <cell r="D79">
            <v>8.8133280898876495E-2</v>
          </cell>
        </row>
        <row r="80">
          <cell r="D80">
            <v>0.10496736842105271</v>
          </cell>
        </row>
        <row r="81">
          <cell r="D81">
            <v>0.1134618587360595</v>
          </cell>
        </row>
        <row r="82">
          <cell r="D82">
            <v>2.7776190476190526E-3</v>
          </cell>
        </row>
        <row r="83">
          <cell r="D83">
            <v>0.14282</v>
          </cell>
        </row>
        <row r="84">
          <cell r="D84">
            <v>0.27269325301204816</v>
          </cell>
        </row>
        <row r="85">
          <cell r="D85">
            <v>0.16911827995255052</v>
          </cell>
        </row>
        <row r="86">
          <cell r="D86">
            <v>0.17691252873563204</v>
          </cell>
        </row>
        <row r="87">
          <cell r="D87">
            <v>3.9863866666666657E-2</v>
          </cell>
        </row>
        <row r="88">
          <cell r="D88">
            <v>4.4529398907103827E-2</v>
          </cell>
        </row>
        <row r="89">
          <cell r="D89">
            <v>9.3719248826291068E-2</v>
          </cell>
        </row>
        <row r="90">
          <cell r="D90">
            <v>9.822864864864865E-2</v>
          </cell>
        </row>
        <row r="91">
          <cell r="D91">
            <v>0.10729344497607662</v>
          </cell>
        </row>
        <row r="92">
          <cell r="D92">
            <v>5.1318604651162747E-3</v>
          </cell>
        </row>
        <row r="93">
          <cell r="D93">
            <v>6.7412287581699343E-2</v>
          </cell>
        </row>
        <row r="94">
          <cell r="D94">
            <v>7.792022222222221E-2</v>
          </cell>
        </row>
        <row r="95">
          <cell r="D95">
            <v>7.9921733333333342E-2</v>
          </cell>
        </row>
      </sheetData>
      <sheetData sheetId="21"/>
      <sheetData sheetId="22"/>
      <sheetData sheetId="23"/>
      <sheetData sheetId="24">
        <row r="3">
          <cell r="F3">
            <v>9.0308890940185002E-2</v>
          </cell>
          <cell r="J3">
            <v>9.2224502832059602E-2</v>
          </cell>
        </row>
        <row r="4">
          <cell r="F4">
            <v>8.0244040953254395E-2</v>
          </cell>
          <cell r="J4">
            <v>7.9981930247242136E-2</v>
          </cell>
        </row>
        <row r="5">
          <cell r="F5">
            <v>1.2353378911390047E-2</v>
          </cell>
          <cell r="J5">
            <v>1.2274593703366197E-2</v>
          </cell>
        </row>
        <row r="6">
          <cell r="F6">
            <v>0.14743627276755109</v>
          </cell>
          <cell r="J6">
            <v>0.14943657631895677</v>
          </cell>
        </row>
        <row r="7">
          <cell r="F7">
            <v>6.584576381061448E-2</v>
          </cell>
          <cell r="J7">
            <v>6.5170323760650503E-2</v>
          </cell>
        </row>
        <row r="8">
          <cell r="F8">
            <v>3.6479009561434891E-2</v>
          </cell>
          <cell r="J8">
            <v>3.4943488463797939E-2</v>
          </cell>
        </row>
        <row r="9">
          <cell r="F9">
            <v>4.1764766200202448E-5</v>
          </cell>
          <cell r="J9">
            <v>3.7602747649597004E-4</v>
          </cell>
        </row>
        <row r="10">
          <cell r="F10">
            <v>1.0047331251049651E-4</v>
          </cell>
          <cell r="J10">
            <v>-2.5409848459255068E-4</v>
          </cell>
        </row>
        <row r="11">
          <cell r="F11">
            <v>0.21975004183319735</v>
          </cell>
          <cell r="J11">
            <v>0.21965850488954478</v>
          </cell>
        </row>
        <row r="12">
          <cell r="F12">
            <v>0.16549489068571271</v>
          </cell>
          <cell r="J12">
            <v>0.16620550043419383</v>
          </cell>
        </row>
        <row r="13">
          <cell r="F13">
            <v>0.1308431874962574</v>
          </cell>
          <cell r="J13">
            <v>0.13150372291132204</v>
          </cell>
        </row>
        <row r="14">
          <cell r="F14">
            <v>7.2690501748205122E-3</v>
          </cell>
          <cell r="J14">
            <v>6.8733754072739317E-3</v>
          </cell>
        </row>
        <row r="15">
          <cell r="F15">
            <v>0.10740162701009311</v>
          </cell>
          <cell r="J15">
            <v>0.10756044602739526</v>
          </cell>
        </row>
        <row r="16">
          <cell r="F16">
            <v>8.5210415426435954E-2</v>
          </cell>
          <cell r="J16">
            <v>8.8319091504811681E-2</v>
          </cell>
        </row>
        <row r="17">
          <cell r="F17">
            <v>0.19268732296056873</v>
          </cell>
          <cell r="J17">
            <v>0.1895508363242917</v>
          </cell>
        </row>
        <row r="18">
          <cell r="F18">
            <v>0.10020419212665564</v>
          </cell>
          <cell r="J18">
            <v>0.10069812557358715</v>
          </cell>
        </row>
        <row r="19">
          <cell r="F19">
            <v>0.10208853535516443</v>
          </cell>
          <cell r="J19">
            <v>9.9179563288606054E-2</v>
          </cell>
        </row>
        <row r="20">
          <cell r="F20">
            <v>0.1547255582981597</v>
          </cell>
          <cell r="J20">
            <v>0.15610820572687148</v>
          </cell>
        </row>
        <row r="21">
          <cell r="F21">
            <v>0.29123799344815227</v>
          </cell>
          <cell r="J21">
            <v>0.29207983405329863</v>
          </cell>
        </row>
        <row r="22">
          <cell r="F22">
            <v>7.3176266927285696E-2</v>
          </cell>
          <cell r="J22">
            <v>7.4067576123768242E-2</v>
          </cell>
        </row>
        <row r="23">
          <cell r="F23">
            <v>0.13717096964949019</v>
          </cell>
          <cell r="J23">
            <v>0.13869019321666459</v>
          </cell>
        </row>
        <row r="24">
          <cell r="F24">
            <v>7.9238137222403707E-2</v>
          </cell>
          <cell r="J24">
            <v>7.8728013983956763E-2</v>
          </cell>
        </row>
        <row r="25">
          <cell r="F25">
            <v>9.3403961215025449E-2</v>
          </cell>
          <cell r="J25">
            <v>9.2864484379383411E-2</v>
          </cell>
        </row>
        <row r="26">
          <cell r="F26">
            <v>8.2283347542430024E-2</v>
          </cell>
          <cell r="J26">
            <v>0.1031871099641556</v>
          </cell>
        </row>
        <row r="27">
          <cell r="F27">
            <v>0.21497248584763778</v>
          </cell>
          <cell r="J27">
            <v>0.21693380846895721</v>
          </cell>
        </row>
        <row r="28">
          <cell r="F28">
            <v>8.5232409536615497E-2</v>
          </cell>
          <cell r="J28">
            <v>8.4808026383120336E-2</v>
          </cell>
        </row>
        <row r="29">
          <cell r="F29">
            <v>6.6581915586067367E-2</v>
          </cell>
          <cell r="J29">
            <v>6.8354825796984889E-2</v>
          </cell>
        </row>
        <row r="30">
          <cell r="F30">
            <v>5.1856753090923656E-2</v>
          </cell>
          <cell r="J30">
            <v>5.323691462491336E-2</v>
          </cell>
        </row>
        <row r="31">
          <cell r="F31">
            <v>6.9719039704346605E-2</v>
          </cell>
          <cell r="J31">
            <v>6.9325465814361706E-2</v>
          </cell>
        </row>
        <row r="32">
          <cell r="F32">
            <v>4.8271950394670499E-2</v>
          </cell>
          <cell r="J32">
            <v>4.8306809979186786E-2</v>
          </cell>
        </row>
        <row r="33">
          <cell r="F33">
            <v>7.9870349681843311E-2</v>
          </cell>
          <cell r="J33">
            <v>8.2532590737816963E-2</v>
          </cell>
        </row>
        <row r="34">
          <cell r="F34">
            <v>0.1067977168535225</v>
          </cell>
          <cell r="J34">
            <v>0.1076269103567748</v>
          </cell>
        </row>
        <row r="35">
          <cell r="F35">
            <v>7.4276728290765592E-2</v>
          </cell>
          <cell r="J35">
            <v>7.5083908473903282E-2</v>
          </cell>
        </row>
        <row r="36">
          <cell r="F36">
            <v>0.10651653844559901</v>
          </cell>
          <cell r="J36">
            <v>0.1082415050730236</v>
          </cell>
        </row>
        <row r="37">
          <cell r="F37">
            <v>8.3213972000600517E-2</v>
          </cell>
          <cell r="J37">
            <v>8.3445314652687952E-2</v>
          </cell>
        </row>
        <row r="38">
          <cell r="F38">
            <v>2.5794362646047259E-2</v>
          </cell>
          <cell r="J38">
            <v>2.5686424038396192E-2</v>
          </cell>
        </row>
        <row r="39">
          <cell r="F39">
            <v>7.5874881186540372E-2</v>
          </cell>
          <cell r="J39">
            <v>7.5655724846872219E-2</v>
          </cell>
        </row>
        <row r="40">
          <cell r="F40">
            <v>0.32890130702989834</v>
          </cell>
          <cell r="J40">
            <v>0.32759318005707233</v>
          </cell>
        </row>
        <row r="41">
          <cell r="F41">
            <v>0.15096971096104425</v>
          </cell>
          <cell r="J41">
            <v>0.15422910964795478</v>
          </cell>
        </row>
        <row r="42">
          <cell r="F42">
            <v>4.2303371055602383E-2</v>
          </cell>
          <cell r="J42">
            <v>4.1825760899788428E-2</v>
          </cell>
        </row>
        <row r="43">
          <cell r="F43">
            <v>0.16006819885448872</v>
          </cell>
          <cell r="J43">
            <v>0.16553367467046465</v>
          </cell>
        </row>
        <row r="44">
          <cell r="F44">
            <v>0.15495719798118576</v>
          </cell>
          <cell r="J44">
            <v>0.14965402333568886</v>
          </cell>
        </row>
        <row r="45">
          <cell r="F45">
            <v>0.11144592137589428</v>
          </cell>
          <cell r="J45">
            <v>0.11084921823155379</v>
          </cell>
        </row>
        <row r="46">
          <cell r="F46">
            <v>5.7973344234807628E-2</v>
          </cell>
          <cell r="J46">
            <v>4.1681343831587121E-2</v>
          </cell>
        </row>
        <row r="47">
          <cell r="F47">
            <v>0.14889539541413527</v>
          </cell>
          <cell r="J47">
            <v>0.14841624764038996</v>
          </cell>
        </row>
        <row r="48">
          <cell r="F48">
            <v>0.20798720231291662</v>
          </cell>
          <cell r="J48">
            <v>0.21436307387873141</v>
          </cell>
        </row>
        <row r="49">
          <cell r="F49">
            <v>0.10406830157075771</v>
          </cell>
          <cell r="J49">
            <v>0.10471297824825589</v>
          </cell>
        </row>
        <row r="50">
          <cell r="F50">
            <v>5.656509696153738E-2</v>
          </cell>
          <cell r="J50">
            <v>5.6689336985043741E-2</v>
          </cell>
        </row>
        <row r="51">
          <cell r="F51">
            <v>6.3788599358268291E-2</v>
          </cell>
          <cell r="J51">
            <v>6.4158674737517296E-2</v>
          </cell>
        </row>
        <row r="52">
          <cell r="F52">
            <v>0.2024143572291584</v>
          </cell>
          <cell r="J52">
            <v>0.20171069068869443</v>
          </cell>
        </row>
        <row r="53">
          <cell r="F53">
            <v>9.6838342723796836E-2</v>
          </cell>
          <cell r="J53">
            <v>9.6250648014029647E-2</v>
          </cell>
        </row>
        <row r="54">
          <cell r="F54">
            <v>0.16457676118489492</v>
          </cell>
          <cell r="J54">
            <v>0.16521247908868061</v>
          </cell>
        </row>
        <row r="55">
          <cell r="F55">
            <v>6.8751325899671492E-2</v>
          </cell>
          <cell r="J55">
            <v>6.9942584144654221E-2</v>
          </cell>
        </row>
        <row r="56">
          <cell r="F56">
            <v>0.20335295617346388</v>
          </cell>
          <cell r="J56">
            <v>0.20370003311353505</v>
          </cell>
        </row>
        <row r="57">
          <cell r="F57">
            <v>0.39369866847384061</v>
          </cell>
          <cell r="J57">
            <v>0.39485854644800417</v>
          </cell>
        </row>
        <row r="58">
          <cell r="F58">
            <v>0.10430118720988638</v>
          </cell>
          <cell r="J58">
            <v>0.1052863696769992</v>
          </cell>
        </row>
        <row r="59">
          <cell r="F59">
            <v>6.4183350193997971E-2</v>
          </cell>
          <cell r="J59">
            <v>6.4755034205025944E-2</v>
          </cell>
        </row>
        <row r="60">
          <cell r="F60">
            <v>8.5726621940880904E-2</v>
          </cell>
          <cell r="J60">
            <v>8.6636757613466842E-2</v>
          </cell>
        </row>
        <row r="61">
          <cell r="F61">
            <v>0.13562433135317445</v>
          </cell>
          <cell r="J61">
            <v>0.13522755335680517</v>
          </cell>
        </row>
        <row r="62">
          <cell r="F62">
            <v>8.8952020356594975E-3</v>
          </cell>
          <cell r="J62">
            <v>9.0650879058015495E-3</v>
          </cell>
        </row>
        <row r="63">
          <cell r="F63">
            <v>0.16469671534866936</v>
          </cell>
          <cell r="J63">
            <v>0.16545429871456141</v>
          </cell>
        </row>
        <row r="64">
          <cell r="F64">
            <v>6.8047405467743752E-2</v>
          </cell>
          <cell r="J64">
            <v>6.6598008587568716E-2</v>
          </cell>
        </row>
        <row r="65">
          <cell r="F65">
            <v>0.33803600955498653</v>
          </cell>
          <cell r="J65">
            <v>0.32145434499735054</v>
          </cell>
        </row>
        <row r="66">
          <cell r="F66">
            <v>0.10490271872236499</v>
          </cell>
          <cell r="J66">
            <v>0.10454275297579443</v>
          </cell>
        </row>
        <row r="67">
          <cell r="F67">
            <v>0.14757079111695964</v>
          </cell>
          <cell r="J67">
            <v>0.15380910896269037</v>
          </cell>
        </row>
        <row r="68">
          <cell r="F68">
            <v>0.1442484586934426</v>
          </cell>
          <cell r="J68">
            <v>0.14816464671686094</v>
          </cell>
        </row>
        <row r="69">
          <cell r="F69">
            <v>0.10008498258676168</v>
          </cell>
          <cell r="J69">
            <v>9.6808973253023456E-2</v>
          </cell>
        </row>
        <row r="70">
          <cell r="F70">
            <v>1.6007690019154888E-2</v>
          </cell>
          <cell r="J70">
            <v>1.5999325835102884E-2</v>
          </cell>
        </row>
        <row r="71">
          <cell r="F71">
            <v>0.10371730864332976</v>
          </cell>
          <cell r="J71">
            <v>9.1942554059624565E-2</v>
          </cell>
        </row>
        <row r="72">
          <cell r="F72">
            <v>5.0574673529283576E-2</v>
          </cell>
          <cell r="J72">
            <v>4.8343338883621523E-2</v>
          </cell>
        </row>
        <row r="73">
          <cell r="F73">
            <v>0.12456492607372097</v>
          </cell>
          <cell r="J73">
            <v>0.12376877725925094</v>
          </cell>
        </row>
        <row r="74">
          <cell r="F74">
            <v>5.4783056960455628E-2</v>
          </cell>
          <cell r="J74">
            <v>5.5210020602748142E-2</v>
          </cell>
        </row>
        <row r="75">
          <cell r="F75">
            <v>4.7344064491521044E-2</v>
          </cell>
          <cell r="J75">
            <v>4.611346599102132E-2</v>
          </cell>
        </row>
        <row r="76">
          <cell r="F76">
            <v>4.5257568991636785E-2</v>
          </cell>
          <cell r="J76">
            <v>4.4358506222621961E-2</v>
          </cell>
        </row>
        <row r="77">
          <cell r="F77">
            <v>1.7967025086749759E-3</v>
          </cell>
          <cell r="J77">
            <v>1.4596961257935463E-2</v>
          </cell>
        </row>
        <row r="78">
          <cell r="F78">
            <v>5.6411119653417642E-2</v>
          </cell>
          <cell r="J78">
            <v>5.8366703266215236E-2</v>
          </cell>
        </row>
        <row r="79">
          <cell r="F79">
            <v>7.506181514407724E-2</v>
          </cell>
          <cell r="J79">
            <v>7.3578562426349539E-2</v>
          </cell>
        </row>
        <row r="80">
          <cell r="F80">
            <v>0.22958951515279774</v>
          </cell>
          <cell r="J80">
            <v>0.24193399820083566</v>
          </cell>
        </row>
        <row r="81">
          <cell r="F81">
            <v>0.24370132674286299</v>
          </cell>
          <cell r="J81">
            <v>0.24894160017681496</v>
          </cell>
        </row>
        <row r="82">
          <cell r="F82">
            <v>0.33192029756440922</v>
          </cell>
          <cell r="J82">
            <v>0.33302425887017123</v>
          </cell>
        </row>
        <row r="83">
          <cell r="F83">
            <v>9.940805273593413E-2</v>
          </cell>
          <cell r="J83">
            <v>9.9308561479847096E-2</v>
          </cell>
        </row>
        <row r="84">
          <cell r="F84">
            <v>0.22953463962982901</v>
          </cell>
          <cell r="J84">
            <v>0.25356431486459097</v>
          </cell>
        </row>
        <row r="85">
          <cell r="F85">
            <v>-2.010271295519131E-2</v>
          </cell>
          <cell r="J85">
            <v>4.6187908283204715E-3</v>
          </cell>
        </row>
        <row r="86">
          <cell r="F86">
            <v>0.17725169673656516</v>
          </cell>
          <cell r="J86">
            <v>0.19688448580761525</v>
          </cell>
        </row>
        <row r="87">
          <cell r="F87">
            <v>0.11983144761390822</v>
          </cell>
          <cell r="J87">
            <v>0.11976279919759207</v>
          </cell>
        </row>
        <row r="88">
          <cell r="F88">
            <v>0.14612907847070811</v>
          </cell>
          <cell r="J88">
            <v>0.14331345320592245</v>
          </cell>
        </row>
        <row r="89">
          <cell r="F89">
            <v>0.10803883058790111</v>
          </cell>
          <cell r="J89">
            <v>0.1076245089719039</v>
          </cell>
        </row>
        <row r="90">
          <cell r="F90">
            <v>0.14564770212095915</v>
          </cell>
          <cell r="J90">
            <v>0.145102802727752</v>
          </cell>
        </row>
        <row r="91">
          <cell r="F91">
            <v>0.33474559408861121</v>
          </cell>
          <cell r="J91">
            <v>0.3353339430515232</v>
          </cell>
        </row>
        <row r="92">
          <cell r="F92">
            <v>7.8816807017395477E-2</v>
          </cell>
          <cell r="J92">
            <v>7.901879530087233E-2</v>
          </cell>
        </row>
        <row r="93">
          <cell r="F93">
            <v>0.22937544917128982</v>
          </cell>
          <cell r="J93">
            <v>0.22782025938466396</v>
          </cell>
        </row>
        <row r="94">
          <cell r="F94">
            <v>8.1825960469875447E-2</v>
          </cell>
          <cell r="J94">
            <v>8.7971142690093859E-2</v>
          </cell>
        </row>
        <row r="95">
          <cell r="F95">
            <v>0.11456119771994193</v>
          </cell>
          <cell r="J95">
            <v>0.11417047367535862</v>
          </cell>
        </row>
        <row r="96">
          <cell r="F96">
            <v>0.23308027198201001</v>
          </cell>
          <cell r="J96">
            <v>0.23300787604616452</v>
          </cell>
        </row>
      </sheetData>
      <sheetData sheetId="25"/>
      <sheetData sheetId="26"/>
      <sheetData sheetId="27">
        <row r="7">
          <cell r="C7">
            <v>0.39695739619251297</v>
          </cell>
        </row>
        <row r="8">
          <cell r="C8">
            <v>0.36229340257411924</v>
          </cell>
        </row>
        <row r="9">
          <cell r="C9">
            <v>0.30863311861967929</v>
          </cell>
        </row>
        <row r="10">
          <cell r="C10">
            <v>0.34781354412233134</v>
          </cell>
        </row>
        <row r="11">
          <cell r="C11">
            <v>0.33896789399772925</v>
          </cell>
        </row>
        <row r="12">
          <cell r="C12">
            <v>0.31499751482799093</v>
          </cell>
        </row>
        <row r="13">
          <cell r="C13">
            <v>0.21675380851065218</v>
          </cell>
        </row>
        <row r="14">
          <cell r="C14">
            <v>0.17830180346656344</v>
          </cell>
        </row>
        <row r="15">
          <cell r="C15">
            <v>0.28571957625212252</v>
          </cell>
        </row>
        <row r="16">
          <cell r="C16">
            <v>0.31052361417890234</v>
          </cell>
        </row>
        <row r="17">
          <cell r="C17">
            <v>0.34716622042674328</v>
          </cell>
        </row>
        <row r="18">
          <cell r="C18">
            <v>0.34987613722148397</v>
          </cell>
        </row>
        <row r="19">
          <cell r="C19">
            <v>0.29868072216447483</v>
          </cell>
        </row>
        <row r="20">
          <cell r="C20">
            <v>0.35508042862954164</v>
          </cell>
        </row>
        <row r="21">
          <cell r="C21">
            <v>0.26282180998895055</v>
          </cell>
        </row>
        <row r="22">
          <cell r="C22">
            <v>0.32649437388083069</v>
          </cell>
        </row>
        <row r="23">
          <cell r="C23">
            <v>0.24921264970970231</v>
          </cell>
        </row>
        <row r="24">
          <cell r="C24">
            <v>0.34149187496630518</v>
          </cell>
        </row>
        <row r="25">
          <cell r="C25">
            <v>0.58726950301818248</v>
          </cell>
        </row>
        <row r="26">
          <cell r="C26">
            <v>0.33786373564723465</v>
          </cell>
        </row>
        <row r="27">
          <cell r="C27">
            <v>0.3292446932773343</v>
          </cell>
        </row>
        <row r="28">
          <cell r="C28">
            <v>0.30150511958275444</v>
          </cell>
        </row>
        <row r="29">
          <cell r="C29">
            <v>0.27349373371508195</v>
          </cell>
        </row>
        <row r="30">
          <cell r="C30">
            <v>0.51694194640882407</v>
          </cell>
        </row>
        <row r="31">
          <cell r="C31">
            <v>0.44281720798926644</v>
          </cell>
        </row>
        <row r="32">
          <cell r="C32">
            <v>0.34117555150021905</v>
          </cell>
        </row>
        <row r="33">
          <cell r="C33">
            <v>0.37245108102966507</v>
          </cell>
        </row>
        <row r="34">
          <cell r="C34">
            <v>0.34632531120576865</v>
          </cell>
        </row>
        <row r="35">
          <cell r="C35">
            <v>0.33176265991369114</v>
          </cell>
        </row>
        <row r="36">
          <cell r="C36">
            <v>0.32279385986263293</v>
          </cell>
        </row>
        <row r="37">
          <cell r="C37">
            <v>0.42673745588286965</v>
          </cell>
        </row>
        <row r="38">
          <cell r="C38">
            <v>0.38236707668331305</v>
          </cell>
        </row>
        <row r="39">
          <cell r="C39">
            <v>0.34158621718358206</v>
          </cell>
        </row>
        <row r="40">
          <cell r="C40">
            <v>0.33123687849243361</v>
          </cell>
        </row>
        <row r="41">
          <cell r="C41">
            <v>0.29170887891196889</v>
          </cell>
        </row>
        <row r="42">
          <cell r="C42">
            <v>0.31458186609200384</v>
          </cell>
        </row>
        <row r="43">
          <cell r="C43">
            <v>0.30125928200266844</v>
          </cell>
        </row>
        <row r="44">
          <cell r="C44">
            <v>0.36974872492744715</v>
          </cell>
        </row>
        <row r="45">
          <cell r="C45">
            <v>0.43161496413982586</v>
          </cell>
        </row>
        <row r="46">
          <cell r="C46">
            <v>0.38241271592555787</v>
          </cell>
        </row>
        <row r="47">
          <cell r="C47">
            <v>0.45081477143098153</v>
          </cell>
        </row>
        <row r="48">
          <cell r="C48">
            <v>0.28509702105698664</v>
          </cell>
        </row>
        <row r="49">
          <cell r="C49">
            <v>0.31837828004372998</v>
          </cell>
        </row>
        <row r="50">
          <cell r="C50">
            <v>0.34991307923365311</v>
          </cell>
        </row>
        <row r="51">
          <cell r="C51">
            <v>0.37891980080211041</v>
          </cell>
        </row>
        <row r="52">
          <cell r="C52">
            <v>0.40765639840290036</v>
          </cell>
        </row>
        <row r="53">
          <cell r="C53">
            <v>0.25272166193104129</v>
          </cell>
        </row>
        <row r="54">
          <cell r="C54">
            <v>0.23901505811759377</v>
          </cell>
        </row>
        <row r="55">
          <cell r="C55">
            <v>0.26692529380793906</v>
          </cell>
        </row>
        <row r="56">
          <cell r="C56">
            <v>0.26550357638295474</v>
          </cell>
        </row>
        <row r="57">
          <cell r="C57">
            <v>0.31622845943757366</v>
          </cell>
        </row>
        <row r="58">
          <cell r="C58">
            <v>0.61690411142274737</v>
          </cell>
        </row>
        <row r="59">
          <cell r="C59">
            <v>0.33105972711523934</v>
          </cell>
        </row>
        <row r="60">
          <cell r="C60">
            <v>0.290654684170079</v>
          </cell>
        </row>
        <row r="61">
          <cell r="C61">
            <v>0.5761526246802835</v>
          </cell>
        </row>
        <row r="62">
          <cell r="C62">
            <v>0.31692919401817637</v>
          </cell>
        </row>
        <row r="63">
          <cell r="C63">
            <v>0.38678554871410087</v>
          </cell>
        </row>
        <row r="64">
          <cell r="C64">
            <v>0.29449832942613408</v>
          </cell>
        </row>
        <row r="65">
          <cell r="C65">
            <v>0.3119027435891214</v>
          </cell>
        </row>
        <row r="66">
          <cell r="C66">
            <v>0.25944771221610685</v>
          </cell>
        </row>
        <row r="67">
          <cell r="C67">
            <v>0.62912563546076816</v>
          </cell>
        </row>
        <row r="68">
          <cell r="C68">
            <v>0.31440209547156556</v>
          </cell>
        </row>
        <row r="69">
          <cell r="C69">
            <v>0.188502700447128</v>
          </cell>
        </row>
        <row r="70">
          <cell r="C70">
            <v>0.32556181158049086</v>
          </cell>
        </row>
        <row r="71">
          <cell r="C71">
            <v>0.26803347575607533</v>
          </cell>
        </row>
        <row r="72">
          <cell r="C72">
            <v>0.29972973723472146</v>
          </cell>
        </row>
        <row r="73">
          <cell r="C73">
            <v>0.33179399049670577</v>
          </cell>
        </row>
        <row r="74">
          <cell r="C74">
            <v>0.28323303408098666</v>
          </cell>
        </row>
        <row r="75">
          <cell r="C75">
            <v>0.31360962157416999</v>
          </cell>
        </row>
        <row r="76">
          <cell r="C76">
            <v>0.30421163829693049</v>
          </cell>
        </row>
        <row r="77">
          <cell r="C77">
            <v>0.27792365922032364</v>
          </cell>
        </row>
        <row r="78">
          <cell r="C78">
            <v>0.3263950009608495</v>
          </cell>
        </row>
        <row r="79">
          <cell r="C79">
            <v>0.27275967897216363</v>
          </cell>
        </row>
        <row r="80">
          <cell r="C80">
            <v>0.2395250060619005</v>
          </cell>
        </row>
        <row r="81">
          <cell r="C81">
            <v>0.46350736287125799</v>
          </cell>
        </row>
        <row r="82">
          <cell r="C82">
            <v>0.31791100266989658</v>
          </cell>
        </row>
        <row r="83">
          <cell r="C83">
            <v>0.27734767794889681</v>
          </cell>
        </row>
        <row r="84">
          <cell r="C84">
            <v>0.37344951833670342</v>
          </cell>
        </row>
        <row r="85">
          <cell r="C85">
            <v>0.33267871506038227</v>
          </cell>
        </row>
        <row r="86">
          <cell r="C86">
            <v>0.33913461678437984</v>
          </cell>
        </row>
        <row r="87">
          <cell r="C87">
            <v>0.35254293112020701</v>
          </cell>
        </row>
        <row r="88">
          <cell r="C88">
            <v>0.47746935346140246</v>
          </cell>
        </row>
        <row r="89">
          <cell r="C89">
            <v>0.43243045103017308</v>
          </cell>
        </row>
        <row r="90">
          <cell r="C90">
            <v>0.44540749279606739</v>
          </cell>
        </row>
        <row r="91">
          <cell r="C91">
            <v>0.36054916600984277</v>
          </cell>
        </row>
        <row r="92">
          <cell r="C92">
            <v>0.27376891988486907</v>
          </cell>
        </row>
        <row r="93">
          <cell r="C93">
            <v>0.35575957529107116</v>
          </cell>
        </row>
        <row r="94">
          <cell r="C94">
            <v>0.33234588224425837</v>
          </cell>
        </row>
        <row r="95">
          <cell r="C95">
            <v>0.28815132980992253</v>
          </cell>
        </row>
        <row r="96">
          <cell r="C96">
            <v>0.31084297302653918</v>
          </cell>
        </row>
        <row r="97">
          <cell r="C97">
            <v>0.1904649831765268</v>
          </cell>
        </row>
        <row r="98">
          <cell r="C98">
            <v>0.31796488514967647</v>
          </cell>
        </row>
        <row r="99">
          <cell r="C99">
            <v>0.18373338360033689</v>
          </cell>
        </row>
        <row r="100">
          <cell r="C100">
            <v>0.29170204736386413</v>
          </cell>
        </row>
      </sheetData>
      <sheetData sheetId="28">
        <row r="2">
          <cell r="C2">
            <v>2.3354620711493479</v>
          </cell>
        </row>
        <row r="3">
          <cell r="C3">
            <v>4.3573233797524988</v>
          </cell>
        </row>
        <row r="4">
          <cell r="C4">
            <v>2.9382894788056628</v>
          </cell>
        </row>
        <row r="5">
          <cell r="C5">
            <v>3.6309023837854668</v>
          </cell>
        </row>
        <row r="6">
          <cell r="C6">
            <v>1.2924319609024459</v>
          </cell>
        </row>
        <row r="7">
          <cell r="C7">
            <v>1.3917099071259258</v>
          </cell>
        </row>
        <row r="8">
          <cell r="C8">
            <v>0.81285190398027118</v>
          </cell>
        </row>
        <row r="9">
          <cell r="C9">
            <v>0.89188417325568681</v>
          </cell>
        </row>
        <row r="10">
          <cell r="C10">
            <v>3.5736745890053765</v>
          </cell>
        </row>
        <row r="11">
          <cell r="C11">
            <v>6.6110537061224148</v>
          </cell>
        </row>
        <row r="12">
          <cell r="C12">
            <v>0.81219028797507353</v>
          </cell>
        </row>
        <row r="13">
          <cell r="C13">
            <v>1.2161813550455391</v>
          </cell>
        </row>
        <row r="14">
          <cell r="C14">
            <v>2.4062797893398473</v>
          </cell>
        </row>
        <row r="15">
          <cell r="C15">
            <v>3.5572441534696142</v>
          </cell>
        </row>
        <row r="16">
          <cell r="C16">
            <v>1.929850102641772</v>
          </cell>
        </row>
        <row r="17">
          <cell r="C17">
            <v>1.5633404186346405</v>
          </cell>
        </row>
        <row r="18">
          <cell r="C18">
            <v>1.1245367981194994</v>
          </cell>
        </row>
        <row r="19">
          <cell r="C19">
            <v>2.4990688320644274</v>
          </cell>
        </row>
        <row r="20">
          <cell r="C20">
            <v>1.4159269251330795</v>
          </cell>
        </row>
        <row r="21">
          <cell r="C21">
            <v>3.5785994531817509</v>
          </cell>
        </row>
        <row r="22">
          <cell r="C22">
            <v>5.2021822039572259</v>
          </cell>
        </row>
        <row r="23">
          <cell r="C23">
            <v>1.4169331425544049</v>
          </cell>
        </row>
        <row r="24">
          <cell r="C24">
            <v>1.2135055453841528</v>
          </cell>
        </row>
        <row r="25">
          <cell r="C25">
            <v>5.0769214630631092</v>
          </cell>
        </row>
        <row r="26">
          <cell r="C26">
            <v>3.8038786986767983</v>
          </cell>
        </row>
        <row r="27">
          <cell r="C27">
            <v>1.8555344291477101</v>
          </cell>
        </row>
        <row r="28">
          <cell r="C28">
            <v>2.833909558497774</v>
          </cell>
        </row>
        <row r="29">
          <cell r="C29">
            <v>1.2983108781883297</v>
          </cell>
        </row>
        <row r="30">
          <cell r="C30">
            <v>2.1250670536108807</v>
          </cell>
        </row>
        <row r="31">
          <cell r="C31">
            <v>0.92438488649154593</v>
          </cell>
        </row>
        <row r="32">
          <cell r="C32">
            <v>2.2420184466493001</v>
          </cell>
        </row>
        <row r="33">
          <cell r="C33">
            <v>2.8428385265315317</v>
          </cell>
        </row>
        <row r="34">
          <cell r="C34">
            <v>2.1504493343657427</v>
          </cell>
        </row>
        <row r="35">
          <cell r="C35">
            <v>1.2380098214278055</v>
          </cell>
        </row>
        <row r="36">
          <cell r="C36">
            <v>2.4990667838755436</v>
          </cell>
        </row>
        <row r="37">
          <cell r="C37">
            <v>2.1616053317977144</v>
          </cell>
        </row>
        <row r="38">
          <cell r="C38">
            <v>2.2027094370991782</v>
          </cell>
        </row>
        <row r="39">
          <cell r="C39">
            <v>1.9232200976937126</v>
          </cell>
        </row>
        <row r="40">
          <cell r="C40">
            <v>3.6045967641993903</v>
          </cell>
        </row>
        <row r="41">
          <cell r="C41">
            <v>2.8275940639627919</v>
          </cell>
        </row>
        <row r="42">
          <cell r="C42">
            <v>4.3589307174771452</v>
          </cell>
        </row>
        <row r="43">
          <cell r="C43">
            <v>1.1140152455630299</v>
          </cell>
        </row>
        <row r="44">
          <cell r="C44">
            <v>3.7479687612787038</v>
          </cell>
        </row>
        <row r="45">
          <cell r="C45">
            <v>3.1356479827955788</v>
          </cell>
        </row>
        <row r="46">
          <cell r="C46">
            <v>5.2426976351351451</v>
          </cell>
        </row>
        <row r="47">
          <cell r="C47">
            <v>5.2587903039288859</v>
          </cell>
        </row>
        <row r="48">
          <cell r="C48">
            <v>1.7521574454494151</v>
          </cell>
        </row>
        <row r="49">
          <cell r="C49">
            <v>1.2578747095304454</v>
          </cell>
        </row>
        <row r="50">
          <cell r="C50">
            <v>1.5933275666493296</v>
          </cell>
        </row>
        <row r="51">
          <cell r="C51">
            <v>1.4294350080625697</v>
          </cell>
        </row>
        <row r="52">
          <cell r="C52">
            <v>2.7467697368619257</v>
          </cell>
        </row>
        <row r="53">
          <cell r="C53">
            <v>1.8251328688458563</v>
          </cell>
        </row>
        <row r="54">
          <cell r="C54">
            <v>1.7846844806000841</v>
          </cell>
        </row>
        <row r="55">
          <cell r="C55">
            <v>2.0049151503678555</v>
          </cell>
        </row>
        <row r="56">
          <cell r="C56">
            <v>1.7300606771239979</v>
          </cell>
        </row>
        <row r="57">
          <cell r="C57">
            <v>1.8164371624196047</v>
          </cell>
        </row>
        <row r="58">
          <cell r="C58">
            <v>1.5357699086396315</v>
          </cell>
        </row>
        <row r="59">
          <cell r="C59">
            <v>1.940650938180684</v>
          </cell>
        </row>
        <row r="60">
          <cell r="C60">
            <v>1.0735483341618237</v>
          </cell>
        </row>
        <row r="61">
          <cell r="C61">
            <v>1.4577656930951783</v>
          </cell>
        </row>
        <row r="62">
          <cell r="C62">
            <v>1.5934497426010152</v>
          </cell>
        </row>
        <row r="63">
          <cell r="C63">
            <v>1.3219210745300178</v>
          </cell>
        </row>
        <row r="64">
          <cell r="C64">
            <v>1.3917441013942691</v>
          </cell>
        </row>
        <row r="65">
          <cell r="C65">
            <v>0.47581440970018868</v>
          </cell>
        </row>
        <row r="66">
          <cell r="C66">
            <v>0.64268461730126691</v>
          </cell>
        </row>
        <row r="67">
          <cell r="C67">
            <v>0.8197490370417182</v>
          </cell>
        </row>
        <row r="68">
          <cell r="C68">
            <v>2.5725258921040592</v>
          </cell>
        </row>
        <row r="69">
          <cell r="C69">
            <v>1.3931599445632008</v>
          </cell>
        </row>
        <row r="70">
          <cell r="C70">
            <v>14.381817822236322</v>
          </cell>
        </row>
        <row r="71">
          <cell r="C71">
            <v>3.1314193213403589</v>
          </cell>
        </row>
        <row r="72">
          <cell r="C72">
            <v>16.942098977439436</v>
          </cell>
        </row>
        <row r="73">
          <cell r="C73">
            <v>1.5112950518177228</v>
          </cell>
        </row>
        <row r="74">
          <cell r="C74">
            <v>3.3512422579158496</v>
          </cell>
        </row>
        <row r="75">
          <cell r="C75">
            <v>2.3047587413431696</v>
          </cell>
        </row>
        <row r="76">
          <cell r="C76">
            <v>4.2425838010175134</v>
          </cell>
        </row>
        <row r="77">
          <cell r="C77">
            <v>3.3664874019124715</v>
          </cell>
        </row>
        <row r="78">
          <cell r="C78">
            <v>1.1120791343085825</v>
          </cell>
        </row>
        <row r="79">
          <cell r="C79">
            <v>3.261468298173543</v>
          </cell>
        </row>
        <row r="80">
          <cell r="C80">
            <v>5.367884030333931</v>
          </cell>
        </row>
        <row r="81">
          <cell r="C81">
            <v>0.90298360986176784</v>
          </cell>
        </row>
        <row r="82">
          <cell r="C82">
            <v>5.25688738442242</v>
          </cell>
        </row>
        <row r="83">
          <cell r="C83">
            <v>3.5083472685377823</v>
          </cell>
        </row>
        <row r="84">
          <cell r="C84">
            <v>4.6083218345324841</v>
          </cell>
        </row>
        <row r="85">
          <cell r="C85">
            <v>6.7650917422035324</v>
          </cell>
        </row>
        <row r="86">
          <cell r="C86">
            <v>1.0334392437356485</v>
          </cell>
        </row>
        <row r="87">
          <cell r="C87">
            <v>1.4016862038068374</v>
          </cell>
        </row>
        <row r="88">
          <cell r="C88">
            <v>3.2789066545616312</v>
          </cell>
        </row>
        <row r="89">
          <cell r="C89">
            <v>1.3406890906280109</v>
          </cell>
        </row>
        <row r="90">
          <cell r="C90">
            <v>3.4958341314125998</v>
          </cell>
        </row>
        <row r="91">
          <cell r="C91">
            <v>1.9154341025484678</v>
          </cell>
        </row>
        <row r="92">
          <cell r="C92">
            <v>2.5233071875662696</v>
          </cell>
        </row>
        <row r="93">
          <cell r="C93">
            <v>2.3093625400302482</v>
          </cell>
        </row>
        <row r="94">
          <cell r="C94">
            <v>1.6077812288677511</v>
          </cell>
        </row>
        <row r="95">
          <cell r="C95">
            <v>1.5000124500603853</v>
          </cell>
        </row>
      </sheetData>
      <sheetData sheetId="29">
        <row r="2">
          <cell r="E2">
            <v>39.759159058984224</v>
          </cell>
        </row>
        <row r="3">
          <cell r="E3">
            <v>69.873885510145371</v>
          </cell>
        </row>
        <row r="4">
          <cell r="E4">
            <v>75.856092154903067</v>
          </cell>
        </row>
        <row r="5">
          <cell r="E5">
            <v>73.56324390422597</v>
          </cell>
        </row>
        <row r="6">
          <cell r="E6">
            <v>27.781838175350082</v>
          </cell>
        </row>
        <row r="7">
          <cell r="E7">
            <v>39.301868735316567</v>
          </cell>
        </row>
        <row r="8">
          <cell r="E8">
            <v>13.739133910974902</v>
          </cell>
        </row>
        <row r="9">
          <cell r="E9">
            <v>20.711981486924902</v>
          </cell>
        </row>
        <row r="10">
          <cell r="E10">
            <v>69.351610119440252</v>
          </cell>
        </row>
        <row r="11">
          <cell r="E11">
            <v>44.957599605279952</v>
          </cell>
        </row>
        <row r="12">
          <cell r="E12">
            <v>22.857740397461747</v>
          </cell>
        </row>
        <row r="13">
          <cell r="E13">
            <v>60.949595545922598</v>
          </cell>
        </row>
        <row r="14">
          <cell r="E14">
            <v>42.279983498123997</v>
          </cell>
        </row>
        <row r="15">
          <cell r="E15">
            <v>43.809952874708898</v>
          </cell>
        </row>
        <row r="16">
          <cell r="E16">
            <v>29.820184879857429</v>
          </cell>
        </row>
        <row r="17">
          <cell r="E17">
            <v>32.461182204024411</v>
          </cell>
        </row>
        <row r="18">
          <cell r="E18">
            <v>13.508795487736551</v>
          </cell>
        </row>
        <row r="19">
          <cell r="E19">
            <v>33.689947719856896</v>
          </cell>
        </row>
        <row r="20">
          <cell r="E20">
            <v>19.361296059901157</v>
          </cell>
        </row>
        <row r="21">
          <cell r="E21">
            <v>49.676816960710156</v>
          </cell>
        </row>
        <row r="22">
          <cell r="E22">
            <v>34.159140796002291</v>
          </cell>
        </row>
        <row r="23">
          <cell r="E23">
            <v>42.499008672488294</v>
          </cell>
        </row>
        <row r="24">
          <cell r="E24">
            <v>19.426843095216764</v>
          </cell>
        </row>
        <row r="25">
          <cell r="E25">
            <v>126.61097345829106</v>
          </cell>
        </row>
        <row r="26">
          <cell r="E26">
            <v>128.87688628734568</v>
          </cell>
        </row>
        <row r="27">
          <cell r="E27">
            <v>179.05357682042421</v>
          </cell>
        </row>
        <row r="28">
          <cell r="E28">
            <v>40.84984806066813</v>
          </cell>
        </row>
        <row r="29">
          <cell r="E29">
            <v>52.425310221176993</v>
          </cell>
        </row>
        <row r="30">
          <cell r="E30">
            <v>84.528011171204724</v>
          </cell>
        </row>
        <row r="31">
          <cell r="E31">
            <v>30.799850738194948</v>
          </cell>
        </row>
        <row r="32">
          <cell r="E32">
            <v>214.52307445927008</v>
          </cell>
        </row>
        <row r="33">
          <cell r="E33">
            <v>42.624997180350128</v>
          </cell>
        </row>
        <row r="34">
          <cell r="E34">
            <v>41.537477508611232</v>
          </cell>
        </row>
        <row r="35">
          <cell r="E35">
            <v>153.15694290299754</v>
          </cell>
        </row>
        <row r="36">
          <cell r="E36">
            <v>45.071976673902732</v>
          </cell>
        </row>
        <row r="37">
          <cell r="E37">
            <v>45.479220835055926</v>
          </cell>
        </row>
        <row r="38">
          <cell r="E38">
            <v>53.507688395259152</v>
          </cell>
        </row>
        <row r="39">
          <cell r="E39">
            <v>47.369779187704324</v>
          </cell>
        </row>
        <row r="40">
          <cell r="E40">
            <v>55.299306422827527</v>
          </cell>
        </row>
        <row r="41">
          <cell r="E41">
            <v>41.59070570653649</v>
          </cell>
        </row>
        <row r="42">
          <cell r="E42">
            <v>52.052376257643353</v>
          </cell>
        </row>
        <row r="43">
          <cell r="E43">
            <v>26.850355328605822</v>
          </cell>
        </row>
        <row r="44">
          <cell r="E44">
            <v>51.882384621484761</v>
          </cell>
        </row>
        <row r="45">
          <cell r="E45">
            <v>71.886708344430716</v>
          </cell>
        </row>
        <row r="46">
          <cell r="E46">
            <v>74.726398649483642</v>
          </cell>
        </row>
        <row r="47">
          <cell r="E47">
            <v>54.49701097519528</v>
          </cell>
        </row>
        <row r="48">
          <cell r="E48">
            <v>38.508132037411606</v>
          </cell>
        </row>
        <row r="49">
          <cell r="E49">
            <v>27.359392745137853</v>
          </cell>
        </row>
        <row r="50">
          <cell r="E50">
            <v>20.316274143034072</v>
          </cell>
        </row>
        <row r="51">
          <cell r="E51">
            <v>237.99123963506088</v>
          </cell>
        </row>
        <row r="52">
          <cell r="E52">
            <v>38.913964145792391</v>
          </cell>
        </row>
        <row r="53">
          <cell r="E53">
            <v>76.701735519732694</v>
          </cell>
        </row>
        <row r="54">
          <cell r="E54">
            <v>38.12834128674367</v>
          </cell>
        </row>
        <row r="55">
          <cell r="E55">
            <v>9.0007964734467958</v>
          </cell>
        </row>
        <row r="56">
          <cell r="E56">
            <v>15.176434666764806</v>
          </cell>
        </row>
        <row r="57">
          <cell r="E57">
            <v>40.136513779731757</v>
          </cell>
        </row>
        <row r="58">
          <cell r="E58">
            <v>28.410647467275698</v>
          </cell>
        </row>
        <row r="59">
          <cell r="E59">
            <v>125.25944123508474</v>
          </cell>
        </row>
        <row r="60">
          <cell r="E60">
            <v>22.787221865495614</v>
          </cell>
        </row>
        <row r="61">
          <cell r="E61">
            <v>35.263872090999307</v>
          </cell>
        </row>
        <row r="62">
          <cell r="E62">
            <v>627.22580291642339</v>
          </cell>
        </row>
        <row r="63">
          <cell r="E63">
            <v>33.167267570476426</v>
          </cell>
        </row>
        <row r="64">
          <cell r="E64">
            <v>29.010844155919504</v>
          </cell>
        </row>
        <row r="65">
          <cell r="E65">
            <v>93.428636892287287</v>
          </cell>
        </row>
        <row r="66">
          <cell r="E66">
            <v>44.690395758888215</v>
          </cell>
        </row>
        <row r="67">
          <cell r="E67">
            <v>23.760402106394217</v>
          </cell>
        </row>
        <row r="68">
          <cell r="E68">
            <v>47.175784717711394</v>
          </cell>
        </row>
        <row r="69">
          <cell r="E69">
            <v>15.643852704032815</v>
          </cell>
        </row>
        <row r="70">
          <cell r="E70">
            <v>55.544561710281627</v>
          </cell>
        </row>
        <row r="71">
          <cell r="E71">
            <v>24.10470482847775</v>
          </cell>
        </row>
        <row r="72">
          <cell r="E72">
            <v>20.808375889952647</v>
          </cell>
        </row>
        <row r="73">
          <cell r="E73">
            <v>51.298192963003395</v>
          </cell>
        </row>
        <row r="74">
          <cell r="E74">
            <v>36.680357857768897</v>
          </cell>
        </row>
        <row r="75">
          <cell r="E75">
            <v>35.317018895544528</v>
          </cell>
        </row>
        <row r="76">
          <cell r="E76">
            <v>90.302588284217236</v>
          </cell>
        </row>
        <row r="77">
          <cell r="E77">
            <v>29.906383975982227</v>
          </cell>
        </row>
        <row r="78">
          <cell r="E78">
            <v>60.490352513412041</v>
          </cell>
        </row>
        <row r="79">
          <cell r="E79">
            <v>74.133120315946627</v>
          </cell>
        </row>
        <row r="80">
          <cell r="E80">
            <v>28.744369420890074</v>
          </cell>
        </row>
        <row r="81">
          <cell r="E81">
            <v>17.544139036158338</v>
          </cell>
        </row>
        <row r="82">
          <cell r="E82">
            <v>44.479428183203773</v>
          </cell>
        </row>
        <row r="83">
          <cell r="E83">
            <v>127.3905077202935</v>
          </cell>
        </row>
        <row r="84">
          <cell r="E84">
            <v>69.669400451103826</v>
          </cell>
        </row>
        <row r="85">
          <cell r="E85">
            <v>81.170186502471253</v>
          </cell>
        </row>
        <row r="86">
          <cell r="E86">
            <v>34.010112280980266</v>
          </cell>
        </row>
        <row r="87">
          <cell r="E87">
            <v>24.327805212795383</v>
          </cell>
        </row>
        <row r="88">
          <cell r="E88">
            <v>48.329999560360697</v>
          </cell>
        </row>
        <row r="89">
          <cell r="E89">
            <v>38.642893253116668</v>
          </cell>
        </row>
        <row r="90">
          <cell r="E90">
            <v>12.602231253306266</v>
          </cell>
        </row>
        <row r="91">
          <cell r="E91">
            <v>27.907558356540434</v>
          </cell>
        </row>
        <row r="92">
          <cell r="E92">
            <v>47.926146065216102</v>
          </cell>
        </row>
        <row r="93">
          <cell r="E93">
            <v>20.393774092471542</v>
          </cell>
        </row>
        <row r="94">
          <cell r="E94">
            <v>19.959924071772317</v>
          </cell>
        </row>
        <row r="95">
          <cell r="E95">
            <v>27.005335813319128</v>
          </cell>
        </row>
      </sheetData>
      <sheetData sheetId="30">
        <row r="2">
          <cell r="E2">
            <v>1.5118171161470773</v>
          </cell>
        </row>
        <row r="3">
          <cell r="E3">
            <v>2.2626356260667349</v>
          </cell>
        </row>
        <row r="4">
          <cell r="E4">
            <v>1.9367510184926524</v>
          </cell>
        </row>
        <row r="5">
          <cell r="E5">
            <v>2.3572313228368644</v>
          </cell>
        </row>
        <row r="6">
          <cell r="E6">
            <v>1.082392518093318</v>
          </cell>
        </row>
        <row r="7">
          <cell r="E7">
            <v>0.8305830591776443</v>
          </cell>
        </row>
        <row r="8">
          <cell r="E8">
            <v>6.6890452219127399</v>
          </cell>
        </row>
        <row r="9">
          <cell r="E9">
            <v>5.5045747643571437</v>
          </cell>
        </row>
        <row r="10">
          <cell r="E10">
            <v>4.3322948155441683</v>
          </cell>
        </row>
        <row r="11">
          <cell r="E11">
            <v>3.9033785429845778</v>
          </cell>
        </row>
        <row r="12">
          <cell r="E12">
            <v>1.2237022060163452</v>
          </cell>
        </row>
        <row r="13">
          <cell r="E13">
            <v>5.3692439869910435</v>
          </cell>
        </row>
        <row r="14">
          <cell r="E14">
            <v>1.4390645957182182</v>
          </cell>
        </row>
        <row r="15">
          <cell r="E15">
            <v>1.796327021989877</v>
          </cell>
        </row>
        <row r="16">
          <cell r="E16">
            <v>2.4944078285796922</v>
          </cell>
        </row>
        <row r="17">
          <cell r="E17">
            <v>1.2364855715506904</v>
          </cell>
        </row>
        <row r="18">
          <cell r="E18">
            <v>0.94296723858016984</v>
          </cell>
        </row>
        <row r="19">
          <cell r="E19">
            <v>2.0157117635380177</v>
          </cell>
        </row>
        <row r="20">
          <cell r="E20">
            <v>1.0881834921399869</v>
          </cell>
        </row>
        <row r="21">
          <cell r="E21">
            <v>1.3095675699093319</v>
          </cell>
        </row>
        <row r="22">
          <cell r="E22">
            <v>2.0056137769058395</v>
          </cell>
        </row>
        <row r="23">
          <cell r="E23">
            <v>1.3587154692875165</v>
          </cell>
        </row>
        <row r="24">
          <cell r="E24">
            <v>1.8829530097500131</v>
          </cell>
        </row>
        <row r="25">
          <cell r="E25">
            <v>6.5588146508950045</v>
          </cell>
        </row>
        <row r="26">
          <cell r="E26">
            <v>3.9802709254480027</v>
          </cell>
        </row>
        <row r="27">
          <cell r="E27">
            <v>2.3696146946244649</v>
          </cell>
        </row>
        <row r="28">
          <cell r="E28">
            <v>2.0277017833186979</v>
          </cell>
        </row>
        <row r="29">
          <cell r="E29">
            <v>0.80368322443778739</v>
          </cell>
        </row>
        <row r="30">
          <cell r="E30">
            <v>1.3776033874896974</v>
          </cell>
        </row>
        <row r="31">
          <cell r="E31">
            <v>0.59716246513510773</v>
          </cell>
        </row>
        <row r="32">
          <cell r="E32">
            <v>2.8990443634193923</v>
          </cell>
        </row>
        <row r="33">
          <cell r="E33">
            <v>2.6398509115640278</v>
          </cell>
        </row>
        <row r="34">
          <cell r="E34">
            <v>1.1363326568143441</v>
          </cell>
        </row>
        <row r="35">
          <cell r="E35">
            <v>16.535097333814399</v>
          </cell>
        </row>
        <row r="36">
          <cell r="E36">
            <v>1.5542804803457522</v>
          </cell>
        </row>
        <row r="37">
          <cell r="E37">
            <v>0.44390287260227929</v>
          </cell>
        </row>
        <row r="38">
          <cell r="E38">
            <v>1.0212678274664981</v>
          </cell>
        </row>
        <row r="39">
          <cell r="E39">
            <v>7.5246539792933156</v>
          </cell>
        </row>
        <row r="40">
          <cell r="E40">
            <v>4.401980924665958</v>
          </cell>
        </row>
        <row r="41">
          <cell r="E41">
            <v>0.68587290219167485</v>
          </cell>
        </row>
        <row r="42">
          <cell r="E42">
            <v>5.5013594716637444</v>
          </cell>
        </row>
        <row r="43">
          <cell r="E43">
            <v>0.85443294966352978</v>
          </cell>
        </row>
        <row r="44">
          <cell r="E44">
            <v>2.3120736886481557</v>
          </cell>
        </row>
        <row r="45">
          <cell r="E45">
            <v>3.8920959066172398</v>
          </cell>
        </row>
        <row r="46">
          <cell r="E46">
            <v>3.3530050782266416</v>
          </cell>
        </row>
        <row r="47">
          <cell r="E47">
            <v>5.4754784425523511</v>
          </cell>
        </row>
        <row r="48">
          <cell r="E48">
            <v>1.188008263499676</v>
          </cell>
        </row>
        <row r="49">
          <cell r="E49">
            <v>1.1271766774918102</v>
          </cell>
        </row>
        <row r="50">
          <cell r="E50">
            <v>1.1056855730020798</v>
          </cell>
        </row>
        <row r="51">
          <cell r="E51">
            <v>4.6387887741941149</v>
          </cell>
        </row>
        <row r="52">
          <cell r="E52">
            <v>1.9747841954393592</v>
          </cell>
        </row>
        <row r="53">
          <cell r="E53">
            <v>1.1859212203390777</v>
          </cell>
        </row>
        <row r="54">
          <cell r="E54">
            <v>0.9905845551087058</v>
          </cell>
        </row>
        <row r="55">
          <cell r="E55">
            <v>1.1058383997115753</v>
          </cell>
        </row>
        <row r="56">
          <cell r="E56">
            <v>2.0731720837297396</v>
          </cell>
        </row>
        <row r="57">
          <cell r="E57">
            <v>2.1330247885411833</v>
          </cell>
        </row>
        <row r="58">
          <cell r="E58">
            <v>0.61013809104337946</v>
          </cell>
        </row>
        <row r="59">
          <cell r="E59">
            <v>1.2245297647229045</v>
          </cell>
        </row>
        <row r="60">
          <cell r="E60">
            <v>1.1570645686768584</v>
          </cell>
        </row>
        <row r="61">
          <cell r="E61">
            <v>1.7852315254855147</v>
          </cell>
        </row>
        <row r="62">
          <cell r="E62">
            <v>2.2398890646875773</v>
          </cell>
        </row>
        <row r="63">
          <cell r="E63">
            <v>1.1602232971528561</v>
          </cell>
        </row>
        <row r="64">
          <cell r="E64">
            <v>11.531042195662517</v>
          </cell>
        </row>
        <row r="65">
          <cell r="E65">
            <v>1.5312131208338273</v>
          </cell>
        </row>
        <row r="66">
          <cell r="E66">
            <v>3.4160312457346205</v>
          </cell>
        </row>
        <row r="67">
          <cell r="E67">
            <v>3.7203359838466712</v>
          </cell>
        </row>
        <row r="68">
          <cell r="E68">
            <v>2.0974276344108858</v>
          </cell>
        </row>
        <row r="69">
          <cell r="E69">
            <v>0.69619790925658542</v>
          </cell>
        </row>
        <row r="70">
          <cell r="E70">
            <v>2.8684616918327772</v>
          </cell>
        </row>
        <row r="71">
          <cell r="E71">
            <v>0.71672834524414897</v>
          </cell>
        </row>
        <row r="72">
          <cell r="E72">
            <v>1.7330803063087947</v>
          </cell>
        </row>
        <row r="73">
          <cell r="E73">
            <v>0.73383443433382778</v>
          </cell>
        </row>
        <row r="74">
          <cell r="E74">
            <v>0.86456494951190732</v>
          </cell>
        </row>
        <row r="75">
          <cell r="E75">
            <v>0.64814723325310775</v>
          </cell>
        </row>
        <row r="76">
          <cell r="E76">
            <v>2.0433500802590556</v>
          </cell>
        </row>
        <row r="77">
          <cell r="E77">
            <v>1.1055168146420087</v>
          </cell>
        </row>
        <row r="78">
          <cell r="E78">
            <v>0.97477368100522854</v>
          </cell>
        </row>
        <row r="79">
          <cell r="E79">
            <v>3.7548796165230502</v>
          </cell>
        </row>
        <row r="80">
          <cell r="E80">
            <v>4.1441869993736047</v>
          </cell>
        </row>
        <row r="81">
          <cell r="E81">
            <v>1.0044824108835042</v>
          </cell>
        </row>
        <row r="82">
          <cell r="E82">
            <v>2.4223029557587625</v>
          </cell>
        </row>
        <row r="83">
          <cell r="E83">
            <v>3.8511078295195338</v>
          </cell>
        </row>
        <row r="84">
          <cell r="E84">
            <v>4.1806294495066085</v>
          </cell>
        </row>
        <row r="85">
          <cell r="E85">
            <v>6.7180138013623134</v>
          </cell>
        </row>
        <row r="86">
          <cell r="E86">
            <v>0.68252630940677284</v>
          </cell>
        </row>
        <row r="87">
          <cell r="E87">
            <v>2.1639337464462898</v>
          </cell>
        </row>
        <row r="88">
          <cell r="E88">
            <v>2.2056685736550157</v>
          </cell>
        </row>
        <row r="89">
          <cell r="E89">
            <v>2.0938341981018391</v>
          </cell>
        </row>
        <row r="90">
          <cell r="E90">
            <v>3.7714885665907185</v>
          </cell>
        </row>
        <row r="91">
          <cell r="E91">
            <v>0.98900039785159</v>
          </cell>
        </row>
        <row r="92">
          <cell r="E92">
            <v>4.9514550191904148</v>
          </cell>
        </row>
        <row r="93">
          <cell r="E93">
            <v>1.4582532006532531</v>
          </cell>
        </row>
        <row r="94">
          <cell r="E94">
            <v>2.0587197648578983</v>
          </cell>
        </row>
        <row r="95">
          <cell r="E95">
            <v>4.7535462364637491</v>
          </cell>
        </row>
      </sheetData>
      <sheetData sheetId="31"/>
      <sheetData sheetId="32"/>
      <sheetData sheetId="33">
        <row r="2">
          <cell r="H2">
            <v>0.21338723126336392</v>
          </cell>
        </row>
        <row r="3">
          <cell r="H3">
            <v>0.12143702063274998</v>
          </cell>
        </row>
        <row r="4">
          <cell r="H4">
            <v>9.0355252665947575E-3</v>
          </cell>
        </row>
        <row r="5">
          <cell r="H5">
            <v>0.20093422274465472</v>
          </cell>
        </row>
        <row r="6">
          <cell r="H6">
            <v>5.3357693453791086E-2</v>
          </cell>
        </row>
        <row r="7">
          <cell r="H7">
            <v>4.222860068434426E-2</v>
          </cell>
        </row>
        <row r="8">
          <cell r="H8">
            <v>4.1684616383614826E-5</v>
          </cell>
        </row>
        <row r="9">
          <cell r="H9">
            <v>-3.6680349455871644E-5</v>
          </cell>
        </row>
        <row r="10">
          <cell r="H10">
            <v>0.13930925191772361</v>
          </cell>
        </row>
        <row r="11">
          <cell r="H11">
            <v>0.22610954818560502</v>
          </cell>
        </row>
        <row r="12">
          <cell r="H12">
            <v>0.1088653110194383</v>
          </cell>
        </row>
        <row r="13">
          <cell r="H13">
            <v>1.1237028657450701E-3</v>
          </cell>
        </row>
        <row r="14">
          <cell r="H14">
            <v>0.16368297461942438</v>
          </cell>
        </row>
        <row r="15">
          <cell r="H15">
            <v>0.19491986939558359</v>
          </cell>
        </row>
        <row r="16">
          <cell r="H16">
            <v>0.12652466179683763</v>
          </cell>
        </row>
        <row r="17">
          <cell r="H17">
            <v>0.10745139617308558</v>
          </cell>
        </row>
        <row r="18">
          <cell r="H18">
            <v>8.8860578023872136E-2</v>
          </cell>
        </row>
        <row r="19">
          <cell r="H19">
            <v>0.17150009967531879</v>
          </cell>
        </row>
        <row r="20">
          <cell r="H20">
            <v>0.38609852291856595</v>
          </cell>
        </row>
        <row r="21">
          <cell r="H21">
            <v>0.2025293235529626</v>
          </cell>
        </row>
        <row r="22">
          <cell r="H22">
            <v>0.20720316942953626</v>
          </cell>
        </row>
        <row r="23">
          <cell r="H23">
            <v>7.1457740481812526E-2</v>
          </cell>
        </row>
        <row r="24">
          <cell r="H24">
            <v>6.2952807030606794E-2</v>
          </cell>
        </row>
        <row r="25">
          <cell r="H25">
            <v>4.6526913392921442E-2</v>
          </cell>
        </row>
        <row r="26">
          <cell r="H26">
            <v>0.13957128286220502</v>
          </cell>
        </row>
        <row r="27">
          <cell r="H27">
            <v>6.2603191520413867E-2</v>
          </cell>
        </row>
        <row r="28">
          <cell r="H28">
            <v>9.6069628831003812E-2</v>
          </cell>
        </row>
        <row r="29">
          <cell r="H29">
            <v>6.0197219290322748E-2</v>
          </cell>
        </row>
        <row r="30">
          <cell r="H30">
            <v>8.7206934187178925E-2</v>
          </cell>
        </row>
        <row r="31">
          <cell r="H31">
            <v>7.3014665776993379E-2</v>
          </cell>
        </row>
        <row r="32">
          <cell r="H32">
            <v>9.6512626423388009E-2</v>
          </cell>
        </row>
        <row r="33">
          <cell r="H33">
            <v>0.10618091123311392</v>
          </cell>
        </row>
        <row r="34">
          <cell r="H34">
            <v>0.10276535855905174</v>
          </cell>
        </row>
        <row r="35">
          <cell r="H35">
            <v>5.9327452725637733E-3</v>
          </cell>
        </row>
        <row r="36">
          <cell r="H36">
            <v>0.1178757677853427</v>
          </cell>
        </row>
        <row r="37">
          <cell r="H37">
            <v>0.11488938343353311</v>
          </cell>
        </row>
        <row r="38">
          <cell r="H38">
            <v>0.14641279471865409</v>
          </cell>
        </row>
        <row r="39">
          <cell r="H39">
            <v>6.7353380013681546E-2</v>
          </cell>
        </row>
        <row r="40">
          <cell r="H40">
            <v>0.1352276726043494</v>
          </cell>
        </row>
        <row r="41">
          <cell r="H41">
            <v>0.24286107738383947</v>
          </cell>
        </row>
        <row r="42">
          <cell r="H42">
            <v>0.16356639499180595</v>
          </cell>
        </row>
        <row r="43">
          <cell r="H43">
            <v>0.17576561641927174</v>
          </cell>
        </row>
        <row r="44">
          <cell r="H44">
            <v>0.11635149727764249</v>
          </cell>
        </row>
        <row r="45">
          <cell r="H45">
            <v>2.1470742209970764E-2</v>
          </cell>
        </row>
        <row r="46">
          <cell r="H46">
            <v>0.22892705098975522</v>
          </cell>
        </row>
        <row r="47">
          <cell r="H47">
            <v>0.28674950161733914</v>
          </cell>
        </row>
        <row r="48">
          <cell r="H48">
            <v>0.11101717127867118</v>
          </cell>
        </row>
        <row r="49">
          <cell r="H49">
            <v>3.9384734913749324E-2</v>
          </cell>
        </row>
        <row r="50">
          <cell r="H50">
            <v>6.7197915070148037E-2</v>
          </cell>
        </row>
        <row r="51">
          <cell r="H51">
            <v>6.2599876476218549E-2</v>
          </cell>
        </row>
        <row r="52">
          <cell r="H52">
            <v>0.11441000402524393</v>
          </cell>
        </row>
        <row r="53">
          <cell r="H53">
            <v>0.24562183011742217</v>
          </cell>
        </row>
        <row r="54">
          <cell r="H54">
            <v>0.10525106285728021</v>
          </cell>
        </row>
        <row r="55">
          <cell r="H55">
            <v>0.27004010102815007</v>
          </cell>
        </row>
        <row r="56">
          <cell r="H56">
            <v>0.31379162613860156</v>
          </cell>
        </row>
        <row r="57">
          <cell r="H57">
            <v>6.7858428077638394E-2</v>
          </cell>
        </row>
        <row r="58">
          <cell r="H58">
            <v>0.14865827167185494</v>
          </cell>
        </row>
        <row r="59">
          <cell r="H59">
            <v>0.11313229318848557</v>
          </cell>
        </row>
        <row r="60">
          <cell r="H60">
            <v>0.10812075767476295</v>
          </cell>
        </row>
        <row r="61">
          <cell r="H61">
            <v>5.6379509581119501E-3</v>
          </cell>
        </row>
        <row r="62">
          <cell r="H62">
            <v>0.1313128227330175</v>
          </cell>
        </row>
        <row r="63">
          <cell r="H63">
            <v>6.9816045888240669E-2</v>
          </cell>
        </row>
        <row r="64">
          <cell r="H64">
            <v>3.5771025211289796E-2</v>
          </cell>
        </row>
        <row r="65">
          <cell r="H65">
            <v>4.6488813199838747E-2</v>
          </cell>
        </row>
        <row r="66">
          <cell r="H66">
            <v>3.0628603680595022E-2</v>
          </cell>
        </row>
        <row r="67">
          <cell r="H67">
            <v>3.2149555025986189E-2</v>
          </cell>
        </row>
        <row r="68">
          <cell r="H68">
            <v>8.731459038120859E-2</v>
          </cell>
        </row>
        <row r="69">
          <cell r="H69">
            <v>2.2689180850825514E-2</v>
          </cell>
        </row>
        <row r="70">
          <cell r="H70">
            <v>0.12983632228962561</v>
          </cell>
        </row>
        <row r="71">
          <cell r="H71">
            <v>0.12384134362101419</v>
          </cell>
        </row>
        <row r="72">
          <cell r="H72">
            <v>0.29843243697346</v>
          </cell>
        </row>
        <row r="73">
          <cell r="H73">
            <v>8.9652886701252557E-2</v>
          </cell>
        </row>
        <row r="74">
          <cell r="H74">
            <v>0.11649691349253601</v>
          </cell>
        </row>
        <row r="75">
          <cell r="H75">
            <v>0.109306157945409</v>
          </cell>
        </row>
        <row r="76">
          <cell r="H76">
            <v>1.9274102795920161E-2</v>
          </cell>
        </row>
        <row r="77">
          <cell r="H77">
            <v>0.12108557504627562</v>
          </cell>
        </row>
        <row r="78">
          <cell r="H78">
            <v>6.7278924218009309E-2</v>
          </cell>
        </row>
        <row r="79">
          <cell r="H79">
            <v>0.18215285247984078</v>
          </cell>
        </row>
        <row r="80">
          <cell r="H80">
            <v>0.26386467981679268</v>
          </cell>
        </row>
        <row r="81">
          <cell r="H81">
            <v>0.32699317521985316</v>
          </cell>
        </row>
        <row r="82">
          <cell r="H82">
            <v>0.17156391646728414</v>
          </cell>
        </row>
        <row r="83">
          <cell r="H83">
            <v>0.15976086690423852</v>
          </cell>
        </row>
        <row r="84">
          <cell r="H84">
            <v>5.5120342075433504E-3</v>
          </cell>
        </row>
        <row r="85">
          <cell r="H85">
            <v>0.173054641209129</v>
          </cell>
        </row>
        <row r="86">
          <cell r="H86">
            <v>0.15474452778417921</v>
          </cell>
        </row>
        <row r="87">
          <cell r="H87">
            <v>7.1853804995165846E-2</v>
          </cell>
        </row>
        <row r="88">
          <cell r="H88">
            <v>0.12105446393642671</v>
          </cell>
        </row>
        <row r="89">
          <cell r="H89">
            <v>8.3002848233363569E-2</v>
          </cell>
        </row>
        <row r="90">
          <cell r="H90">
            <v>0.20013728578995296</v>
          </cell>
        </row>
        <row r="91">
          <cell r="H91">
            <v>0.12720264109772611</v>
          </cell>
        </row>
        <row r="92">
          <cell r="H92">
            <v>6.3106474006416002E-2</v>
          </cell>
        </row>
        <row r="93">
          <cell r="H93">
            <v>9.325941401187661E-2</v>
          </cell>
        </row>
        <row r="94">
          <cell r="H94">
            <v>7.6714423003748339E-2</v>
          </cell>
        </row>
        <row r="95">
          <cell r="H95">
            <v>6.0083722599385478E-2</v>
          </cell>
        </row>
      </sheetData>
      <sheetData sheetId="34">
        <row r="3">
          <cell r="H3">
            <v>0.25072105287374769</v>
          </cell>
        </row>
        <row r="4">
          <cell r="H4">
            <v>0.16363578286229677</v>
          </cell>
        </row>
        <row r="5">
          <cell r="H5">
            <v>0.1308370077254517</v>
          </cell>
        </row>
        <row r="6">
          <cell r="H6">
            <v>0.23781863623580107</v>
          </cell>
        </row>
        <row r="7">
          <cell r="H7">
            <v>0.21365745874896358</v>
          </cell>
        </row>
        <row r="8">
          <cell r="H8">
            <v>0.25746757422962119</v>
          </cell>
        </row>
        <row r="9">
          <cell r="H9">
            <v>0.18677332609619868</v>
          </cell>
        </row>
        <row r="10">
          <cell r="H10">
            <v>0.19825798888305474</v>
          </cell>
        </row>
        <row r="11">
          <cell r="H11">
            <v>0.23813766776644182</v>
          </cell>
        </row>
        <row r="12">
          <cell r="H12">
            <v>0.19967869658810308</v>
          </cell>
        </row>
        <row r="13">
          <cell r="H13">
            <v>0.23766054151835447</v>
          </cell>
        </row>
        <row r="14">
          <cell r="H14">
            <v>0.20234958105745021</v>
          </cell>
        </row>
        <row r="15">
          <cell r="H15">
            <v>0.21641513739428239</v>
          </cell>
        </row>
        <row r="16">
          <cell r="H16">
            <v>0.24146672103341693</v>
          </cell>
        </row>
        <row r="17">
          <cell r="H17">
            <v>0.28390681894041569</v>
          </cell>
        </row>
        <row r="18">
          <cell r="H18">
            <v>0.18832514749498638</v>
          </cell>
        </row>
        <row r="19">
          <cell r="H19">
            <v>0.22109460004677506</v>
          </cell>
        </row>
        <row r="20">
          <cell r="H20">
            <v>0.2172107878596366</v>
          </cell>
        </row>
        <row r="21">
          <cell r="H21">
            <v>0.23084834706391377</v>
          </cell>
        </row>
        <row r="22">
          <cell r="H22">
            <v>0.23035511343444337</v>
          </cell>
        </row>
        <row r="23">
          <cell r="H23">
            <v>0.18704179253161829</v>
          </cell>
        </row>
        <row r="24">
          <cell r="H24">
            <v>0.22086636569910459</v>
          </cell>
        </row>
        <row r="25">
          <cell r="H25">
            <v>0.1715193352239163</v>
          </cell>
        </row>
        <row r="26">
          <cell r="H26">
            <v>0.14795873564922327</v>
          </cell>
        </row>
        <row r="27">
          <cell r="H27">
            <v>0.14063075584878457</v>
          </cell>
        </row>
        <row r="28">
          <cell r="H28">
            <v>0.2024249848906487</v>
          </cell>
        </row>
        <row r="29">
          <cell r="H29">
            <v>0.18113802271357199</v>
          </cell>
        </row>
        <row r="30">
          <cell r="H30">
            <v>0.21975619593622803</v>
          </cell>
        </row>
        <row r="31">
          <cell r="H31">
            <v>0.19110084825797172</v>
          </cell>
        </row>
        <row r="32">
          <cell r="H32">
            <v>0.22469302350152401</v>
          </cell>
        </row>
        <row r="33">
          <cell r="H33">
            <v>0.22879350569990112</v>
          </cell>
        </row>
        <row r="34">
          <cell r="H34">
            <v>0.21853416170180501</v>
          </cell>
        </row>
        <row r="35">
          <cell r="H35">
            <v>0.20630778097962557</v>
          </cell>
        </row>
        <row r="36">
          <cell r="H36">
            <v>0.21700378492815886</v>
          </cell>
        </row>
        <row r="37">
          <cell r="H37">
            <v>0.20488868426604323</v>
          </cell>
        </row>
        <row r="38">
          <cell r="H38">
            <v>0.23204263164290403</v>
          </cell>
        </row>
        <row r="39">
          <cell r="H39">
            <v>0.19416481758070114</v>
          </cell>
        </row>
        <row r="40">
          <cell r="H40">
            <v>0.16194245636985027</v>
          </cell>
        </row>
        <row r="41">
          <cell r="H41">
            <v>0.18304340165470476</v>
          </cell>
        </row>
        <row r="42">
          <cell r="H42">
            <v>0.22635668993878802</v>
          </cell>
        </row>
        <row r="43">
          <cell r="H43">
            <v>0.16972013476926534</v>
          </cell>
        </row>
        <row r="44">
          <cell r="H44">
            <v>0.23537488242222698</v>
          </cell>
        </row>
        <row r="45">
          <cell r="H45">
            <v>0.21457189962085135</v>
          </cell>
        </row>
        <row r="46">
          <cell r="H46">
            <v>0.23239039501910805</v>
          </cell>
        </row>
        <row r="47">
          <cell r="H47">
            <v>0.21653101556185894</v>
          </cell>
        </row>
        <row r="48">
          <cell r="H48">
            <v>0.19823094621386078</v>
          </cell>
        </row>
        <row r="49">
          <cell r="H49">
            <v>0.20597412821067834</v>
          </cell>
        </row>
        <row r="50">
          <cell r="H50">
            <v>0.15749385810310829</v>
          </cell>
        </row>
        <row r="51">
          <cell r="H51">
            <v>0.19491625264670201</v>
          </cell>
        </row>
        <row r="52">
          <cell r="H52">
            <v>0.16368981033632454</v>
          </cell>
        </row>
        <row r="53">
          <cell r="H53">
            <v>0.22190417208531613</v>
          </cell>
        </row>
        <row r="54">
          <cell r="H54">
            <v>0.26996966231622316</v>
          </cell>
        </row>
        <row r="55">
          <cell r="H55">
            <v>0.24108157389181584</v>
          </cell>
        </row>
        <row r="56">
          <cell r="H56">
            <v>0.41991138498909009</v>
          </cell>
        </row>
        <row r="57">
          <cell r="H57">
            <v>0.28580178705791059</v>
          </cell>
        </row>
        <row r="58">
          <cell r="H58">
            <v>0.15515930094367683</v>
          </cell>
        </row>
        <row r="59">
          <cell r="H59">
            <v>0.22426511994986614</v>
          </cell>
        </row>
        <row r="60">
          <cell r="H60">
            <v>0.21261531513898216</v>
          </cell>
        </row>
        <row r="61">
          <cell r="H61">
            <v>0.20345272338936696</v>
          </cell>
        </row>
        <row r="62">
          <cell r="H62">
            <v>0.19309502380562807</v>
          </cell>
        </row>
        <row r="63">
          <cell r="H63">
            <v>0.27927098666383909</v>
          </cell>
        </row>
        <row r="64">
          <cell r="H64">
            <v>0.16412591831025117</v>
          </cell>
        </row>
        <row r="65">
          <cell r="H65">
            <v>4.4876200270087915E-2</v>
          </cell>
        </row>
        <row r="66">
          <cell r="H66">
            <v>0.32537487639676393</v>
          </cell>
        </row>
        <row r="67">
          <cell r="H67">
            <v>0.2669365744455201</v>
          </cell>
        </row>
        <row r="68">
          <cell r="H68">
            <v>0.22618473161019664</v>
          </cell>
        </row>
        <row r="69">
          <cell r="H69">
            <v>0.23260571570121216</v>
          </cell>
        </row>
        <row r="70">
          <cell r="H70">
            <v>0.17978159203569749</v>
          </cell>
        </row>
        <row r="71">
          <cell r="H71">
            <v>0.20821250637663763</v>
          </cell>
        </row>
        <row r="72">
          <cell r="H72">
            <v>0.23668024474890867</v>
          </cell>
        </row>
        <row r="73">
          <cell r="H73">
            <v>0.24858851652914152</v>
          </cell>
        </row>
        <row r="74">
          <cell r="H74">
            <v>0.22892357039635011</v>
          </cell>
        </row>
        <row r="75">
          <cell r="H75">
            <v>0.25420587989524052</v>
          </cell>
        </row>
        <row r="76">
          <cell r="H76">
            <v>0.23438924127155367</v>
          </cell>
        </row>
        <row r="77">
          <cell r="H77">
            <v>4.0840600088227999E-2</v>
          </cell>
        </row>
        <row r="78">
          <cell r="H78">
            <v>0.23039497643783879</v>
          </cell>
        </row>
        <row r="79">
          <cell r="H79">
            <v>0.21697853221406468</v>
          </cell>
        </row>
        <row r="80">
          <cell r="H80">
            <v>0.12833630069414675</v>
          </cell>
        </row>
        <row r="81">
          <cell r="H81">
            <v>0.16461321416951447</v>
          </cell>
        </row>
        <row r="82">
          <cell r="H82">
            <v>9.2904370765916289E-2</v>
          </cell>
        </row>
        <row r="83">
          <cell r="H83">
            <v>0.16296001845602212</v>
          </cell>
        </row>
        <row r="84">
          <cell r="H84">
            <v>0.15681674531735063</v>
          </cell>
        </row>
        <row r="85">
          <cell r="H85">
            <v>0.20940716004868964</v>
          </cell>
        </row>
        <row r="86">
          <cell r="H86">
            <v>0.18564555974970864</v>
          </cell>
        </row>
        <row r="87">
          <cell r="H87">
            <v>0.2080865325449755</v>
          </cell>
        </row>
        <row r="88">
          <cell r="H88">
            <v>0.26856038903020835</v>
          </cell>
        </row>
        <row r="89">
          <cell r="H89">
            <v>0.16798552646066092</v>
          </cell>
        </row>
        <row r="90">
          <cell r="H90">
            <v>0.20636862175772658</v>
          </cell>
        </row>
        <row r="91">
          <cell r="H91">
            <v>0.26807548682122645</v>
          </cell>
        </row>
        <row r="92">
          <cell r="H92">
            <v>0.23989417549818295</v>
          </cell>
        </row>
        <row r="93">
          <cell r="H93">
            <v>0.23455439053515723</v>
          </cell>
        </row>
        <row r="94">
          <cell r="H94">
            <v>0.25137746140461076</v>
          </cell>
        </row>
        <row r="95">
          <cell r="H95">
            <v>0.18951235707131556</v>
          </cell>
        </row>
        <row r="96">
          <cell r="H96">
            <v>0.19550644712298801</v>
          </cell>
        </row>
      </sheetData>
      <sheetData sheetId="35"/>
      <sheetData sheetId="36">
        <row r="3">
          <cell r="D3">
            <v>10.549458319666552</v>
          </cell>
          <cell r="E3">
            <v>15.504367980070299</v>
          </cell>
        </row>
        <row r="4">
          <cell r="D4">
            <v>15.266315053274221</v>
          </cell>
          <cell r="E4">
            <v>24.545448469832731</v>
          </cell>
        </row>
        <row r="5">
          <cell r="D5">
            <v>10.980475195113629</v>
          </cell>
          <cell r="E5">
            <v>106.6657342055652</v>
          </cell>
        </row>
        <row r="6">
          <cell r="D6">
            <v>12.584665934703455</v>
          </cell>
          <cell r="E6">
            <v>15.486602949046972</v>
          </cell>
        </row>
        <row r="7">
          <cell r="D7">
            <v>9.2030884541139262</v>
          </cell>
          <cell r="E7">
            <v>15.835554573844876</v>
          </cell>
        </row>
        <row r="8">
          <cell r="D8">
            <v>9.4666196581639355</v>
          </cell>
          <cell r="E8">
            <v>21.860840601324096</v>
          </cell>
        </row>
        <row r="9">
          <cell r="D9" t="str">
            <v>NA</v>
          </cell>
          <cell r="E9" t="str">
            <v>NA</v>
          </cell>
        </row>
        <row r="10">
          <cell r="D10" t="str">
            <v>NA</v>
          </cell>
          <cell r="E10" t="str">
            <v>NA</v>
          </cell>
        </row>
        <row r="11">
          <cell r="D11">
            <v>16.172276414424015</v>
          </cell>
          <cell r="E11">
            <v>19.503078091482607</v>
          </cell>
        </row>
        <row r="12">
          <cell r="D12">
            <v>18.728439522644482</v>
          </cell>
          <cell r="E12">
            <v>23.265881943355328</v>
          </cell>
        </row>
        <row r="13">
          <cell r="D13">
            <v>6.4697537039324544</v>
          </cell>
          <cell r="E13">
            <v>9.086302445486572</v>
          </cell>
        </row>
        <row r="14">
          <cell r="D14">
            <v>197.28291344916556</v>
          </cell>
          <cell r="E14" t="str">
            <v>NA</v>
          </cell>
        </row>
        <row r="15">
          <cell r="D15">
            <v>9.6623300164160995</v>
          </cell>
          <cell r="E15">
            <v>13.03055848596199</v>
          </cell>
        </row>
        <row r="16">
          <cell r="D16">
            <v>13.458680230874046</v>
          </cell>
          <cell r="E16">
            <v>20.232652391500991</v>
          </cell>
        </row>
        <row r="17">
          <cell r="D17">
            <v>7.497175384132114</v>
          </cell>
          <cell r="E17">
            <v>12.940344181786392</v>
          </cell>
        </row>
        <row r="18">
          <cell r="D18">
            <v>8.3058673712892102</v>
          </cell>
          <cell r="E18">
            <v>11.916917872618122</v>
          </cell>
        </row>
        <row r="19">
          <cell r="D19">
            <v>6.171064177804876</v>
          </cell>
          <cell r="E19">
            <v>9.1620621978144303</v>
          </cell>
        </row>
        <row r="20">
          <cell r="D20">
            <v>9.4794719480770766</v>
          </cell>
          <cell r="E20">
            <v>12.823605641607234</v>
          </cell>
        </row>
        <row r="21">
          <cell r="D21">
            <v>3.0088957590727219</v>
          </cell>
          <cell r="E21">
            <v>3.6010760403633757</v>
          </cell>
        </row>
        <row r="22">
          <cell r="D22">
            <v>12.706719019755342</v>
          </cell>
          <cell r="E22">
            <v>17.227484749698625</v>
          </cell>
        </row>
        <row r="23">
          <cell r="D23">
            <v>11.199448015099572</v>
          </cell>
          <cell r="E23">
            <v>14.509835707476681</v>
          </cell>
        </row>
        <row r="24">
          <cell r="D24">
            <v>10.009606294953084</v>
          </cell>
          <cell r="E24">
            <v>16.066971457506867</v>
          </cell>
        </row>
        <row r="25">
          <cell r="D25">
            <v>13.155686802482316</v>
          </cell>
          <cell r="E25">
            <v>19.330338827982725</v>
          </cell>
        </row>
        <row r="26">
          <cell r="D26">
            <v>12.966365172864815</v>
          </cell>
          <cell r="E26">
            <v>61.864204347414478</v>
          </cell>
        </row>
        <row r="27">
          <cell r="D27">
            <v>12.690853000619033</v>
          </cell>
          <cell r="E27">
            <v>17.540563493912831</v>
          </cell>
        </row>
        <row r="28">
          <cell r="D28">
            <v>10.001464516545653</v>
          </cell>
          <cell r="E28">
            <v>21.79913089310736</v>
          </cell>
        </row>
        <row r="29">
          <cell r="D29">
            <v>16.767282753897025</v>
          </cell>
          <cell r="E29">
            <v>27.675072347786415</v>
          </cell>
        </row>
        <row r="30">
          <cell r="D30">
            <v>7.497978347029389</v>
          </cell>
          <cell r="E30">
            <v>14.970393372901015</v>
          </cell>
        </row>
        <row r="31">
          <cell r="D31">
            <v>11.273965737803852</v>
          </cell>
          <cell r="E31">
            <v>18.870401996910637</v>
          </cell>
        </row>
        <row r="32">
          <cell r="D32">
            <v>8.5602218776639774</v>
          </cell>
          <cell r="E32">
            <v>11.84183341894872</v>
          </cell>
        </row>
        <row r="33">
          <cell r="D33">
            <v>16.734255201777739</v>
          </cell>
          <cell r="E33">
            <v>33.753289488727212</v>
          </cell>
        </row>
        <row r="34">
          <cell r="D34">
            <v>13.452443116927057</v>
          </cell>
          <cell r="E34">
            <v>23.234878408858599</v>
          </cell>
        </row>
        <row r="35">
          <cell r="D35">
            <v>10.531883443049173</v>
          </cell>
          <cell r="E35">
            <v>14.629414005607046</v>
          </cell>
        </row>
        <row r="36">
          <cell r="D36">
            <v>63.304970355623297</v>
          </cell>
          <cell r="E36">
            <v>74.383314735904918</v>
          </cell>
        </row>
        <row r="37">
          <cell r="D37">
            <v>13.042858477382078</v>
          </cell>
          <cell r="E37">
            <v>18.28801310021742</v>
          </cell>
        </row>
        <row r="38">
          <cell r="D38">
            <v>10.933264747622454</v>
          </cell>
          <cell r="E38">
            <v>17.076573138249429</v>
          </cell>
        </row>
        <row r="39">
          <cell r="D39">
            <v>9.5672766676184544</v>
          </cell>
          <cell r="E39">
            <v>12.903663047759149</v>
          </cell>
        </row>
        <row r="40">
          <cell r="D40">
            <v>14.030011705053287</v>
          </cell>
          <cell r="E40">
            <v>22.59081317615253</v>
          </cell>
        </row>
        <row r="41">
          <cell r="D41">
            <v>17.54319683749446</v>
          </cell>
          <cell r="E41">
            <v>27.465650956358477</v>
          </cell>
        </row>
        <row r="42">
          <cell r="D42">
            <v>11.670725837391533</v>
          </cell>
          <cell r="E42">
            <v>15.975037197614578</v>
          </cell>
        </row>
        <row r="43">
          <cell r="D43">
            <v>20.992704781338507</v>
          </cell>
          <cell r="E43">
            <v>33.022761124162685</v>
          </cell>
        </row>
        <row r="44">
          <cell r="D44">
            <v>5.0324708317726499</v>
          </cell>
          <cell r="E44">
            <v>5.6291972439872957</v>
          </cell>
        </row>
        <row r="45">
          <cell r="D45">
            <v>13.54146808270113</v>
          </cell>
          <cell r="E45">
            <v>20.526220971974809</v>
          </cell>
        </row>
        <row r="46">
          <cell r="D46">
            <v>16.455046468185142</v>
          </cell>
          <cell r="E46">
            <v>74.007529132549607</v>
          </cell>
        </row>
        <row r="47">
          <cell r="D47">
            <v>17.791187993381833</v>
          </cell>
          <cell r="E47">
            <v>22.186521995295013</v>
          </cell>
        </row>
        <row r="48">
          <cell r="D48">
            <v>18.24986278020042</v>
          </cell>
          <cell r="E48">
            <v>24.826073772056251</v>
          </cell>
        </row>
        <row r="49">
          <cell r="D49">
            <v>8.9022015071971357</v>
          </cell>
          <cell r="E49">
            <v>11.079319418780047</v>
          </cell>
        </row>
        <row r="50">
          <cell r="D50">
            <v>11.129244835533825</v>
          </cell>
          <cell r="E50">
            <v>16.271411386726815</v>
          </cell>
        </row>
        <row r="51">
          <cell r="D51">
            <v>12.606428708454226</v>
          </cell>
          <cell r="E51">
            <v>16.619567458404536</v>
          </cell>
        </row>
        <row r="52">
          <cell r="D52">
            <v>12.510631400512599</v>
          </cell>
          <cell r="E52">
            <v>15.16699627760411</v>
          </cell>
        </row>
        <row r="53">
          <cell r="D53">
            <v>13.995107287843217</v>
          </cell>
          <cell r="E53">
            <v>19.532098995488457</v>
          </cell>
        </row>
        <row r="54">
          <cell r="D54">
            <v>5.300524863110458</v>
          </cell>
          <cell r="E54">
            <v>6.8194393583688351</v>
          </cell>
        </row>
        <row r="55">
          <cell r="D55">
            <v>8.5271118915928348</v>
          </cell>
          <cell r="E55">
            <v>13.298596323993481</v>
          </cell>
        </row>
        <row r="56">
          <cell r="D56">
            <v>4.3448854858449613</v>
          </cell>
          <cell r="E56">
            <v>5.4280645644302892</v>
          </cell>
        </row>
        <row r="57">
          <cell r="D57">
            <v>3.7472101694724449</v>
          </cell>
          <cell r="E57">
            <v>5.1624357278110722</v>
          </cell>
        </row>
        <row r="58">
          <cell r="D58">
            <v>11.700012064245559</v>
          </cell>
          <cell r="E58">
            <v>18.500278519062103</v>
          </cell>
        </row>
        <row r="59">
          <cell r="D59">
            <v>6.7162676456444652</v>
          </cell>
          <cell r="E59">
            <v>9.1737290125335438</v>
          </cell>
        </row>
        <row r="60">
          <cell r="D60">
            <v>8.8060241920088291</v>
          </cell>
          <cell r="E60">
            <v>14.003272248254996</v>
          </cell>
        </row>
        <row r="61">
          <cell r="D61">
            <v>6.0428359160203389</v>
          </cell>
          <cell r="E61">
            <v>8.3351860224089958</v>
          </cell>
        </row>
        <row r="62">
          <cell r="D62">
            <v>11.802718510592392</v>
          </cell>
          <cell r="E62">
            <v>185.00972997805684</v>
          </cell>
        </row>
        <row r="63">
          <cell r="D63">
            <v>6.9681846412865802</v>
          </cell>
          <cell r="E63">
            <v>12.579527614682526</v>
          </cell>
        </row>
        <row r="64">
          <cell r="D64">
            <v>9.6468280876694159</v>
          </cell>
          <cell r="E64">
            <v>16.151701374998392</v>
          </cell>
        </row>
        <row r="65">
          <cell r="D65">
            <v>20.236307238218217</v>
          </cell>
          <cell r="E65">
            <v>31.551898219621943</v>
          </cell>
        </row>
        <row r="66">
          <cell r="D66">
            <v>10.217278961542926</v>
          </cell>
          <cell r="E66">
            <v>12.510382289782783</v>
          </cell>
        </row>
        <row r="67">
          <cell r="D67">
            <v>13.346468325691228</v>
          </cell>
          <cell r="E67">
            <v>20.678663385063345</v>
          </cell>
        </row>
        <row r="68">
          <cell r="D68">
            <v>16.148892324279235</v>
          </cell>
          <cell r="E68">
            <v>23.69469503174183</v>
          </cell>
        </row>
        <row r="69">
          <cell r="D69">
            <v>12.274712507193845</v>
          </cell>
          <cell r="E69">
            <v>20.530732767244604</v>
          </cell>
        </row>
        <row r="70">
          <cell r="D70">
            <v>17.766280415975285</v>
          </cell>
          <cell r="E70">
            <v>37.829126562955587</v>
          </cell>
        </row>
        <row r="71">
          <cell r="D71">
            <v>16.545467724021872</v>
          </cell>
          <cell r="E71">
            <v>30.621314288660123</v>
          </cell>
        </row>
        <row r="72">
          <cell r="D72">
            <v>9.6320449463007645</v>
          </cell>
          <cell r="E72">
            <v>14.248870595972095</v>
          </cell>
        </row>
        <row r="73">
          <cell r="D73">
            <v>11.182812043204136</v>
          </cell>
          <cell r="E73">
            <v>13.9844036785419</v>
          </cell>
        </row>
        <row r="74">
          <cell r="D74">
            <v>10.202912254657335</v>
          </cell>
          <cell r="E74">
            <v>12.808650887242223</v>
          </cell>
        </row>
        <row r="75">
          <cell r="D75">
            <v>11.278125345956994</v>
          </cell>
          <cell r="E75">
            <v>18.60676665621412</v>
          </cell>
        </row>
        <row r="76">
          <cell r="D76">
            <v>9.0398278110872159</v>
          </cell>
          <cell r="E76">
            <v>14.284968868266562</v>
          </cell>
        </row>
        <row r="77">
          <cell r="D77">
            <v>16.998339824456181</v>
          </cell>
          <cell r="E77" t="str">
            <v>NA</v>
          </cell>
        </row>
        <row r="78">
          <cell r="D78">
            <v>10.562927567967403</v>
          </cell>
          <cell r="E78">
            <v>18.29261382753738</v>
          </cell>
        </row>
        <row r="79">
          <cell r="D79">
            <v>7.1119579931066124</v>
          </cell>
          <cell r="E79">
            <v>12.765153148732912</v>
          </cell>
        </row>
        <row r="80">
          <cell r="D80">
            <v>10.50343169900737</v>
          </cell>
          <cell r="E80">
            <v>15.996951092288359</v>
          </cell>
        </row>
        <row r="81">
          <cell r="D81">
            <v>14.386690785614098</v>
          </cell>
          <cell r="E81">
            <v>16.622260371440802</v>
          </cell>
        </row>
        <row r="82">
          <cell r="D82">
            <v>2.5752079359512443</v>
          </cell>
          <cell r="E82">
            <v>2.9370669871985133</v>
          </cell>
        </row>
        <row r="83">
          <cell r="D83">
            <v>17.712472761700401</v>
          </cell>
          <cell r="E83">
            <v>23.47411167886975</v>
          </cell>
        </row>
        <row r="84">
          <cell r="D84">
            <v>12.118199448898602</v>
          </cell>
          <cell r="E84">
            <v>16.402238187938835</v>
          </cell>
        </row>
        <row r="85">
          <cell r="D85">
            <v>15.881419590093561</v>
          </cell>
          <cell r="E85" t="str">
            <v>NA</v>
          </cell>
        </row>
        <row r="86">
          <cell r="D86">
            <v>21.774817579847788</v>
          </cell>
          <cell r="E86">
            <v>33.846686642289974</v>
          </cell>
        </row>
        <row r="87">
          <cell r="D87">
            <v>4.2421310055380514</v>
          </cell>
          <cell r="E87">
            <v>5.4961468710107608</v>
          </cell>
        </row>
        <row r="88">
          <cell r="D88">
            <v>6.7674351253486078</v>
          </cell>
          <cell r="E88">
            <v>14.969037905540716</v>
          </cell>
        </row>
        <row r="89">
          <cell r="D89">
            <v>13.982133050228981</v>
          </cell>
          <cell r="E89">
            <v>19.267327671178666</v>
          </cell>
        </row>
        <row r="90">
          <cell r="D90">
            <v>6.8143143019397634</v>
          </cell>
          <cell r="E90">
            <v>14.316491404336567</v>
          </cell>
        </row>
        <row r="91">
          <cell r="D91">
            <v>10.157432415100599</v>
          </cell>
          <cell r="E91">
            <v>11.217270381251886</v>
          </cell>
        </row>
        <row r="92">
          <cell r="D92">
            <v>7.8927592818396839</v>
          </cell>
          <cell r="E92">
            <v>12.289046954707567</v>
          </cell>
        </row>
        <row r="93">
          <cell r="D93">
            <v>14.391882936833516</v>
          </cell>
          <cell r="E93">
            <v>21.521720661372516</v>
          </cell>
        </row>
        <row r="94">
          <cell r="D94">
            <v>7.1812178949304286</v>
          </cell>
          <cell r="E94">
            <v>13.577420148175593</v>
          </cell>
        </row>
        <row r="95">
          <cell r="D95">
            <v>11.022432960755802</v>
          </cell>
          <cell r="E95">
            <v>17.920870096933381</v>
          </cell>
        </row>
        <row r="96">
          <cell r="D96">
            <v>12.93134872040161</v>
          </cell>
          <cell r="E96">
            <v>20.069056769362522</v>
          </cell>
        </row>
      </sheetData>
      <sheetData sheetId="37">
        <row r="13">
          <cell r="D13">
            <v>0.14202796270464063</v>
          </cell>
          <cell r="G13">
            <v>6.9500000000000006E-2</v>
          </cell>
          <cell r="K13">
            <v>0.11821144332952692</v>
          </cell>
        </row>
        <row r="14">
          <cell r="D14">
            <v>0.13121281001576113</v>
          </cell>
          <cell r="G14">
            <v>6.9500000000000006E-2</v>
          </cell>
          <cell r="K14">
            <v>0.11634379756383052</v>
          </cell>
        </row>
        <row r="15">
          <cell r="D15">
            <v>0.13738657120177172</v>
          </cell>
          <cell r="G15">
            <v>6.9500000000000006E-2</v>
          </cell>
          <cell r="K15">
            <v>9.2849395821210656E-2</v>
          </cell>
        </row>
        <row r="16">
          <cell r="D16">
            <v>0.11080983541833865</v>
          </cell>
          <cell r="G16">
            <v>6.9500000000000006E-2</v>
          </cell>
          <cell r="K16">
            <v>0.10182999002758587</v>
          </cell>
        </row>
        <row r="17">
          <cell r="D17">
            <v>0.14673932616597124</v>
          </cell>
          <cell r="G17">
            <v>6.9500000000000006E-2</v>
          </cell>
          <cell r="K17">
            <v>0.10669405268100901</v>
          </cell>
        </row>
        <row r="18">
          <cell r="D18">
            <v>0.1515582107646555</v>
          </cell>
          <cell r="G18">
            <v>6.9500000000000006E-2</v>
          </cell>
          <cell r="K18">
            <v>0.12570974732398635</v>
          </cell>
        </row>
        <row r="19">
          <cell r="D19">
            <v>0.10864219483341397</v>
          </cell>
          <cell r="G19">
            <v>6.1800000000000001E-2</v>
          </cell>
          <cell r="K19">
            <v>6.2060110743097238E-2</v>
          </cell>
        </row>
        <row r="20">
          <cell r="D20">
            <v>8.3796849096456932E-2</v>
          </cell>
          <cell r="G20">
            <v>6.1800000000000001E-2</v>
          </cell>
          <cell r="K20">
            <v>5.9246528980610717E-2</v>
          </cell>
        </row>
        <row r="21">
          <cell r="D21">
            <v>0.10839808416580174</v>
          </cell>
          <cell r="G21">
            <v>6.9500000000000006E-2</v>
          </cell>
          <cell r="K21">
            <v>0.10051184388279663</v>
          </cell>
        </row>
        <row r="22">
          <cell r="D22">
            <v>0.10710083531391365</v>
          </cell>
          <cell r="G22">
            <v>6.9500000000000006E-2</v>
          </cell>
          <cell r="K22">
            <v>9.9803951260501497E-2</v>
          </cell>
        </row>
        <row r="23">
          <cell r="D23">
            <v>0.12314655131365004</v>
          </cell>
          <cell r="G23">
            <v>6.9500000000000006E-2</v>
          </cell>
          <cell r="K23">
            <v>9.1544066309812211E-2</v>
          </cell>
        </row>
        <row r="24">
          <cell r="D24">
            <v>0.11791870173549612</v>
          </cell>
          <cell r="G24">
            <v>6.9500000000000006E-2</v>
          </cell>
          <cell r="K24">
            <v>7.164483235522795E-2</v>
          </cell>
        </row>
        <row r="25">
          <cell r="D25">
            <v>0.12710103194194095</v>
          </cell>
          <cell r="G25">
            <v>6.9500000000000006E-2</v>
          </cell>
          <cell r="K25">
            <v>0.11201932390615539</v>
          </cell>
        </row>
        <row r="26">
          <cell r="D26">
            <v>0.12612059416471058</v>
          </cell>
          <cell r="G26">
            <v>6.9500000000000006E-2</v>
          </cell>
          <cell r="K26">
            <v>0.11220049568260584</v>
          </cell>
        </row>
        <row r="27">
          <cell r="D27">
            <v>0.12051387342732961</v>
          </cell>
          <cell r="G27">
            <v>6.9500000000000006E-2</v>
          </cell>
          <cell r="K27">
            <v>8.680831989906676E-2</v>
          </cell>
        </row>
        <row r="28">
          <cell r="D28">
            <v>0.1297649360206839</v>
          </cell>
          <cell r="G28">
            <v>6.9500000000000006E-2</v>
          </cell>
          <cell r="K28">
            <v>0.10882394490616107</v>
          </cell>
        </row>
        <row r="29">
          <cell r="D29">
            <v>0.13422682496018329</v>
          </cell>
          <cell r="G29">
            <v>6.1800000000000001E-2</v>
          </cell>
          <cell r="K29">
            <v>0.10416559904158584</v>
          </cell>
        </row>
        <row r="30">
          <cell r="D30">
            <v>0.12712765285785421</v>
          </cell>
          <cell r="G30">
            <v>6.9500000000000006E-2</v>
          </cell>
          <cell r="K30">
            <v>0.11407292254822643</v>
          </cell>
        </row>
        <row r="31">
          <cell r="D31">
            <v>0.13551450476723126</v>
          </cell>
          <cell r="G31">
            <v>7.3300000000000004E-2</v>
          </cell>
          <cell r="K31">
            <v>0.11981226986085283</v>
          </cell>
        </row>
        <row r="32">
          <cell r="D32">
            <v>0.12564212592384094</v>
          </cell>
          <cell r="G32">
            <v>6.9500000000000006E-2</v>
          </cell>
          <cell r="K32">
            <v>0.11534531804067875</v>
          </cell>
        </row>
        <row r="33">
          <cell r="D33">
            <v>0.13950801446281696</v>
          </cell>
          <cell r="G33">
            <v>6.9500000000000006E-2</v>
          </cell>
          <cell r="K33">
            <v>0.13027651250009889</v>
          </cell>
        </row>
        <row r="34">
          <cell r="D34">
            <v>0.12792526481516675</v>
          </cell>
          <cell r="G34">
            <v>6.9500000000000006E-2</v>
          </cell>
          <cell r="K34">
            <v>0.1043975961893531</v>
          </cell>
        </row>
        <row r="35">
          <cell r="D35">
            <v>0.1157212353187813</v>
          </cell>
          <cell r="G35">
            <v>6.9500000000000006E-2</v>
          </cell>
          <cell r="K35">
            <v>9.2999011551826355E-2</v>
          </cell>
        </row>
        <row r="36">
          <cell r="D36">
            <v>0.14000775552251893</v>
          </cell>
          <cell r="G36">
            <v>7.3300000000000004E-2</v>
          </cell>
          <cell r="K36">
            <v>0.13034522204961971</v>
          </cell>
        </row>
        <row r="37">
          <cell r="D37">
            <v>0.12367423887528423</v>
          </cell>
          <cell r="G37">
            <v>6.9500000000000006E-2</v>
          </cell>
          <cell r="K37">
            <v>0.11429359345066391</v>
          </cell>
        </row>
        <row r="38">
          <cell r="D38">
            <v>0.1089256272541454</v>
          </cell>
          <cell r="G38">
            <v>6.9500000000000006E-2</v>
          </cell>
          <cell r="K38">
            <v>9.4928903254072494E-2</v>
          </cell>
        </row>
        <row r="39">
          <cell r="D39">
            <v>0.12945429107527162</v>
          </cell>
          <cell r="G39">
            <v>6.9500000000000006E-2</v>
          </cell>
          <cell r="K39">
            <v>0.11842765679971393</v>
          </cell>
        </row>
        <row r="40">
          <cell r="D40">
            <v>0.14034677728357159</v>
          </cell>
          <cell r="G40">
            <v>6.9500000000000006E-2</v>
          </cell>
          <cell r="K40">
            <v>0.11331981990584189</v>
          </cell>
        </row>
        <row r="41">
          <cell r="D41">
            <v>0.14218280053363033</v>
          </cell>
          <cell r="G41">
            <v>6.9500000000000006E-2</v>
          </cell>
          <cell r="K41">
            <v>0.12750292313104281</v>
          </cell>
        </row>
        <row r="42">
          <cell r="D42">
            <v>0.12095942397547391</v>
          </cell>
          <cell r="G42">
            <v>6.9500000000000006E-2</v>
          </cell>
          <cell r="K42">
            <v>8.5944443582693902E-2</v>
          </cell>
        </row>
        <row r="43">
          <cell r="D43">
            <v>0.13466762456467463</v>
          </cell>
          <cell r="G43">
            <v>6.9500000000000006E-2</v>
          </cell>
          <cell r="K43">
            <v>0.11747709245060305</v>
          </cell>
        </row>
        <row r="44">
          <cell r="D44">
            <v>0.12562932096044349</v>
          </cell>
          <cell r="G44">
            <v>6.9500000000000006E-2</v>
          </cell>
          <cell r="K44">
            <v>0.10567942414999154</v>
          </cell>
        </row>
        <row r="45">
          <cell r="D45">
            <v>0.10598496823589405</v>
          </cell>
          <cell r="G45">
            <v>6.9500000000000006E-2</v>
          </cell>
          <cell r="K45">
            <v>8.8976111318933793E-2</v>
          </cell>
        </row>
        <row r="46">
          <cell r="D46">
            <v>0.1091671353791079</v>
          </cell>
          <cell r="G46">
            <v>6.9500000000000006E-2</v>
          </cell>
          <cell r="K46">
            <v>5.9630213578402848E-2</v>
          </cell>
        </row>
        <row r="47">
          <cell r="D47">
            <v>0.10232383985699571</v>
          </cell>
          <cell r="G47">
            <v>6.9500000000000006E-2</v>
          </cell>
          <cell r="K47">
            <v>9.1092433061323225E-2</v>
          </cell>
        </row>
        <row r="48">
          <cell r="D48">
            <v>9.3734118869658975E-2</v>
          </cell>
          <cell r="G48">
            <v>6.9500000000000006E-2</v>
          </cell>
          <cell r="K48">
            <v>7.6988853780545402E-2</v>
          </cell>
        </row>
        <row r="49">
          <cell r="D49">
            <v>0.12515201159357284</v>
          </cell>
          <cell r="G49">
            <v>6.9500000000000006E-2</v>
          </cell>
          <cell r="K49">
            <v>0.11027956517121806</v>
          </cell>
        </row>
        <row r="50">
          <cell r="D50">
            <v>0.12128465608151628</v>
          </cell>
          <cell r="G50">
            <v>6.9500000000000006E-2</v>
          </cell>
          <cell r="K50">
            <v>9.4821520740056342E-2</v>
          </cell>
        </row>
        <row r="51">
          <cell r="D51">
            <v>0.1290139929282732</v>
          </cell>
          <cell r="G51">
            <v>6.9500000000000006E-2</v>
          </cell>
          <cell r="K51">
            <v>0.12010678468633545</v>
          </cell>
        </row>
        <row r="52">
          <cell r="D52">
            <v>0.11964828248984492</v>
          </cell>
          <cell r="G52">
            <v>6.9500000000000006E-2</v>
          </cell>
          <cell r="K52">
            <v>0.105193120444886</v>
          </cell>
        </row>
        <row r="53">
          <cell r="D53">
            <v>0.14555482610787146</v>
          </cell>
          <cell r="G53">
            <v>6.9500000000000006E-2</v>
          </cell>
          <cell r="K53">
            <v>0.13561904545992257</v>
          </cell>
        </row>
        <row r="54">
          <cell r="D54">
            <v>0.12975439984608872</v>
          </cell>
          <cell r="G54">
            <v>6.9500000000000006E-2</v>
          </cell>
          <cell r="K54">
            <v>0.10534796795444518</v>
          </cell>
        </row>
        <row r="55">
          <cell r="D55">
            <v>0.10008163049346705</v>
          </cell>
          <cell r="G55">
            <v>6.9500000000000006E-2</v>
          </cell>
          <cell r="K55">
            <v>8.3862466506091304E-2</v>
          </cell>
        </row>
        <row r="56">
          <cell r="D56">
            <v>0.11625279450636768</v>
          </cell>
          <cell r="G56">
            <v>6.9500000000000006E-2</v>
          </cell>
          <cell r="K56">
            <v>9.3213565937711865E-2</v>
          </cell>
        </row>
        <row r="57">
          <cell r="D57">
            <v>0.12052110663437927</v>
          </cell>
          <cell r="G57">
            <v>6.9500000000000006E-2</v>
          </cell>
          <cell r="K57">
            <v>0.11214436749935422</v>
          </cell>
        </row>
        <row r="58">
          <cell r="D58">
            <v>0.15137547400359663</v>
          </cell>
          <cell r="G58">
            <v>6.9500000000000006E-2</v>
          </cell>
          <cell r="K58">
            <v>0.13918783061052845</v>
          </cell>
        </row>
        <row r="59">
          <cell r="D59">
            <v>9.3915211817626437E-2</v>
          </cell>
          <cell r="G59">
            <v>6.9500000000000006E-2</v>
          </cell>
          <cell r="K59">
            <v>8.1784311688340827E-2</v>
          </cell>
        </row>
        <row r="60">
          <cell r="D60">
            <v>0.11092216287536329</v>
          </cell>
          <cell r="G60">
            <v>6.1800000000000001E-2</v>
          </cell>
          <cell r="K60">
            <v>7.8984162653173415E-2</v>
          </cell>
        </row>
        <row r="61">
          <cell r="D61">
            <v>9.831088821814854E-2</v>
          </cell>
          <cell r="G61">
            <v>6.9500000000000006E-2</v>
          </cell>
          <cell r="K61">
            <v>8.903622371755246E-2</v>
          </cell>
        </row>
        <row r="62">
          <cell r="D62">
            <v>0.10201623126952131</v>
          </cell>
          <cell r="G62">
            <v>6.9500000000000006E-2</v>
          </cell>
          <cell r="K62">
            <v>8.0533486750842362E-2</v>
          </cell>
        </row>
        <row r="63">
          <cell r="D63">
            <v>0.12675079212892801</v>
          </cell>
          <cell r="G63">
            <v>6.9500000000000006E-2</v>
          </cell>
          <cell r="K63">
            <v>0.11580092277095988</v>
          </cell>
        </row>
        <row r="64">
          <cell r="D64">
            <v>0.13440568225251953</v>
          </cell>
          <cell r="G64">
            <v>7.3300000000000004E-2</v>
          </cell>
          <cell r="K64">
            <v>0.11776866430269403</v>
          </cell>
        </row>
        <row r="65">
          <cell r="D65">
            <v>0.11263426995246351</v>
          </cell>
          <cell r="G65">
            <v>6.9500000000000006E-2</v>
          </cell>
          <cell r="K65">
            <v>9.7484989371590905E-2</v>
          </cell>
        </row>
        <row r="66">
          <cell r="D66">
            <v>0.12532403350684793</v>
          </cell>
          <cell r="G66">
            <v>6.9500000000000006E-2</v>
          </cell>
          <cell r="K66">
            <v>0.11345298193785319</v>
          </cell>
        </row>
        <row r="67">
          <cell r="D67">
            <v>0.14305427749907379</v>
          </cell>
          <cell r="G67">
            <v>7.3300000000000004E-2</v>
          </cell>
          <cell r="K67">
            <v>0.12481207563597795</v>
          </cell>
        </row>
        <row r="68">
          <cell r="D68">
            <v>0.1153986885963111</v>
          </cell>
          <cell r="G68">
            <v>6.9500000000000006E-2</v>
          </cell>
          <cell r="K68">
            <v>8.8752249868513267E-2</v>
          </cell>
        </row>
        <row r="69">
          <cell r="D69">
            <v>0.1302352155398708</v>
          </cell>
          <cell r="G69">
            <v>6.9500000000000006E-2</v>
          </cell>
          <cell r="K69">
            <v>0.10548427143575564</v>
          </cell>
        </row>
        <row r="70">
          <cell r="D70">
            <v>0.10549419345819809</v>
          </cell>
          <cell r="G70">
            <v>6.9500000000000006E-2</v>
          </cell>
          <cell r="K70">
            <v>8.8032065696613482E-2</v>
          </cell>
        </row>
        <row r="71">
          <cell r="D71">
            <v>0.11806250829135387</v>
          </cell>
          <cell r="G71">
            <v>6.9500000000000006E-2</v>
          </cell>
          <cell r="K71">
            <v>9.3067809292063056E-2</v>
          </cell>
        </row>
        <row r="72">
          <cell r="D72">
            <v>9.693577632410677E-2</v>
          </cell>
          <cell r="G72">
            <v>6.9500000000000006E-2</v>
          </cell>
          <cell r="K72">
            <v>7.5082614350785434E-2</v>
          </cell>
        </row>
        <row r="73">
          <cell r="D73">
            <v>0.12983949608713186</v>
          </cell>
          <cell r="G73">
            <v>7.3300000000000004E-2</v>
          </cell>
          <cell r="K73">
            <v>0.11832289524433443</v>
          </cell>
        </row>
        <row r="74">
          <cell r="D74">
            <v>0.10975283948753436</v>
          </cell>
          <cell r="G74">
            <v>6.9500000000000006E-2</v>
          </cell>
          <cell r="K74">
            <v>9.6555715159815453E-2</v>
          </cell>
        </row>
        <row r="75">
          <cell r="D75">
            <v>0.1020499931362102</v>
          </cell>
          <cell r="G75">
            <v>6.1800000000000001E-2</v>
          </cell>
          <cell r="K75">
            <v>7.7669148367457155E-2</v>
          </cell>
        </row>
        <row r="76">
          <cell r="D76">
            <v>0.12000866558162374</v>
          </cell>
          <cell r="G76">
            <v>6.9500000000000006E-2</v>
          </cell>
          <cell r="K76">
            <v>7.4713836880271695E-2</v>
          </cell>
        </row>
        <row r="77">
          <cell r="D77">
            <v>0.11335137575482727</v>
          </cell>
          <cell r="G77">
            <v>6.9500000000000006E-2</v>
          </cell>
          <cell r="K77">
            <v>7.949817697804118E-2</v>
          </cell>
        </row>
        <row r="78">
          <cell r="D78">
            <v>0.110714807804315</v>
          </cell>
          <cell r="G78">
            <v>6.9500000000000006E-2</v>
          </cell>
          <cell r="K78">
            <v>8.1703536205674179E-2</v>
          </cell>
        </row>
        <row r="79">
          <cell r="D79">
            <v>0.12731384848625923</v>
          </cell>
          <cell r="G79">
            <v>6.9500000000000006E-2</v>
          </cell>
          <cell r="K79">
            <v>0.10879715009294032</v>
          </cell>
        </row>
        <row r="80">
          <cell r="D80">
            <v>0.13136079070838574</v>
          </cell>
          <cell r="G80">
            <v>6.9500000000000006E-2</v>
          </cell>
          <cell r="K80">
            <v>0.11080725310758553</v>
          </cell>
        </row>
        <row r="81">
          <cell r="D81">
            <v>0.11822659479740556</v>
          </cell>
          <cell r="G81">
            <v>6.9500000000000006E-2</v>
          </cell>
          <cell r="K81">
            <v>0.10201246326134381</v>
          </cell>
        </row>
        <row r="82">
          <cell r="D82">
            <v>0.11725408938513199</v>
          </cell>
          <cell r="G82">
            <v>6.9500000000000006E-2</v>
          </cell>
          <cell r="K82">
            <v>9.3315087519029755E-2</v>
          </cell>
        </row>
        <row r="83">
          <cell r="D83">
            <v>0.124921949444814</v>
          </cell>
          <cell r="G83">
            <v>6.9500000000000006E-2</v>
          </cell>
          <cell r="K83">
            <v>0.1108520340792542</v>
          </cell>
        </row>
        <row r="84">
          <cell r="D84">
            <v>0.10494238473521261</v>
          </cell>
          <cell r="G84">
            <v>6.9500000000000006E-2</v>
          </cell>
          <cell r="K84">
            <v>8.3430637473656588E-2</v>
          </cell>
        </row>
        <row r="85">
          <cell r="D85">
            <v>0.10986485708949313</v>
          </cell>
          <cell r="G85">
            <v>6.9500000000000006E-2</v>
          </cell>
          <cell r="K85">
            <v>9.4491414114239156E-2</v>
          </cell>
        </row>
        <row r="86">
          <cell r="D86">
            <v>9.5091138308187384E-2</v>
          </cell>
          <cell r="G86">
            <v>6.1800000000000001E-2</v>
          </cell>
          <cell r="K86">
            <v>7.7292484203547118E-2</v>
          </cell>
        </row>
        <row r="87">
          <cell r="D87">
            <v>0.16584241972884814</v>
          </cell>
          <cell r="G87">
            <v>6.9500000000000006E-2</v>
          </cell>
          <cell r="K87">
            <v>0.14650588299606426</v>
          </cell>
        </row>
        <row r="88">
          <cell r="D88">
            <v>0.12579202418382748</v>
          </cell>
          <cell r="G88">
            <v>6.9500000000000006E-2</v>
          </cell>
          <cell r="K88">
            <v>0.10835883952013969</v>
          </cell>
        </row>
        <row r="89">
          <cell r="D89">
            <v>0.13132801220899104</v>
          </cell>
          <cell r="G89">
            <v>6.9500000000000006E-2</v>
          </cell>
          <cell r="K89">
            <v>0.10458765411300318</v>
          </cell>
        </row>
        <row r="90">
          <cell r="D90">
            <v>0.17378509428942701</v>
          </cell>
          <cell r="G90">
            <v>6.9500000000000006E-2</v>
          </cell>
          <cell r="K90">
            <v>0.16115098932344296</v>
          </cell>
        </row>
        <row r="91">
          <cell r="D91">
            <v>0.1954089719283057</v>
          </cell>
          <cell r="G91">
            <v>6.9500000000000006E-2</v>
          </cell>
          <cell r="K91">
            <v>0.18593809439548178</v>
          </cell>
        </row>
        <row r="92">
          <cell r="D92">
            <v>0.12618578979970235</v>
          </cell>
          <cell r="G92">
            <v>6.9500000000000006E-2</v>
          </cell>
          <cell r="K92">
            <v>0.10156884204183424</v>
          </cell>
        </row>
        <row r="93">
          <cell r="D93">
            <v>0.12023841052699888</v>
          </cell>
          <cell r="G93">
            <v>6.9500000000000006E-2</v>
          </cell>
          <cell r="K93">
            <v>0.11275211553004739</v>
          </cell>
        </row>
        <row r="94">
          <cell r="D94">
            <v>0.15690760630927342</v>
          </cell>
          <cell r="G94">
            <v>6.9500000000000006E-2</v>
          </cell>
          <cell r="K94">
            <v>0.14987296056339064</v>
          </cell>
        </row>
        <row r="95">
          <cell r="D95">
            <v>0.14648256262214049</v>
          </cell>
          <cell r="G95">
            <v>6.9500000000000006E-2</v>
          </cell>
          <cell r="K95">
            <v>0.1330320728550001</v>
          </cell>
        </row>
        <row r="96">
          <cell r="D96">
            <v>0.14685677110309453</v>
          </cell>
          <cell r="G96">
            <v>6.9500000000000006E-2</v>
          </cell>
          <cell r="K96">
            <v>0.13910010466338735</v>
          </cell>
        </row>
        <row r="97">
          <cell r="D97">
            <v>0.13727206772985079</v>
          </cell>
          <cell r="G97">
            <v>6.9500000000000006E-2</v>
          </cell>
          <cell r="K97">
            <v>0.10999234538941745</v>
          </cell>
        </row>
        <row r="98">
          <cell r="D98">
            <v>0.10548171988116964</v>
          </cell>
          <cell r="G98">
            <v>6.9500000000000006E-2</v>
          </cell>
          <cell r="K98">
            <v>8.3701020207121835E-2</v>
          </cell>
        </row>
        <row r="99">
          <cell r="D99">
            <v>0.1344640674614862</v>
          </cell>
          <cell r="G99">
            <v>6.9500000000000006E-2</v>
          </cell>
          <cell r="K99">
            <v>0.12438791697109762</v>
          </cell>
        </row>
        <row r="100">
          <cell r="D100">
            <v>0.1051301177397308</v>
          </cell>
          <cell r="G100">
            <v>6.9500000000000006E-2</v>
          </cell>
          <cell r="K100">
            <v>8.1104854570712426E-2</v>
          </cell>
        </row>
        <row r="101">
          <cell r="D101">
            <v>0.11005033324750234</v>
          </cell>
          <cell r="G101">
            <v>6.9500000000000006E-2</v>
          </cell>
          <cell r="K101">
            <v>9.7847291288208668E-2</v>
          </cell>
        </row>
        <row r="102">
          <cell r="D102">
            <v>0.11978192100429595</v>
          </cell>
          <cell r="G102">
            <v>6.9500000000000006E-2</v>
          </cell>
          <cell r="K102">
            <v>9.87809518489558E-2</v>
          </cell>
        </row>
        <row r="103">
          <cell r="D103">
            <v>9.2474655119836324E-2</v>
          </cell>
          <cell r="G103">
            <v>6.1800000000000001E-2</v>
          </cell>
          <cell r="K103">
            <v>7.957406875741202E-2</v>
          </cell>
        </row>
        <row r="104">
          <cell r="D104">
            <v>0.12495708015070657</v>
          </cell>
          <cell r="G104">
            <v>6.9500000000000006E-2</v>
          </cell>
          <cell r="K104">
            <v>9.8073736773681586E-2</v>
          </cell>
        </row>
        <row r="105">
          <cell r="D105">
            <v>9.3138441744417697E-2</v>
          </cell>
          <cell r="G105">
            <v>6.1800000000000001E-2</v>
          </cell>
          <cell r="K105">
            <v>7.2339640738126904E-2</v>
          </cell>
        </row>
        <row r="106">
          <cell r="D106">
            <v>9.7882193350647184E-2</v>
          </cell>
          <cell r="G106">
            <v>6.9500000000000006E-2</v>
          </cell>
          <cell r="K106">
            <v>7.7276972066347274E-2</v>
          </cell>
        </row>
      </sheetData>
      <sheetData sheetId="38"/>
      <sheetData sheetId="39">
        <row r="2">
          <cell r="F2">
            <v>-2.6059629574481019E-2</v>
          </cell>
        </row>
        <row r="3">
          <cell r="F3">
            <v>0.42343101384561821</v>
          </cell>
        </row>
        <row r="4">
          <cell r="F4">
            <v>-3.5817592352555154E-2</v>
          </cell>
        </row>
        <row r="5">
          <cell r="F5">
            <v>0.21493944316933722</v>
          </cell>
        </row>
        <row r="6">
          <cell r="F6">
            <v>7.9713074350257086E-3</v>
          </cell>
        </row>
        <row r="7">
          <cell r="F7">
            <v>0.13142619927912766</v>
          </cell>
        </row>
        <row r="8">
          <cell r="F8" t="str">
            <v>NA</v>
          </cell>
        </row>
        <row r="9">
          <cell r="F9" t="str">
            <v>NA</v>
          </cell>
        </row>
        <row r="10">
          <cell r="F10">
            <v>8.6871480757296365E-2</v>
          </cell>
        </row>
        <row r="11">
          <cell r="F11">
            <v>-6.4905246010984075E-2</v>
          </cell>
        </row>
        <row r="12">
          <cell r="F12">
            <v>0.11378712797946409</v>
          </cell>
        </row>
        <row r="13">
          <cell r="F13" t="str">
            <v>NA</v>
          </cell>
        </row>
        <row r="14">
          <cell r="F14">
            <v>0.17342708024407452</v>
          </cell>
        </row>
        <row r="15">
          <cell r="F15">
            <v>9.7639902516069341E-2</v>
          </cell>
        </row>
        <row r="16">
          <cell r="F16">
            <v>1.5449065581484419E-2</v>
          </cell>
        </row>
        <row r="17">
          <cell r="F17">
            <v>0.1304677165424474</v>
          </cell>
        </row>
        <row r="18">
          <cell r="F18">
            <v>0.17217232791268849</v>
          </cell>
        </row>
        <row r="19">
          <cell r="F19">
            <v>0.18447765882815129</v>
          </cell>
        </row>
        <row r="20">
          <cell r="F20">
            <v>-8.2957586387662659E-3</v>
          </cell>
        </row>
        <row r="21">
          <cell r="F21">
            <v>0.1651626702816448</v>
          </cell>
        </row>
        <row r="22">
          <cell r="F22">
            <v>3.2155484356610434E-2</v>
          </cell>
        </row>
        <row r="23">
          <cell r="F23">
            <v>0.18043639079001042</v>
          </cell>
        </row>
        <row r="24">
          <cell r="F24">
            <v>-0.11650945036047462</v>
          </cell>
        </row>
        <row r="25">
          <cell r="F25">
            <v>0.18476756001476305</v>
          </cell>
        </row>
        <row r="26">
          <cell r="F26">
            <v>0.14897338338600832</v>
          </cell>
        </row>
        <row r="27">
          <cell r="F27">
            <v>7.3828679958868092E-3</v>
          </cell>
        </row>
        <row r="28">
          <cell r="F28">
            <v>0.22452763237582904</v>
          </cell>
        </row>
        <row r="29">
          <cell r="F29">
            <v>5.5377331814515686E-2</v>
          </cell>
        </row>
        <row r="30">
          <cell r="F30">
            <v>0.20074499185210051</v>
          </cell>
        </row>
        <row r="31">
          <cell r="F31">
            <v>0.15956663775102348</v>
          </cell>
        </row>
        <row r="32">
          <cell r="F32">
            <v>4.1236187325067709E-2</v>
          </cell>
        </row>
        <row r="33">
          <cell r="F33">
            <v>0.13276798839253917</v>
          </cell>
        </row>
        <row r="34">
          <cell r="F34">
            <v>0.16352430082262925</v>
          </cell>
        </row>
        <row r="35">
          <cell r="F35" t="str">
            <v>NA</v>
          </cell>
        </row>
        <row r="36">
          <cell r="F36">
            <v>0.10811631257226161</v>
          </cell>
        </row>
        <row r="37">
          <cell r="F37">
            <v>5.7725076685344177E-2</v>
          </cell>
        </row>
        <row r="38">
          <cell r="F38">
            <v>7.338773485684795E-2</v>
          </cell>
        </row>
        <row r="39">
          <cell r="F39">
            <v>0.11304862660232423</v>
          </cell>
        </row>
        <row r="40">
          <cell r="F40">
            <v>0.24351064396568506</v>
          </cell>
        </row>
        <row r="41">
          <cell r="F41">
            <v>-3.4790745486122918E-2</v>
          </cell>
        </row>
        <row r="42">
          <cell r="F42">
            <v>0.22881100885747016</v>
          </cell>
        </row>
        <row r="43">
          <cell r="F43">
            <v>0.61661866840206481</v>
          </cell>
        </row>
        <row r="44">
          <cell r="F44">
            <v>6.4021195070783563E-2</v>
          </cell>
        </row>
        <row r="45">
          <cell r="F45">
            <v>7.4461963202217115E-3</v>
          </cell>
        </row>
        <row r="46">
          <cell r="F46">
            <v>6.5154198848333789E-2</v>
          </cell>
        </row>
        <row r="47">
          <cell r="F47">
            <v>2.9592502219401365E-2</v>
          </cell>
        </row>
        <row r="48">
          <cell r="F48">
            <v>4.5398911100244445E-2</v>
          </cell>
        </row>
        <row r="49">
          <cell r="F49">
            <v>-1.0607068814046108</v>
          </cell>
        </row>
        <row r="50">
          <cell r="F50">
            <v>-0.41454863611787118</v>
          </cell>
        </row>
        <row r="51">
          <cell r="F51" t="str">
            <v>NA</v>
          </cell>
        </row>
        <row r="52">
          <cell r="F52">
            <v>0.28268996472541225</v>
          </cell>
        </row>
        <row r="53">
          <cell r="F53">
            <v>0.10964360197616566</v>
          </cell>
        </row>
        <row r="54">
          <cell r="F54">
            <v>0.12932312282789618</v>
          </cell>
        </row>
        <row r="55">
          <cell r="F55">
            <v>3.1817707137746329E-2</v>
          </cell>
        </row>
        <row r="56">
          <cell r="F56">
            <v>-3.4048080229958685E-2</v>
          </cell>
        </row>
        <row r="57">
          <cell r="F57">
            <v>3.9146025407527839E-2</v>
          </cell>
        </row>
        <row r="58">
          <cell r="F58">
            <v>6.9270716342897679E-2</v>
          </cell>
        </row>
        <row r="59">
          <cell r="F59">
            <v>0.13395356814912099</v>
          </cell>
        </row>
        <row r="60">
          <cell r="F60">
            <v>0.1982744747226807</v>
          </cell>
        </row>
        <row r="61">
          <cell r="F61">
            <v>-6.4300492957312716E-2</v>
          </cell>
        </row>
        <row r="62">
          <cell r="F62">
            <v>0.11475012262399167</v>
          </cell>
        </row>
        <row r="63">
          <cell r="F63">
            <v>0.11020902121217334</v>
          </cell>
        </row>
        <row r="64">
          <cell r="F64">
            <v>0.88906144737506287</v>
          </cell>
        </row>
        <row r="65">
          <cell r="F65">
            <v>1.8806993528177163</v>
          </cell>
        </row>
        <row r="66">
          <cell r="F66">
            <v>1.1832741086452718</v>
          </cell>
        </row>
        <row r="67">
          <cell r="F67">
            <v>0.21232391694041827</v>
          </cell>
        </row>
        <row r="68">
          <cell r="F68">
            <v>0.31389391948549566</v>
          </cell>
        </row>
        <row r="69">
          <cell r="F69">
            <v>-0.52624383723667811</v>
          </cell>
        </row>
        <row r="70">
          <cell r="F70">
            <v>-7.7442229665044505E-3</v>
          </cell>
        </row>
        <row r="71">
          <cell r="F71">
            <v>9.6236266427468103E-2</v>
          </cell>
        </row>
        <row r="72">
          <cell r="F72">
            <v>0.10268186081306206</v>
          </cell>
        </row>
        <row r="73">
          <cell r="F73">
            <v>0.16339131497172923</v>
          </cell>
        </row>
        <row r="74">
          <cell r="F74">
            <v>5.1208978463735495E-3</v>
          </cell>
        </row>
        <row r="75">
          <cell r="F75">
            <v>-2.9975171328978954E-2</v>
          </cell>
        </row>
        <row r="76">
          <cell r="F76">
            <v>-2.2871400697795554E-2</v>
          </cell>
        </row>
        <row r="77">
          <cell r="F77">
            <v>8.3668947606292884E-2</v>
          </cell>
        </row>
        <row r="78">
          <cell r="F78">
            <v>0.24507414707859465</v>
          </cell>
        </row>
        <row r="79">
          <cell r="F79">
            <v>0.16627221479469054</v>
          </cell>
        </row>
        <row r="80">
          <cell r="F80">
            <v>0.29309898081044888</v>
          </cell>
        </row>
        <row r="81">
          <cell r="F81">
            <v>3.2629919851120501E-2</v>
          </cell>
        </row>
        <row r="82">
          <cell r="F82">
            <v>0.23433778345356734</v>
          </cell>
        </row>
        <row r="83">
          <cell r="F83">
            <v>3.1636797197512549E-2</v>
          </cell>
        </row>
        <row r="84">
          <cell r="F84">
            <v>5.014284936774209E-2</v>
          </cell>
        </row>
        <row r="85">
          <cell r="F85">
            <v>0.14041979304897989</v>
          </cell>
        </row>
        <row r="86">
          <cell r="F86">
            <v>0.1414384207393182</v>
          </cell>
        </row>
        <row r="87">
          <cell r="F87">
            <v>-6.568226483759157E-2</v>
          </cell>
        </row>
        <row r="88">
          <cell r="F88">
            <v>0.24547671050793304</v>
          </cell>
        </row>
        <row r="89">
          <cell r="F89">
            <v>8.4981712220580687E-3</v>
          </cell>
        </row>
        <row r="90">
          <cell r="F90">
            <v>0.14326577092025009</v>
          </cell>
        </row>
        <row r="91">
          <cell r="F91">
            <v>4.6289247811254666E-2</v>
          </cell>
        </row>
        <row r="92">
          <cell r="F92">
            <v>5.6540294359728252E-2</v>
          </cell>
        </row>
        <row r="93">
          <cell r="F93">
            <v>6.1631284750963661E-2</v>
          </cell>
        </row>
        <row r="94">
          <cell r="F94">
            <v>2.1882787338106589E-2</v>
          </cell>
        </row>
        <row r="95">
          <cell r="F95">
            <v>4.2979439477294483E-2</v>
          </cell>
        </row>
      </sheetData>
      <sheetData sheetId="40">
        <row r="2">
          <cell r="B2">
            <v>362</v>
          </cell>
        </row>
      </sheetData>
      <sheetData sheetId="41">
        <row r="11">
          <cell r="C11">
            <v>7.349679425837323E-2</v>
          </cell>
          <cell r="G11">
            <v>2.1484748482409471E-2</v>
          </cell>
        </row>
        <row r="12">
          <cell r="G12">
            <v>3.3915170439337512E-2</v>
          </cell>
        </row>
        <row r="13">
          <cell r="G13">
            <v>9.6693065490875751E-2</v>
          </cell>
        </row>
        <row r="14">
          <cell r="G14">
            <v>3.6609584078790343E-2</v>
          </cell>
        </row>
        <row r="15">
          <cell r="G15">
            <v>6.0423265071670167E-2</v>
          </cell>
        </row>
        <row r="16">
          <cell r="G16">
            <v>5.1411946122316261E-2</v>
          </cell>
        </row>
        <row r="17">
          <cell r="G17">
            <v>3.2404484108969081E-2</v>
          </cell>
        </row>
        <row r="18">
          <cell r="G18">
            <v>3.158023938571787E-2</v>
          </cell>
        </row>
        <row r="19">
          <cell r="G19">
            <v>4.5801360272714885E-2</v>
          </cell>
        </row>
        <row r="20">
          <cell r="G20">
            <v>4.5824689476554596E-2</v>
          </cell>
        </row>
        <row r="21">
          <cell r="G21">
            <v>3.5670956658719617E-2</v>
          </cell>
        </row>
        <row r="22">
          <cell r="G22">
            <v>2.8564235872633317E-2</v>
          </cell>
        </row>
        <row r="23">
          <cell r="G23">
            <v>3.8306836462944818E-2</v>
          </cell>
        </row>
        <row r="24">
          <cell r="G24">
            <v>2.6116173242196936E-2</v>
          </cell>
        </row>
        <row r="25">
          <cell r="G25">
            <v>0.11558223276503958</v>
          </cell>
        </row>
        <row r="26">
          <cell r="G26">
            <v>7.741641993492572E-2</v>
          </cell>
        </row>
        <row r="27">
          <cell r="G27">
            <v>5.4474924436255449E-2</v>
          </cell>
        </row>
        <row r="28">
          <cell r="G28">
            <v>6.7444849888795691E-2</v>
          </cell>
        </row>
        <row r="29">
          <cell r="G29">
            <v>5.8582103434174478E-2</v>
          </cell>
        </row>
        <row r="30">
          <cell r="G30">
            <v>1.3489169924479476E-2</v>
          </cell>
        </row>
        <row r="31">
          <cell r="G31">
            <v>4.3997628967966884E-2</v>
          </cell>
        </row>
        <row r="32">
          <cell r="G32">
            <v>5.8090137590028013E-2</v>
          </cell>
        </row>
        <row r="33">
          <cell r="G33">
            <v>4.2463043866979938E-2</v>
          </cell>
        </row>
        <row r="34">
          <cell r="G34">
            <v>5.5489500531842963E-2</v>
          </cell>
        </row>
        <row r="35">
          <cell r="G35">
            <v>4.6616068018540166E-2</v>
          </cell>
        </row>
        <row r="36">
          <cell r="G36">
            <v>7.2712302169298734E-2</v>
          </cell>
        </row>
        <row r="37">
          <cell r="G37">
            <v>6.7817033533334778E-2</v>
          </cell>
        </row>
        <row r="38">
          <cell r="G38">
            <v>5.1123632718818701E-2</v>
          </cell>
        </row>
        <row r="39">
          <cell r="G39">
            <v>6.1756662263336107E-2</v>
          </cell>
        </row>
        <row r="40">
          <cell r="G40">
            <v>3.1913552747535108E-2</v>
          </cell>
        </row>
        <row r="41">
          <cell r="G41">
            <v>3.7769343593673718E-2</v>
          </cell>
        </row>
        <row r="42">
          <cell r="G42">
            <v>8.4562068190636414E-2</v>
          </cell>
        </row>
        <row r="43">
          <cell r="G43">
            <v>4.2599519305417305E-2</v>
          </cell>
        </row>
        <row r="44">
          <cell r="G44">
            <v>4.450338862807543E-2</v>
          </cell>
        </row>
        <row r="45">
          <cell r="G45">
            <v>4.5122297393227907E-2</v>
          </cell>
        </row>
        <row r="46">
          <cell r="G46">
            <v>1.1896848371563511E-2</v>
          </cell>
        </row>
        <row r="47">
          <cell r="G47">
            <v>3.2153880570860299E-2</v>
          </cell>
        </row>
        <row r="48">
          <cell r="G48">
            <v>0.38572529576171299</v>
          </cell>
        </row>
        <row r="49">
          <cell r="G49">
            <v>5.6535573190572848E-2</v>
          </cell>
        </row>
        <row r="50">
          <cell r="G50">
            <v>1.1193000384593066E-2</v>
          </cell>
        </row>
        <row r="51">
          <cell r="G51">
            <v>7.3463697611661272E-2</v>
          </cell>
        </row>
        <row r="52">
          <cell r="G52">
            <v>6.9779275561657446E-3</v>
          </cell>
        </row>
        <row r="53">
          <cell r="G53">
            <v>6.5563767804585407E-2</v>
          </cell>
        </row>
        <row r="54">
          <cell r="G54">
            <v>7.4369482110962185E-2</v>
          </cell>
        </row>
        <row r="55">
          <cell r="G55">
            <v>3.4365605995926057E-2</v>
          </cell>
        </row>
        <row r="56">
          <cell r="G56">
            <v>3.1231663406059016E-2</v>
          </cell>
        </row>
        <row r="57">
          <cell r="G57">
            <v>8.6173960957734216E-3</v>
          </cell>
        </row>
        <row r="58">
          <cell r="G58">
            <v>6.3281639818224232E-3</v>
          </cell>
        </row>
        <row r="59">
          <cell r="G59">
            <v>6.8210247518077595E-3</v>
          </cell>
        </row>
        <row r="60">
          <cell r="G60">
            <v>3.8934740984049025E-2</v>
          </cell>
        </row>
        <row r="61">
          <cell r="G61">
            <v>4.0581086874037518E-2</v>
          </cell>
        </row>
        <row r="62">
          <cell r="G62">
            <v>6.3028044378982268E-2</v>
          </cell>
        </row>
        <row r="63">
          <cell r="G63">
            <v>2.3926107503514194E-2</v>
          </cell>
        </row>
        <row r="64">
          <cell r="G64">
            <v>5.7508156555064825E-2</v>
          </cell>
        </row>
        <row r="65">
          <cell r="G65">
            <v>0.19112684090849405</v>
          </cell>
        </row>
        <row r="66">
          <cell r="G66">
            <v>8.237881928404911E-2</v>
          </cell>
        </row>
        <row r="67">
          <cell r="G67">
            <v>3.0825023367356891E-2</v>
          </cell>
        </row>
        <row r="68">
          <cell r="G68">
            <v>6.1565857660402623E-2</v>
          </cell>
        </row>
        <row r="69">
          <cell r="G69">
            <v>8.1713371575624832E-2</v>
          </cell>
        </row>
        <row r="70">
          <cell r="G70">
            <v>0.12634435319825676</v>
          </cell>
        </row>
        <row r="71">
          <cell r="G71">
            <v>0.17449080042263629</v>
          </cell>
        </row>
        <row r="72">
          <cell r="G72">
            <v>3.2449887861531329E-2</v>
          </cell>
        </row>
        <row r="73">
          <cell r="G73">
            <v>5.1005426695245375E-2</v>
          </cell>
        </row>
        <row r="74">
          <cell r="G74">
            <v>2.2769633151219978E-2</v>
          </cell>
        </row>
        <row r="75">
          <cell r="G75">
            <v>9.1111875376455473E-2</v>
          </cell>
        </row>
        <row r="76">
          <cell r="G76">
            <v>2.3909758518659972E-2</v>
          </cell>
        </row>
        <row r="77">
          <cell r="G77">
            <v>6.850083656836245E-2</v>
          </cell>
        </row>
        <row r="78">
          <cell r="G78">
            <v>7.5924451645731437E-4</v>
          </cell>
        </row>
        <row r="79">
          <cell r="G79">
            <v>4.5756035907612375E-2</v>
          </cell>
        </row>
        <row r="80">
          <cell r="G80">
            <v>1.7901244840279967E-2</v>
          </cell>
        </row>
        <row r="81">
          <cell r="G81">
            <v>2.3713589272572867E-2</v>
          </cell>
        </row>
        <row r="82">
          <cell r="G82">
            <v>2.5127813159468149E-2</v>
          </cell>
        </row>
        <row r="83">
          <cell r="G83">
            <v>3.0384482805711776E-2</v>
          </cell>
        </row>
        <row r="84">
          <cell r="G84">
            <v>2.7134911493777378E-2</v>
          </cell>
        </row>
        <row r="85">
          <cell r="G85">
            <v>9.4952242949320712E-2</v>
          </cell>
        </row>
        <row r="86">
          <cell r="G86">
            <v>2.245102870529796E-2</v>
          </cell>
        </row>
        <row r="87">
          <cell r="G87">
            <v>6.2484383129195534E-2</v>
          </cell>
        </row>
        <row r="88">
          <cell r="G88">
            <v>0.18860060299516715</v>
          </cell>
        </row>
        <row r="89">
          <cell r="G89">
            <v>8.2518511943681719E-2</v>
          </cell>
        </row>
        <row r="90">
          <cell r="G90">
            <v>6.8500068023270466E-2</v>
          </cell>
        </row>
        <row r="91">
          <cell r="G91">
            <v>1.8699871340976237E-2</v>
          </cell>
        </row>
        <row r="92">
          <cell r="G92">
            <v>0.11085585663611436</v>
          </cell>
        </row>
        <row r="93">
          <cell r="G93">
            <v>6.8994925798208623E-2</v>
          </cell>
        </row>
        <row r="94">
          <cell r="G94">
            <v>7.1717567851905251E-2</v>
          </cell>
        </row>
        <row r="95">
          <cell r="G95">
            <v>4.6986460400492681E-2</v>
          </cell>
        </row>
        <row r="96">
          <cell r="G96">
            <v>0.17045118193113834</v>
          </cell>
        </row>
        <row r="97">
          <cell r="G97">
            <v>3.0967972014556554E-2</v>
          </cell>
        </row>
        <row r="98">
          <cell r="G98">
            <v>0.15451691162113007</v>
          </cell>
        </row>
        <row r="99">
          <cell r="G99">
            <v>2.7114026871894421E-2</v>
          </cell>
        </row>
        <row r="100">
          <cell r="G100">
            <v>4.1407170879204931E-2</v>
          </cell>
        </row>
        <row r="101">
          <cell r="G101">
            <v>0.15530197652565753</v>
          </cell>
        </row>
        <row r="102">
          <cell r="G102">
            <v>9.0572486207290609E-2</v>
          </cell>
        </row>
        <row r="103">
          <cell r="G103">
            <v>0.1391916397622712</v>
          </cell>
        </row>
        <row r="104">
          <cell r="G104">
            <v>0.21460584021765075</v>
          </cell>
        </row>
      </sheetData>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workbookViewId="0">
      <selection activeCell="B62" sqref="B62"/>
    </sheetView>
  </sheetViews>
  <sheetFormatPr baseColWidth="10" defaultRowHeight="14"/>
  <cols>
    <col min="1" max="1" width="12.85546875" style="82" bestFit="1" customWidth="1"/>
    <col min="2" max="2" width="65.140625" style="1" bestFit="1" customWidth="1"/>
  </cols>
  <sheetData>
    <row r="1" spans="1:6" s="75" customFormat="1" ht="19">
      <c r="A1" s="239" t="s">
        <v>301</v>
      </c>
      <c r="B1" s="239"/>
      <c r="C1" s="239"/>
      <c r="D1" s="239"/>
      <c r="E1" s="239"/>
      <c r="F1" s="239"/>
    </row>
    <row r="2" spans="1:6">
      <c r="A2" s="82" t="s">
        <v>30</v>
      </c>
      <c r="B2" s="1" t="s">
        <v>75</v>
      </c>
    </row>
    <row r="3" spans="1:6">
      <c r="B3" s="1" t="s">
        <v>76</v>
      </c>
    </row>
    <row r="4" spans="1:6">
      <c r="A4" s="82" t="s">
        <v>392</v>
      </c>
      <c r="B4" s="1" t="s">
        <v>182</v>
      </c>
    </row>
    <row r="5" spans="1:6">
      <c r="B5" s="1" t="s">
        <v>20</v>
      </c>
    </row>
    <row r="6" spans="1:6">
      <c r="A6" s="82" t="s">
        <v>11</v>
      </c>
      <c r="B6" s="1" t="s">
        <v>21</v>
      </c>
    </row>
    <row r="7" spans="1:6">
      <c r="B7" s="1" t="s">
        <v>328</v>
      </c>
    </row>
    <row r="8" spans="1:6">
      <c r="B8" s="1" t="s">
        <v>13</v>
      </c>
    </row>
    <row r="9" spans="1:6">
      <c r="B9" s="1" t="s">
        <v>233</v>
      </c>
    </row>
    <row r="10" spans="1:6">
      <c r="B10" s="1" t="s">
        <v>167</v>
      </c>
    </row>
    <row r="11" spans="1:6">
      <c r="B11" s="1" t="s">
        <v>39</v>
      </c>
    </row>
    <row r="12" spans="1:6">
      <c r="A12" s="82" t="s">
        <v>275</v>
      </c>
      <c r="B12" s="1" t="s">
        <v>330</v>
      </c>
    </row>
    <row r="13" spans="1:6">
      <c r="B13" s="1" t="s">
        <v>55</v>
      </c>
    </row>
    <row r="14" spans="1:6">
      <c r="B14" s="1" t="s">
        <v>336</v>
      </c>
    </row>
    <row r="15" spans="1:6">
      <c r="B15" s="1" t="s">
        <v>29</v>
      </c>
    </row>
    <row r="16" spans="1:6">
      <c r="B16" s="1" t="s">
        <v>194</v>
      </c>
    </row>
    <row r="17" spans="1:2">
      <c r="A17" s="82" t="s">
        <v>168</v>
      </c>
      <c r="B17" s="1" t="s">
        <v>63</v>
      </c>
    </row>
    <row r="18" spans="1:2">
      <c r="B18" s="1" t="s">
        <v>110</v>
      </c>
    </row>
    <row r="19" spans="1:2">
      <c r="B19" s="1" t="s">
        <v>111</v>
      </c>
    </row>
    <row r="20" spans="1:2">
      <c r="B20" s="1" t="s">
        <v>60</v>
      </c>
    </row>
    <row r="21" spans="1:2">
      <c r="B21" s="1" t="s">
        <v>104</v>
      </c>
    </row>
    <row r="22" spans="1:2">
      <c r="A22" s="82" t="s">
        <v>220</v>
      </c>
      <c r="B22" s="1" t="s">
        <v>358</v>
      </c>
    </row>
  </sheetData>
  <mergeCells count="1">
    <mergeCell ref="A1:F1"/>
  </mergeCells>
  <phoneticPr fontId="25"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53"/>
  <sheetViews>
    <sheetView workbookViewId="0">
      <selection activeCell="G38" sqref="G38:H53"/>
    </sheetView>
  </sheetViews>
  <sheetFormatPr baseColWidth="10" defaultRowHeight="14"/>
  <sheetData>
    <row r="1" spans="1:16" ht="18">
      <c r="A1" s="14" t="s">
        <v>95</v>
      </c>
    </row>
    <row r="2" spans="1:16" s="16" customFormat="1" ht="18">
      <c r="A2" s="14" t="s">
        <v>734</v>
      </c>
      <c r="B2"/>
      <c r="C2"/>
      <c r="D2"/>
      <c r="E2"/>
      <c r="F2"/>
      <c r="G2"/>
      <c r="H2"/>
      <c r="I2"/>
      <c r="J2"/>
      <c r="K2"/>
      <c r="L2"/>
      <c r="M2"/>
      <c r="N2"/>
      <c r="O2"/>
      <c r="P2"/>
    </row>
    <row r="3" spans="1:16" s="16" customFormat="1" ht="17" thickBot="1">
      <c r="A3" s="96" t="s">
        <v>735</v>
      </c>
      <c r="B3" s="153"/>
      <c r="C3" s="153"/>
      <c r="D3" s="153"/>
      <c r="E3" s="153"/>
      <c r="F3" s="153"/>
      <c r="G3" s="153"/>
      <c r="H3" s="153"/>
      <c r="I3" s="153"/>
      <c r="J3" s="153"/>
      <c r="K3" s="153"/>
      <c r="L3" s="153"/>
      <c r="M3"/>
      <c r="N3"/>
      <c r="O3"/>
      <c r="P3"/>
    </row>
    <row r="4" spans="1:16" s="16" customFormat="1" ht="15" thickBot="1">
      <c r="A4" s="1" t="s">
        <v>52</v>
      </c>
      <c r="B4" s="1"/>
      <c r="C4" s="177">
        <v>1</v>
      </c>
      <c r="D4" s="1"/>
      <c r="E4" s="1"/>
      <c r="F4" s="1"/>
      <c r="G4" s="1"/>
      <c r="H4" s="1"/>
      <c r="I4" s="1"/>
      <c r="J4" s="1"/>
      <c r="M4"/>
      <c r="N4"/>
      <c r="O4"/>
      <c r="P4"/>
    </row>
    <row r="5" spans="1:16" s="16" customFormat="1" ht="15" thickBot="1">
      <c r="A5" s="1" t="s">
        <v>252</v>
      </c>
      <c r="B5" s="1"/>
      <c r="C5" s="1"/>
      <c r="D5" s="1"/>
      <c r="E5" s="1"/>
      <c r="F5" s="173">
        <f ca="1">IF('Master Inputs Start here'!B7="No",'Master Inputs Start here'!B12,'Master Inputs Start here'!B12+'Operating lease converter'!F34)</f>
        <v>1605.8347190293821</v>
      </c>
      <c r="G5" s="1" t="s">
        <v>257</v>
      </c>
      <c r="H5" s="1"/>
      <c r="I5" s="1"/>
      <c r="J5" s="1"/>
      <c r="M5"/>
      <c r="N5"/>
      <c r="O5"/>
      <c r="P5"/>
    </row>
    <row r="6" spans="1:16" s="16" customFormat="1" ht="15" thickBot="1">
      <c r="A6" s="1" t="s">
        <v>293</v>
      </c>
      <c r="B6" s="1"/>
      <c r="C6" s="1"/>
      <c r="D6" s="1"/>
      <c r="E6" s="1"/>
      <c r="F6" s="154">
        <f ca="1">IF('Master Inputs Start here'!B7="Yes",('Master Inputs Start here'!B13+'Operating lease converter'!C30*'Operating lease converter'!C14),'Master Inputs Start here'!B13)</f>
        <v>332.53619706956044</v>
      </c>
      <c r="G6" s="1" t="s">
        <v>339</v>
      </c>
      <c r="H6" s="1"/>
      <c r="I6" s="1"/>
      <c r="J6" s="1"/>
      <c r="M6"/>
      <c r="N6"/>
      <c r="O6"/>
      <c r="P6"/>
    </row>
    <row r="7" spans="1:16" s="16" customFormat="1" ht="15" thickBot="1">
      <c r="A7" s="1" t="s">
        <v>736</v>
      </c>
      <c r="B7" s="1"/>
      <c r="C7" s="1"/>
      <c r="D7" s="1"/>
      <c r="E7" s="1"/>
      <c r="F7" s="155">
        <f>'Master Inputs Start here'!B39</f>
        <v>0.03</v>
      </c>
      <c r="G7" s="1"/>
      <c r="H7" s="1"/>
      <c r="I7" s="1"/>
      <c r="J7" s="1"/>
      <c r="M7"/>
      <c r="N7"/>
      <c r="O7"/>
      <c r="P7"/>
    </row>
    <row r="8" spans="1:16" s="16" customFormat="1" ht="15" thickBot="1">
      <c r="A8" s="3" t="s">
        <v>220</v>
      </c>
      <c r="B8" s="1"/>
      <c r="C8" s="1"/>
      <c r="D8" s="1"/>
      <c r="E8" s="1"/>
      <c r="F8" s="1"/>
      <c r="G8" s="1"/>
      <c r="H8" s="1"/>
      <c r="I8" s="1"/>
      <c r="J8" s="1"/>
      <c r="M8"/>
      <c r="N8"/>
      <c r="O8"/>
      <c r="P8"/>
    </row>
    <row r="9" spans="1:16" s="16" customFormat="1" ht="15" thickBot="1">
      <c r="A9" s="1" t="s">
        <v>2</v>
      </c>
      <c r="B9" s="1"/>
      <c r="C9" s="1"/>
      <c r="D9" s="156">
        <f ca="1">IF(F6=0,1000000,IF(F5&lt;0,-100000,F5/F6))</f>
        <v>4.8290523954403408</v>
      </c>
      <c r="E9" s="1"/>
      <c r="F9" s="1"/>
      <c r="G9" s="1"/>
      <c r="H9" s="1"/>
      <c r="I9" s="1"/>
      <c r="J9" s="1"/>
      <c r="M9"/>
      <c r="N9"/>
      <c r="O9"/>
      <c r="P9"/>
    </row>
    <row r="10" spans="1:16" s="1" customFormat="1" ht="15" thickBot="1">
      <c r="A10" s="1" t="s">
        <v>117</v>
      </c>
      <c r="B10" s="16"/>
      <c r="C10" s="16"/>
      <c r="D10" s="157" t="str">
        <f ca="1">IF(C4=1,VLOOKUP(D9,A19:D33,3),(IF(C4=2,VLOOKUP(D9,A38:D52,3),VLOOKUP(D9,F19:I33,3))))</f>
        <v>A2/A</v>
      </c>
      <c r="E10" s="16"/>
      <c r="F10" s="36" t="s">
        <v>737</v>
      </c>
      <c r="G10" s="16"/>
      <c r="H10" s="16"/>
      <c r="I10" s="16"/>
      <c r="J10" s="16"/>
      <c r="K10" s="16"/>
      <c r="L10" s="16"/>
      <c r="M10"/>
      <c r="N10"/>
      <c r="O10"/>
      <c r="P10"/>
    </row>
    <row r="11" spans="1:16" s="1" customFormat="1" ht="15" thickBot="1">
      <c r="A11" s="1" t="s">
        <v>738</v>
      </c>
      <c r="B11" s="16"/>
      <c r="C11" s="16"/>
      <c r="D11" s="158">
        <f ca="1">IF(C4=1,VLOOKUP(D9,A19:D33,4),(IF(C4=2,VLOOKUP(D9,A38:D52,4),VLOOKUP(D9,F19:I33,4))))</f>
        <v>1.4200000000000001E-2</v>
      </c>
      <c r="E11" s="16"/>
      <c r="F11" s="36" t="s">
        <v>739</v>
      </c>
      <c r="G11" s="16"/>
      <c r="H11" s="16"/>
      <c r="I11" s="16"/>
      <c r="J11" s="16"/>
      <c r="K11" s="16"/>
      <c r="L11" s="16"/>
      <c r="M11"/>
      <c r="N11"/>
      <c r="O11"/>
      <c r="P11"/>
    </row>
    <row r="12" spans="1:16" s="16" customFormat="1" ht="15" thickBot="1">
      <c r="A12" s="1" t="s">
        <v>740</v>
      </c>
      <c r="D12" s="158">
        <f>VLOOKUP('Master Inputs Start here'!B9,'Country ERP'!A5:F179,3)</f>
        <v>1.0354128440366973E-2</v>
      </c>
      <c r="F12" s="36"/>
      <c r="M12"/>
      <c r="N12"/>
      <c r="O12"/>
      <c r="P12"/>
    </row>
    <row r="13" spans="1:16" s="16" customFormat="1" ht="15" thickBot="1">
      <c r="A13" s="1" t="s">
        <v>346</v>
      </c>
      <c r="B13" s="1"/>
      <c r="C13" s="1"/>
      <c r="D13" s="159">
        <f ca="1">F7+D11+D12</f>
        <v>5.4554128440366972E-2</v>
      </c>
      <c r="E13" s="1"/>
      <c r="F13" s="1"/>
      <c r="G13" s="1"/>
      <c r="H13" s="1"/>
      <c r="I13" s="1"/>
      <c r="J13" s="1"/>
      <c r="K13" s="1"/>
      <c r="L13" s="1"/>
      <c r="M13"/>
      <c r="N13"/>
      <c r="O13"/>
      <c r="P13"/>
    </row>
    <row r="14" spans="1:16" s="16" customFormat="1">
      <c r="A14" s="1"/>
      <c r="B14" s="1"/>
      <c r="C14" s="1"/>
      <c r="D14" s="160"/>
      <c r="E14" s="1"/>
      <c r="F14" s="1"/>
      <c r="G14" s="1"/>
      <c r="H14" s="1"/>
      <c r="I14" s="1"/>
      <c r="J14" s="1"/>
      <c r="K14" s="1"/>
      <c r="L14" s="1"/>
      <c r="M14"/>
      <c r="N14"/>
      <c r="O14"/>
      <c r="P14"/>
    </row>
    <row r="15" spans="1:16" s="16" customFormat="1">
      <c r="A15" s="4" t="s">
        <v>741</v>
      </c>
      <c r="B15" s="4"/>
      <c r="C15" s="4"/>
      <c r="D15" s="161"/>
      <c r="E15" s="4"/>
      <c r="F15" s="4"/>
      <c r="G15" s="4"/>
      <c r="H15" s="4"/>
      <c r="I15" s="4"/>
      <c r="J15" s="4"/>
      <c r="K15" s="4"/>
      <c r="L15" s="4"/>
      <c r="M15"/>
      <c r="N15"/>
      <c r="O15"/>
      <c r="P15"/>
    </row>
    <row r="16" spans="1:16" s="16" customFormat="1">
      <c r="A16" s="3" t="s">
        <v>347</v>
      </c>
      <c r="F16"/>
      <c r="G16"/>
      <c r="H16"/>
      <c r="I16"/>
      <c r="M16"/>
      <c r="N16"/>
      <c r="O16"/>
      <c r="P16"/>
    </row>
    <row r="17" spans="1:16" s="16" customFormat="1">
      <c r="A17" s="17" t="s">
        <v>373</v>
      </c>
      <c r="B17" s="17"/>
      <c r="C17" s="162"/>
      <c r="D17" s="162"/>
      <c r="F17"/>
      <c r="G17"/>
      <c r="H17"/>
      <c r="I17"/>
      <c r="J17" s="1"/>
      <c r="M17"/>
      <c r="N17"/>
      <c r="O17"/>
      <c r="P17"/>
    </row>
    <row r="18" spans="1:16" s="16" customFormat="1">
      <c r="A18" s="111" t="s">
        <v>161</v>
      </c>
      <c r="B18" s="111" t="s">
        <v>162</v>
      </c>
      <c r="C18" s="111" t="s">
        <v>212</v>
      </c>
      <c r="D18" s="111" t="s">
        <v>213</v>
      </c>
      <c r="F18"/>
      <c r="G18"/>
      <c r="H18"/>
      <c r="I18"/>
      <c r="M18"/>
      <c r="N18"/>
      <c r="O18"/>
      <c r="P18"/>
    </row>
    <row r="19" spans="1:16" s="16" customFormat="1">
      <c r="A19" s="8">
        <v>-100000</v>
      </c>
      <c r="B19" s="8">
        <v>0.19999900000000001</v>
      </c>
      <c r="C19" s="120" t="s">
        <v>583</v>
      </c>
      <c r="D19" s="152">
        <v>0.2</v>
      </c>
      <c r="F19"/>
      <c r="G19"/>
      <c r="H19"/>
      <c r="I19"/>
      <c r="M19"/>
      <c r="N19"/>
      <c r="O19"/>
      <c r="P19"/>
    </row>
    <row r="20" spans="1:16" s="16" customFormat="1">
      <c r="A20" s="8">
        <v>0.2</v>
      </c>
      <c r="B20" s="8">
        <v>0.64999899999999999</v>
      </c>
      <c r="C20" s="120" t="s">
        <v>586</v>
      </c>
      <c r="D20" s="152">
        <v>0.17499999999999999</v>
      </c>
      <c r="F20"/>
      <c r="G20"/>
      <c r="H20"/>
      <c r="I20"/>
      <c r="M20"/>
      <c r="N20"/>
      <c r="O20"/>
      <c r="P20"/>
    </row>
    <row r="21" spans="1:16" s="16" customFormat="1">
      <c r="A21" s="8">
        <v>0.65</v>
      </c>
      <c r="B21" s="8">
        <v>0.79999900000000002</v>
      </c>
      <c r="C21" s="120" t="s">
        <v>585</v>
      </c>
      <c r="D21" s="152">
        <v>0.1578</v>
      </c>
      <c r="F21"/>
      <c r="G21"/>
      <c r="H21"/>
      <c r="I21"/>
      <c r="M21"/>
      <c r="N21"/>
      <c r="O21"/>
      <c r="P21"/>
    </row>
    <row r="22" spans="1:16" s="16" customFormat="1">
      <c r="A22" s="8">
        <v>0.8</v>
      </c>
      <c r="B22" s="8">
        <v>1.2499990000000001</v>
      </c>
      <c r="C22" s="120" t="s">
        <v>584</v>
      </c>
      <c r="D22" s="152">
        <v>0.1157</v>
      </c>
      <c r="F22"/>
      <c r="G22"/>
      <c r="H22"/>
      <c r="I22"/>
      <c r="M22"/>
      <c r="N22"/>
      <c r="O22"/>
      <c r="P22"/>
    </row>
    <row r="23" spans="1:16" s="16" customFormat="1">
      <c r="A23" s="8">
        <v>1.25</v>
      </c>
      <c r="B23" s="8">
        <v>1.4999990000000001</v>
      </c>
      <c r="C23" s="120" t="s">
        <v>587</v>
      </c>
      <c r="D23" s="152">
        <v>7.3700000000000002E-2</v>
      </c>
      <c r="F23"/>
      <c r="G23"/>
      <c r="H23"/>
      <c r="I23"/>
      <c r="M23"/>
      <c r="N23"/>
      <c r="O23"/>
      <c r="P23"/>
    </row>
    <row r="24" spans="1:16" s="16" customFormat="1">
      <c r="A24" s="8">
        <v>1.5</v>
      </c>
      <c r="B24" s="8">
        <v>1.7499990000000001</v>
      </c>
      <c r="C24" s="120" t="s">
        <v>588</v>
      </c>
      <c r="D24" s="152">
        <v>5.2600000000000001E-2</v>
      </c>
      <c r="F24"/>
      <c r="G24"/>
      <c r="H24"/>
      <c r="I24"/>
      <c r="M24"/>
      <c r="N24"/>
      <c r="O24"/>
      <c r="P24"/>
    </row>
    <row r="25" spans="1:16" s="16" customFormat="1">
      <c r="A25" s="8">
        <v>1.75</v>
      </c>
      <c r="B25" s="8">
        <v>1.9999990000000001</v>
      </c>
      <c r="C25" s="120" t="s">
        <v>589</v>
      </c>
      <c r="D25" s="152">
        <v>4.5499999999999999E-2</v>
      </c>
      <c r="F25"/>
      <c r="G25"/>
      <c r="H25"/>
      <c r="I25"/>
      <c r="M25"/>
      <c r="N25"/>
      <c r="O25"/>
      <c r="P25"/>
    </row>
    <row r="26" spans="1:16" s="16" customFormat="1">
      <c r="A26" s="8">
        <v>2</v>
      </c>
      <c r="B26" s="8">
        <v>2.2499999000000002</v>
      </c>
      <c r="C26" s="120" t="s">
        <v>590</v>
      </c>
      <c r="D26" s="152">
        <v>3.1300000000000001E-2</v>
      </c>
      <c r="F26"/>
      <c r="G26"/>
      <c r="H26"/>
      <c r="I26"/>
      <c r="M26"/>
      <c r="N26"/>
      <c r="O26"/>
      <c r="P26"/>
    </row>
    <row r="27" spans="1:16" s="16" customFormat="1">
      <c r="A27" s="8">
        <v>2.25</v>
      </c>
      <c r="B27" s="8">
        <v>2.4999899999999999</v>
      </c>
      <c r="C27" s="120" t="s">
        <v>591</v>
      </c>
      <c r="D27" s="152">
        <v>2.4199999999999999E-2</v>
      </c>
      <c r="F27"/>
      <c r="G27"/>
      <c r="H27"/>
      <c r="I27"/>
      <c r="M27"/>
      <c r="N27"/>
      <c r="O27"/>
      <c r="P27"/>
    </row>
    <row r="28" spans="1:16" s="16" customFormat="1">
      <c r="A28" s="8">
        <v>2.5</v>
      </c>
      <c r="B28" s="8">
        <v>2.9999989999999999</v>
      </c>
      <c r="C28" s="120" t="s">
        <v>592</v>
      </c>
      <c r="D28" s="152">
        <v>0.02</v>
      </c>
      <c r="F28"/>
      <c r="G28"/>
      <c r="H28"/>
      <c r="I28"/>
      <c r="M28"/>
      <c r="N28"/>
      <c r="O28"/>
      <c r="P28"/>
    </row>
    <row r="29" spans="1:16" s="16" customFormat="1">
      <c r="A29" s="8">
        <v>3</v>
      </c>
      <c r="B29" s="8">
        <v>4.2499989999999999</v>
      </c>
      <c r="C29" s="120" t="s">
        <v>593</v>
      </c>
      <c r="D29" s="152">
        <v>1.6199999999999999E-2</v>
      </c>
      <c r="F29"/>
      <c r="G29"/>
      <c r="H29"/>
      <c r="I29"/>
      <c r="M29"/>
      <c r="N29"/>
      <c r="O29"/>
      <c r="P29"/>
    </row>
    <row r="30" spans="1:16" s="16" customFormat="1">
      <c r="A30" s="8">
        <v>4.25</v>
      </c>
      <c r="B30" s="8">
        <v>5.4999989999999999</v>
      </c>
      <c r="C30" s="120" t="s">
        <v>594</v>
      </c>
      <c r="D30" s="152">
        <v>1.4200000000000001E-2</v>
      </c>
      <c r="F30"/>
      <c r="G30"/>
      <c r="H30"/>
      <c r="I30"/>
      <c r="M30"/>
      <c r="N30"/>
      <c r="O30"/>
      <c r="P30"/>
    </row>
    <row r="31" spans="1:16" s="16" customFormat="1">
      <c r="A31" s="8">
        <v>5.5</v>
      </c>
      <c r="B31" s="8">
        <v>6.4999989999999999</v>
      </c>
      <c r="C31" s="120" t="s">
        <v>595</v>
      </c>
      <c r="D31" s="152">
        <v>1.23E-2</v>
      </c>
      <c r="F31"/>
      <c r="G31"/>
      <c r="H31"/>
      <c r="I31"/>
      <c r="M31"/>
      <c r="N31"/>
      <c r="O31"/>
      <c r="P31"/>
    </row>
    <row r="32" spans="1:16" s="16" customFormat="1">
      <c r="A32" s="8">
        <v>6.5</v>
      </c>
      <c r="B32" s="8">
        <v>8.4999990000000007</v>
      </c>
      <c r="C32" s="120" t="s">
        <v>596</v>
      </c>
      <c r="D32" s="152">
        <v>8.5000000000000006E-3</v>
      </c>
      <c r="F32"/>
      <c r="G32"/>
      <c r="H32"/>
      <c r="I32"/>
      <c r="M32"/>
      <c r="N32"/>
      <c r="O32"/>
      <c r="P32"/>
    </row>
    <row r="33" spans="1:16" s="16" customFormat="1">
      <c r="A33" s="163">
        <v>8.5</v>
      </c>
      <c r="B33" s="8">
        <v>100000</v>
      </c>
      <c r="C33" s="120" t="s">
        <v>597</v>
      </c>
      <c r="D33" s="152">
        <v>6.8999999999999999E-3</v>
      </c>
      <c r="F33"/>
      <c r="G33"/>
      <c r="H33"/>
      <c r="I33"/>
      <c r="M33"/>
      <c r="N33"/>
      <c r="O33"/>
      <c r="P33"/>
    </row>
    <row r="34" spans="1:16" s="16" customFormat="1">
      <c r="M34"/>
      <c r="N34"/>
      <c r="O34"/>
      <c r="P34"/>
    </row>
    <row r="35" spans="1:16" s="16" customFormat="1">
      <c r="A35" s="3" t="s">
        <v>344</v>
      </c>
      <c r="M35"/>
      <c r="N35"/>
      <c r="O35"/>
      <c r="P35"/>
    </row>
    <row r="36" spans="1:16" s="16" customFormat="1">
      <c r="A36" s="17" t="s">
        <v>373</v>
      </c>
      <c r="B36" s="164"/>
      <c r="C36" s="8"/>
      <c r="D36" s="8"/>
      <c r="M36"/>
      <c r="N36"/>
      <c r="O36"/>
      <c r="P36"/>
    </row>
    <row r="37" spans="1:16" s="16" customFormat="1">
      <c r="A37" s="8" t="s">
        <v>49</v>
      </c>
      <c r="B37" s="8" t="s">
        <v>162</v>
      </c>
      <c r="C37" s="8" t="s">
        <v>212</v>
      </c>
      <c r="D37" s="8" t="s">
        <v>213</v>
      </c>
      <c r="M37"/>
      <c r="N37"/>
      <c r="O37"/>
      <c r="P37"/>
    </row>
    <row r="38" spans="1:16" s="16" customFormat="1">
      <c r="A38" s="8">
        <v>-100000</v>
      </c>
      <c r="B38" s="8">
        <v>0.49999900000000003</v>
      </c>
      <c r="C38" s="120" t="s">
        <v>583</v>
      </c>
      <c r="D38" s="152">
        <f>D19</f>
        <v>0.2</v>
      </c>
      <c r="G38" s="111" t="s">
        <v>212</v>
      </c>
      <c r="H38" s="111" t="s">
        <v>213</v>
      </c>
      <c r="K38"/>
      <c r="L38"/>
      <c r="M38"/>
      <c r="N38"/>
      <c r="O38"/>
      <c r="P38"/>
    </row>
    <row r="39" spans="1:16" s="16" customFormat="1">
      <c r="A39" s="8">
        <v>0.5</v>
      </c>
      <c r="B39" s="8">
        <v>0.79999900000000002</v>
      </c>
      <c r="C39" s="120" t="s">
        <v>586</v>
      </c>
      <c r="D39" s="152">
        <f t="shared" ref="D39:D52" si="0">D20</f>
        <v>0.17499999999999999</v>
      </c>
      <c r="G39" s="120" t="s">
        <v>595</v>
      </c>
      <c r="H39" s="152">
        <v>1.23E-2</v>
      </c>
      <c r="K39"/>
      <c r="L39"/>
      <c r="M39"/>
      <c r="N39"/>
      <c r="O39"/>
      <c r="P39"/>
    </row>
    <row r="40" spans="1:16" s="16" customFormat="1">
      <c r="A40" s="8">
        <v>0.8</v>
      </c>
      <c r="B40" s="8">
        <v>1.2499990000000001</v>
      </c>
      <c r="C40" s="120" t="s">
        <v>585</v>
      </c>
      <c r="D40" s="152">
        <f t="shared" si="0"/>
        <v>0.1578</v>
      </c>
      <c r="G40" s="120" t="s">
        <v>594</v>
      </c>
      <c r="H40" s="152">
        <v>1.4200000000000001E-2</v>
      </c>
      <c r="K40"/>
      <c r="L40"/>
      <c r="M40"/>
      <c r="N40"/>
      <c r="O40"/>
      <c r="P40"/>
    </row>
    <row r="41" spans="1:16" s="16" customFormat="1">
      <c r="A41" s="8">
        <v>1.25</v>
      </c>
      <c r="B41" s="8">
        <v>1.4999990000000001</v>
      </c>
      <c r="C41" s="120" t="s">
        <v>584</v>
      </c>
      <c r="D41" s="152">
        <f t="shared" si="0"/>
        <v>0.1157</v>
      </c>
      <c r="G41" s="120" t="s">
        <v>593</v>
      </c>
      <c r="H41" s="152">
        <v>1.6199999999999999E-2</v>
      </c>
      <c r="K41"/>
      <c r="L41"/>
      <c r="M41"/>
      <c r="N41"/>
      <c r="O41"/>
      <c r="P41"/>
    </row>
    <row r="42" spans="1:16" s="16" customFormat="1">
      <c r="A42" s="8">
        <v>1.5</v>
      </c>
      <c r="B42" s="8">
        <v>1.9999990000000001</v>
      </c>
      <c r="C42" s="120" t="s">
        <v>587</v>
      </c>
      <c r="D42" s="152">
        <f t="shared" si="0"/>
        <v>7.3700000000000002E-2</v>
      </c>
      <c r="G42" s="120" t="s">
        <v>596</v>
      </c>
      <c r="H42" s="152">
        <v>8.5000000000000006E-3</v>
      </c>
      <c r="K42"/>
      <c r="L42"/>
      <c r="M42"/>
      <c r="N42"/>
      <c r="O42"/>
      <c r="P42"/>
    </row>
    <row r="43" spans="1:16" s="16" customFormat="1">
      <c r="A43" s="8">
        <v>2</v>
      </c>
      <c r="B43" s="8">
        <v>2.4999989999999999</v>
      </c>
      <c r="C43" s="120" t="s">
        <v>588</v>
      </c>
      <c r="D43" s="152">
        <f t="shared" si="0"/>
        <v>5.2600000000000001E-2</v>
      </c>
      <c r="G43" s="120" t="s">
        <v>597</v>
      </c>
      <c r="H43" s="152">
        <v>6.8999999999999999E-3</v>
      </c>
      <c r="K43"/>
      <c r="L43"/>
      <c r="M43"/>
      <c r="N43"/>
      <c r="O43"/>
      <c r="P43"/>
    </row>
    <row r="44" spans="1:16" s="16" customFormat="1">
      <c r="A44" s="8">
        <v>2.5</v>
      </c>
      <c r="B44" s="8">
        <v>2.9999989999999999</v>
      </c>
      <c r="C44" s="120" t="s">
        <v>589</v>
      </c>
      <c r="D44" s="152">
        <f t="shared" si="0"/>
        <v>4.5499999999999999E-2</v>
      </c>
      <c r="G44" s="120" t="s">
        <v>589</v>
      </c>
      <c r="H44" s="152">
        <v>4.5499999999999999E-2</v>
      </c>
      <c r="K44"/>
      <c r="L44"/>
      <c r="M44"/>
      <c r="N44"/>
      <c r="O44"/>
      <c r="P44"/>
    </row>
    <row r="45" spans="1:16" s="16" customFormat="1">
      <c r="A45" s="8">
        <v>3</v>
      </c>
      <c r="B45" s="8">
        <v>3.4999989999999999</v>
      </c>
      <c r="C45" s="120" t="s">
        <v>590</v>
      </c>
      <c r="D45" s="152">
        <f t="shared" si="0"/>
        <v>3.1300000000000001E-2</v>
      </c>
      <c r="G45" s="120" t="s">
        <v>588</v>
      </c>
      <c r="H45" s="152">
        <v>5.2600000000000001E-2</v>
      </c>
      <c r="K45"/>
      <c r="L45"/>
      <c r="M45"/>
      <c r="N45"/>
      <c r="O45"/>
      <c r="P45"/>
    </row>
    <row r="46" spans="1:16" s="16" customFormat="1">
      <c r="A46" s="8">
        <v>3.5</v>
      </c>
      <c r="B46" s="8">
        <v>3.9999999000000002</v>
      </c>
      <c r="C46" s="120" t="s">
        <v>591</v>
      </c>
      <c r="D46" s="152">
        <f t="shared" si="0"/>
        <v>2.4199999999999999E-2</v>
      </c>
      <c r="G46" s="120" t="s">
        <v>587</v>
      </c>
      <c r="H46" s="152">
        <v>7.3700000000000002E-2</v>
      </c>
      <c r="K46"/>
      <c r="L46"/>
      <c r="M46"/>
      <c r="N46"/>
      <c r="O46"/>
      <c r="P46"/>
    </row>
    <row r="47" spans="1:16">
      <c r="A47" s="8">
        <v>4</v>
      </c>
      <c r="B47" s="8">
        <v>4.4999989999999999</v>
      </c>
      <c r="C47" s="120" t="s">
        <v>592</v>
      </c>
      <c r="D47" s="152">
        <f t="shared" si="0"/>
        <v>0.02</v>
      </c>
      <c r="E47" s="16"/>
      <c r="F47" s="16"/>
      <c r="G47" s="120" t="s">
        <v>591</v>
      </c>
      <c r="H47" s="152">
        <v>2.4199999999999999E-2</v>
      </c>
      <c r="I47" s="16"/>
      <c r="J47" s="16"/>
    </row>
    <row r="48" spans="1:16">
      <c r="A48" s="8">
        <v>4.5</v>
      </c>
      <c r="B48" s="8">
        <v>5.9999989999999999</v>
      </c>
      <c r="C48" s="120" t="s">
        <v>593</v>
      </c>
      <c r="D48" s="152">
        <f t="shared" si="0"/>
        <v>1.6199999999999999E-2</v>
      </c>
      <c r="E48" s="16"/>
      <c r="F48" s="16"/>
      <c r="G48" s="120" t="s">
        <v>590</v>
      </c>
      <c r="H48" s="152">
        <v>3.1300000000000001E-2</v>
      </c>
      <c r="I48" s="16"/>
      <c r="J48" s="16"/>
    </row>
    <row r="49" spans="1:10">
      <c r="A49" s="8">
        <v>6</v>
      </c>
      <c r="B49" s="8">
        <v>7.4999989999999999</v>
      </c>
      <c r="C49" s="120" t="s">
        <v>594</v>
      </c>
      <c r="D49" s="152">
        <f t="shared" si="0"/>
        <v>1.4200000000000001E-2</v>
      </c>
      <c r="E49" s="16"/>
      <c r="F49" s="16"/>
      <c r="G49" s="120" t="s">
        <v>592</v>
      </c>
      <c r="H49" s="152">
        <v>0.02</v>
      </c>
      <c r="I49" s="16"/>
      <c r="J49" s="16"/>
    </row>
    <row r="50" spans="1:10">
      <c r="A50" s="8">
        <v>7.5</v>
      </c>
      <c r="B50" s="8">
        <v>9.4999990000000007</v>
      </c>
      <c r="C50" s="120" t="s">
        <v>595</v>
      </c>
      <c r="D50" s="152">
        <f t="shared" si="0"/>
        <v>1.23E-2</v>
      </c>
      <c r="E50" s="16"/>
      <c r="F50" s="16"/>
      <c r="G50" s="120" t="s">
        <v>584</v>
      </c>
      <c r="H50" s="152">
        <v>0.17499999999999999</v>
      </c>
      <c r="I50" s="16"/>
      <c r="J50" s="16"/>
    </row>
    <row r="51" spans="1:10">
      <c r="A51" s="8">
        <v>9.5</v>
      </c>
      <c r="B51" s="8">
        <v>12.499999000000001</v>
      </c>
      <c r="C51" s="120" t="s">
        <v>596</v>
      </c>
      <c r="D51" s="152">
        <f t="shared" si="0"/>
        <v>8.5000000000000006E-3</v>
      </c>
      <c r="F51" s="16"/>
      <c r="G51" s="120" t="s">
        <v>585</v>
      </c>
      <c r="H51" s="152">
        <v>0.1578</v>
      </c>
      <c r="I51" s="16"/>
      <c r="J51" s="16"/>
    </row>
    <row r="52" spans="1:10">
      <c r="A52" s="8">
        <v>12.5</v>
      </c>
      <c r="B52" s="8">
        <v>100000</v>
      </c>
      <c r="C52" s="120" t="s">
        <v>597</v>
      </c>
      <c r="D52" s="152">
        <f t="shared" si="0"/>
        <v>6.8999999999999999E-3</v>
      </c>
      <c r="G52" s="120" t="s">
        <v>586</v>
      </c>
      <c r="H52" s="152">
        <v>0.1157</v>
      </c>
    </row>
    <row r="53" spans="1:10">
      <c r="G53" s="120" t="s">
        <v>583</v>
      </c>
      <c r="H53" s="152">
        <v>0.2</v>
      </c>
    </row>
  </sheetData>
  <sortState xmlns:xlrd2="http://schemas.microsoft.com/office/spreadsheetml/2017/richdata2" ref="G39:H53">
    <sortCondition ref="G39:G53"/>
  </sortState>
  <phoneticPr fontId="22"/>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95"/>
  <sheetViews>
    <sheetView topLeftCell="A77" workbookViewId="0">
      <selection sqref="A1:XFD95"/>
    </sheetView>
  </sheetViews>
  <sheetFormatPr baseColWidth="10" defaultRowHeight="14"/>
  <cols>
    <col min="1" max="1" width="17.42578125" bestFit="1" customWidth="1"/>
    <col min="2" max="2" width="9.85546875" bestFit="1" customWidth="1"/>
    <col min="3" max="3" width="8.140625" bestFit="1" customWidth="1"/>
    <col min="4" max="4" width="10.140625" bestFit="1" customWidth="1"/>
    <col min="5" max="5" width="10.7109375" customWidth="1"/>
    <col min="6" max="6" width="9" bestFit="1" customWidth="1"/>
    <col min="7" max="7" width="9.85546875" bestFit="1" customWidth="1"/>
    <col min="8" max="8" width="19.28515625" bestFit="1" customWidth="1"/>
    <col min="9" max="23" width="9.28515625"/>
  </cols>
  <sheetData>
    <row r="1" spans="1:27" s="257" customFormat="1" ht="84">
      <c r="A1" s="235" t="s">
        <v>170</v>
      </c>
      <c r="B1" s="124" t="s">
        <v>69</v>
      </c>
      <c r="C1" s="236" t="s">
        <v>445</v>
      </c>
      <c r="D1" s="236" t="s">
        <v>747</v>
      </c>
      <c r="E1" s="236" t="s">
        <v>446</v>
      </c>
      <c r="F1" s="124" t="s">
        <v>447</v>
      </c>
      <c r="G1" s="124" t="s">
        <v>343</v>
      </c>
      <c r="H1" s="124" t="s">
        <v>448</v>
      </c>
      <c r="I1" s="124" t="s">
        <v>449</v>
      </c>
      <c r="J1" s="124" t="s">
        <v>450</v>
      </c>
      <c r="K1" s="124" t="s">
        <v>451</v>
      </c>
      <c r="L1" s="124" t="s">
        <v>122</v>
      </c>
      <c r="M1" s="124" t="s">
        <v>452</v>
      </c>
      <c r="N1" s="237" t="s">
        <v>132</v>
      </c>
      <c r="O1" s="124" t="s">
        <v>332</v>
      </c>
      <c r="P1" s="124" t="s">
        <v>453</v>
      </c>
      <c r="Q1" s="124" t="s">
        <v>454</v>
      </c>
      <c r="R1" s="124" t="s">
        <v>455</v>
      </c>
      <c r="S1" s="124" t="s">
        <v>456</v>
      </c>
      <c r="T1" s="124" t="s">
        <v>625</v>
      </c>
      <c r="U1" s="124" t="s">
        <v>626</v>
      </c>
      <c r="V1" s="124" t="s">
        <v>627</v>
      </c>
      <c r="W1" s="124" t="s">
        <v>27</v>
      </c>
      <c r="X1" s="235" t="s">
        <v>628</v>
      </c>
      <c r="Y1" s="235" t="s">
        <v>629</v>
      </c>
      <c r="Z1" s="235" t="s">
        <v>630</v>
      </c>
      <c r="AA1" s="124" t="s">
        <v>774</v>
      </c>
    </row>
    <row r="2" spans="1:27">
      <c r="A2" s="178" t="s">
        <v>171</v>
      </c>
      <c r="B2" s="179">
        <f>'[1]Summary Sheet for valn'!B2</f>
        <v>58</v>
      </c>
      <c r="C2" s="180">
        <f>'[1]Summary sheet uValue'!C11</f>
        <v>0.18166952380952381</v>
      </c>
      <c r="D2" s="180">
        <f>[1]Margins!F3</f>
        <v>0.10617104930138777</v>
      </c>
      <c r="E2" s="180">
        <f>'[1]Return on capital'!H2</f>
        <v>0.36620071377578411</v>
      </c>
      <c r="F2" s="180">
        <f>'[1]Tax rates'!H3</f>
        <v>0.24712867867566909</v>
      </c>
      <c r="G2" s="181">
        <f>[1]Beta!H5</f>
        <v>1.3458926691301203</v>
      </c>
      <c r="H2" s="181">
        <f>[1]Beta!C5</f>
        <v>1.6317380595347237</v>
      </c>
      <c r="I2" s="180">
        <f>[1]WACC!D13</f>
        <v>0.13572524073636261</v>
      </c>
      <c r="J2" s="180">
        <f>[1]optvar!C7</f>
        <v>0.52722114455333013</v>
      </c>
      <c r="K2" s="180">
        <f>[1]WACC!G13</f>
        <v>5.8800000000000005E-2</v>
      </c>
      <c r="L2" s="180">
        <f>'[1]Debt fundamentals'!F2</f>
        <v>0.31029224250137583</v>
      </c>
      <c r="M2" s="180">
        <f>[1]WACC!K13</f>
        <v>0.10729463931854823</v>
      </c>
      <c r="N2" s="181">
        <f>'[1]Cap Ex'!J2</f>
        <v>3.5126083048469772</v>
      </c>
      <c r="O2" s="181">
        <f>[1]PS!E2</f>
        <v>1.9623441180972629</v>
      </c>
      <c r="P2" s="181">
        <f>[1]EVEBITDA!D3</f>
        <v>10.360206985338735</v>
      </c>
      <c r="Q2" s="181">
        <f>[1]EVEBITDA!E3</f>
        <v>17.033233750199781</v>
      </c>
      <c r="R2" s="181">
        <f>[1]PBV!C2</f>
        <v>4.5860864384363973</v>
      </c>
      <c r="S2" s="181">
        <f>[1]PE!E2</f>
        <v>13.993381837579332</v>
      </c>
      <c r="T2" s="180">
        <f>'[1]Working capital'!F2</f>
        <v>3.141449120879309E-2</v>
      </c>
      <c r="U2" s="180">
        <f>'[1]Summary sheet uValue'!G11</f>
        <v>3.5092407254195046E-2</v>
      </c>
      <c r="V2" s="180">
        <f>'[1]Cap Ex'!H2</f>
        <v>1.7750375959909692E-2</v>
      </c>
      <c r="W2" s="180">
        <f>[1]fundgrEB!D2</f>
        <v>0.55526669348402391</v>
      </c>
      <c r="X2" s="180">
        <f>[1]Fundgr!C2</f>
        <v>0.13567415534535524</v>
      </c>
      <c r="Y2" s="180">
        <f>'[1]Dividend fundamentals'!E2</f>
        <v>0.67633368355344103</v>
      </c>
      <c r="Z2" s="180">
        <f>1-[1]Fundgr!D2</f>
        <v>0.67633368355344103</v>
      </c>
      <c r="AA2" s="182">
        <f>[1]Margins!J3</f>
        <v>0.11135468081206297</v>
      </c>
    </row>
    <row r="3" spans="1:27">
      <c r="A3" s="178" t="str">
        <f>'[1]Master data'!A3</f>
        <v>Aerospace/Defense</v>
      </c>
      <c r="B3" s="179">
        <f>'[1]Master data'!B3</f>
        <v>77</v>
      </c>
      <c r="C3" s="180">
        <f>'[1]Hist Growth'!D3</f>
        <v>3.9922558139534867E-2</v>
      </c>
      <c r="D3" s="180">
        <f>[1]Margins!F4</f>
        <v>8.6354038327109944E-2</v>
      </c>
      <c r="E3" s="180">
        <f>'[1]Return on capital'!H3</f>
        <v>0.15249479884885908</v>
      </c>
      <c r="F3" s="180">
        <f>'[1]Tax rates'!H4</f>
        <v>0.16514709217792431</v>
      </c>
      <c r="G3" s="181">
        <f>[1]Beta!H6</f>
        <v>1.2292962090923658</v>
      </c>
      <c r="H3" s="181">
        <f>[1]Beta!C6</f>
        <v>1.4141822802591859</v>
      </c>
      <c r="I3" s="180">
        <f>[1]WACC!D14</f>
        <v>0.12280242744739564</v>
      </c>
      <c r="J3" s="180">
        <f>[1]optvar!C8</f>
        <v>0.3755554495377183</v>
      </c>
      <c r="K3" s="180">
        <f>[1]WACC!G14</f>
        <v>5.5E-2</v>
      </c>
      <c r="L3" s="180">
        <f>'[1]Debt fundamentals'!F3</f>
        <v>0.20670883607151089</v>
      </c>
      <c r="M3" s="180">
        <f>[1]WACC!K14</f>
        <v>0.10594482009093814</v>
      </c>
      <c r="N3" s="181">
        <f>'[1]Cap Ex'!J3</f>
        <v>1.8653814845726677</v>
      </c>
      <c r="O3" s="181">
        <f>[1]PS!E3</f>
        <v>2.5451075841894681</v>
      </c>
      <c r="P3" s="181">
        <f>[1]EVEBITDA!D4</f>
        <v>14.590340622882026</v>
      </c>
      <c r="Q3" s="181">
        <f>[1]EVEBITDA!E4</f>
        <v>23.976115141646229</v>
      </c>
      <c r="R3" s="181">
        <f>[1]PBV!C3</f>
        <v>4.9344353649769275</v>
      </c>
      <c r="S3" s="181">
        <f>[1]PE!E3</f>
        <v>53.685999313498989</v>
      </c>
      <c r="T3" s="180">
        <f>'[1]Working capital'!F3</f>
        <v>0.46912992617043536</v>
      </c>
      <c r="U3" s="180">
        <f>'[1]Summary sheet uValue'!G12</f>
        <v>2.9131497036001801E-2</v>
      </c>
      <c r="V3" s="180">
        <f>'[1]Cap Ex'!H3</f>
        <v>6.2769383959631062E-3</v>
      </c>
      <c r="W3" s="180">
        <f>[1]fundgrEB!D3</f>
        <v>0.32747182434374533</v>
      </c>
      <c r="X3" s="180">
        <f>[1]Fundgr!C3</f>
        <v>9.8725880826047718E-2</v>
      </c>
      <c r="Y3" s="180">
        <f>'[1]Dividend fundamentals'!E3</f>
        <v>0.70696836686859155</v>
      </c>
      <c r="Z3" s="180">
        <f>1-[1]Fundgr!D3</f>
        <v>0.70696836686859155</v>
      </c>
      <c r="AA3" s="182">
        <f>[1]Margins!J4</f>
        <v>8.9215313858418674E-2</v>
      </c>
    </row>
    <row r="4" spans="1:27">
      <c r="A4" s="178" t="str">
        <f>'[1]Master data'!A4</f>
        <v>Air Transport</v>
      </c>
      <c r="B4" s="179">
        <f>'[1]Master data'!B4</f>
        <v>21</v>
      </c>
      <c r="C4" s="180">
        <f>'[1]Hist Growth'!D4</f>
        <v>2.2412499999999995E-2</v>
      </c>
      <c r="D4" s="180">
        <f>[1]Margins!F5</f>
        <v>2.1124546744911411E-2</v>
      </c>
      <c r="E4" s="180">
        <f>'[1]Return on capital'!H4</f>
        <v>3.075109258968068E-2</v>
      </c>
      <c r="F4" s="180">
        <f>'[1]Tax rates'!H5</f>
        <v>0.35993056432962162</v>
      </c>
      <c r="G4" s="181">
        <f>[1]Beta!H7</f>
        <v>0.69399800343932827</v>
      </c>
      <c r="H4" s="181">
        <f>[1]Beta!C7</f>
        <v>1.4159650876966507</v>
      </c>
      <c r="I4" s="180">
        <f>[1]WACC!D15</f>
        <v>0.12290832620918106</v>
      </c>
      <c r="J4" s="180">
        <f>[1]optvar!C9</f>
        <v>0.37727498727802966</v>
      </c>
      <c r="K4" s="180">
        <f>[1]WACC!G15</f>
        <v>5.5E-2</v>
      </c>
      <c r="L4" s="180">
        <f>'[1]Debt fundamentals'!F4</f>
        <v>0.65075795959710081</v>
      </c>
      <c r="M4" s="180">
        <f>[1]WACC!K15</f>
        <v>6.9768520461179928E-2</v>
      </c>
      <c r="N4" s="181">
        <f>'[1]Cap Ex'!J4</f>
        <v>1.601522515617954</v>
      </c>
      <c r="O4" s="181">
        <f>[1]PS!E4</f>
        <v>1.0151710556389202</v>
      </c>
      <c r="P4" s="181">
        <f>[1]EVEBITDA!D5</f>
        <v>9.3937280818568443</v>
      </c>
      <c r="Q4" s="181">
        <f>[1]EVEBITDA!E5</f>
        <v>47.450143637072152</v>
      </c>
      <c r="R4" s="181">
        <f>[1]PBV!C4</f>
        <v>2.7353414818155688</v>
      </c>
      <c r="S4" s="181">
        <f>[1]PE!E4</f>
        <v>71.793907476752722</v>
      </c>
      <c r="T4" s="180">
        <f>'[1]Working capital'!F4</f>
        <v>1.0475454736403853E-2</v>
      </c>
      <c r="U4" s="180">
        <f>'[1]Summary sheet uValue'!G13</f>
        <v>9.1652642418683206E-2</v>
      </c>
      <c r="V4" s="180">
        <f>'[1]Cap Ex'!H4</f>
        <v>4.0286206800687077E-2</v>
      </c>
      <c r="W4" s="180">
        <f>[1]fundgrEB!D4</f>
        <v>2.0993404736810848</v>
      </c>
      <c r="X4" s="180">
        <f>[1]Fundgr!C4</f>
        <v>-0.11368810625736339</v>
      </c>
      <c r="Y4" s="180">
        <f>'[1]Dividend fundamentals'!E4</f>
        <v>0</v>
      </c>
      <c r="Z4" s="180">
        <f>1-[1]Fundgr!D4</f>
        <v>0</v>
      </c>
      <c r="AA4" s="182">
        <f>[1]Margins!J5</f>
        <v>2.1383591548608489E-2</v>
      </c>
    </row>
    <row r="5" spans="1:27">
      <c r="A5" s="178" t="str">
        <f>'[1]Master data'!A5</f>
        <v>Apparel</v>
      </c>
      <c r="B5" s="179">
        <f>'[1]Master data'!B5</f>
        <v>39</v>
      </c>
      <c r="C5" s="180">
        <f>'[1]Hist Growth'!D5</f>
        <v>5.8356956521739133E-2</v>
      </c>
      <c r="D5" s="180">
        <f>[1]Margins!F6</f>
        <v>0.10161425283086532</v>
      </c>
      <c r="E5" s="180">
        <f>'[1]Return on capital'!H5</f>
        <v>0.20566758390991585</v>
      </c>
      <c r="F5" s="180">
        <f>'[1]Tax rates'!H6</f>
        <v>0.20508511458335257</v>
      </c>
      <c r="G5" s="181">
        <f>[1]Beta!H8</f>
        <v>1.0163797426008965</v>
      </c>
      <c r="H5" s="181">
        <f>[1]Beta!C8</f>
        <v>1.3246974025641622</v>
      </c>
      <c r="I5" s="180">
        <f>[1]WACC!D16</f>
        <v>0.11748702571231125</v>
      </c>
      <c r="J5" s="180">
        <f>[1]optvar!C10</f>
        <v>0.38508746928890447</v>
      </c>
      <c r="K5" s="180">
        <f>[1]WACC!G16</f>
        <v>5.5E-2</v>
      </c>
      <c r="L5" s="180">
        <f>'[1]Debt fundamentals'!F5</f>
        <v>0.34024906959820889</v>
      </c>
      <c r="M5" s="180">
        <f>[1]WACC!K16</f>
        <v>9.1547448644762622E-2</v>
      </c>
      <c r="N5" s="181">
        <f>'[1]Cap Ex'!J5</f>
        <v>2.1037931987291998</v>
      </c>
      <c r="O5" s="181">
        <f>[1]PS!E5</f>
        <v>1.1592906024030611</v>
      </c>
      <c r="P5" s="181">
        <f>[1]EVEBITDA!D6</f>
        <v>7.0219998222904456</v>
      </c>
      <c r="Q5" s="181">
        <f>[1]EVEBITDA!E6</f>
        <v>10.381787550219668</v>
      </c>
      <c r="R5" s="181">
        <f>[1]PBV!C5</f>
        <v>2.4205588689707218</v>
      </c>
      <c r="S5" s="181">
        <f>[1]PE!E5</f>
        <v>13.804567941679538</v>
      </c>
      <c r="T5" s="180">
        <f>'[1]Working capital'!F5</f>
        <v>0.26207135646756324</v>
      </c>
      <c r="U5" s="180">
        <f>'[1]Summary sheet uValue'!G14</f>
        <v>2.2325046445097148E-2</v>
      </c>
      <c r="V5" s="180">
        <f>'[1]Cap Ex'!H5</f>
        <v>1.5269741052495196E-2</v>
      </c>
      <c r="W5" s="180">
        <f>[1]fundgrEB!D5</f>
        <v>1.1025108153914758</v>
      </c>
      <c r="X5" s="180">
        <f>[1]Fundgr!C5</f>
        <v>0.13522490180674987</v>
      </c>
      <c r="Y5" s="180">
        <f>'[1]Dividend fundamentals'!E5</f>
        <v>0.54315896470238101</v>
      </c>
      <c r="Z5" s="180">
        <f>1-[1]Fundgr!D5</f>
        <v>0.54315896470238101</v>
      </c>
      <c r="AA5" s="182">
        <f>[1]Margins!J6</f>
        <v>0.11113035634210841</v>
      </c>
    </row>
    <row r="6" spans="1:27">
      <c r="A6" s="178" t="str">
        <f>'[1]Master data'!A6</f>
        <v>Auto &amp; Truck</v>
      </c>
      <c r="B6" s="179">
        <f>'[1]Master data'!B6</f>
        <v>31</v>
      </c>
      <c r="C6" s="180">
        <f>'[1]Hist Growth'!D6</f>
        <v>0.28059499999999998</v>
      </c>
      <c r="D6" s="180">
        <f>[1]Margins!F7</f>
        <v>6.4325959106650246E-2</v>
      </c>
      <c r="E6" s="180">
        <f>'[1]Return on capital'!H6</f>
        <v>6.4613470545131613E-2</v>
      </c>
      <c r="F6" s="180">
        <f>'[1]Tax rates'!H7</f>
        <v>0.10579107985442861</v>
      </c>
      <c r="G6" s="181">
        <f>[1]Beta!H9</f>
        <v>1.2255318343171395</v>
      </c>
      <c r="H6" s="181">
        <f>[1]Beta!C9</f>
        <v>1.5405976750533805</v>
      </c>
      <c r="I6" s="180">
        <f>[1]WACC!D17</f>
        <v>0.13031150189817081</v>
      </c>
      <c r="J6" s="180">
        <f>[1]optvar!C11</f>
        <v>0.52614124875248369</v>
      </c>
      <c r="K6" s="180">
        <f>[1]WACC!G17</f>
        <v>5.8800000000000005E-2</v>
      </c>
      <c r="L6" s="180">
        <f>'[1]Debt fundamentals'!F6</f>
        <v>0.33418107062895108</v>
      </c>
      <c r="M6" s="180">
        <f>[1]WACC!K17</f>
        <v>0.10150124989331025</v>
      </c>
      <c r="N6" s="181">
        <f>'[1]Cap Ex'!J6</f>
        <v>0.94528664863581657</v>
      </c>
      <c r="O6" s="181">
        <f>[1]PS!E6</f>
        <v>1.8115110523190732</v>
      </c>
      <c r="P6" s="181">
        <f>[1]EVEBITDA!D7</f>
        <v>12.745223056693563</v>
      </c>
      <c r="Q6" s="181">
        <f>[1]EVEBITDA!E7</f>
        <v>27.015469059860539</v>
      </c>
      <c r="R6" s="181">
        <f>[1]PBV!C6</f>
        <v>2.9173208877532226</v>
      </c>
      <c r="S6" s="181">
        <f>[1]PE!E6</f>
        <v>10.303473979252582</v>
      </c>
      <c r="T6" s="180">
        <f>'[1]Working capital'!F6</f>
        <v>-2.638232462945013E-3</v>
      </c>
      <c r="U6" s="180">
        <f>'[1]Summary sheet uValue'!G15</f>
        <v>8.3226546873060775E-2</v>
      </c>
      <c r="V6" s="180">
        <f>'[1]Cap Ex'!H6</f>
        <v>4.6343953094668419E-2</v>
      </c>
      <c r="W6" s="180">
        <f>[1]fundgrEB!D6</f>
        <v>0.89083027454938746</v>
      </c>
      <c r="X6" s="180">
        <f>[1]Fundgr!C6</f>
        <v>0.15677154224933043</v>
      </c>
      <c r="Y6" s="180">
        <f>'[1]Dividend fundamentals'!E6</f>
        <v>0.10549811796720597</v>
      </c>
      <c r="Z6" s="180">
        <f>1-[1]Fundgr!D6</f>
        <v>0.10549811796720598</v>
      </c>
      <c r="AA6" s="182">
        <f>[1]Margins!J7</f>
        <v>7.02992355351022E-2</v>
      </c>
    </row>
    <row r="7" spans="1:27">
      <c r="A7" s="178" t="str">
        <f>'[1]Master data'!A7</f>
        <v>Auto Parts</v>
      </c>
      <c r="B7" s="179">
        <f>'[1]Master data'!B7</f>
        <v>37</v>
      </c>
      <c r="C7" s="180">
        <f>'[1]Hist Growth'!D7</f>
        <v>7.0743333333333325E-2</v>
      </c>
      <c r="D7" s="180">
        <f>[1]Margins!F8</f>
        <v>5.0643543200864859E-2</v>
      </c>
      <c r="E7" s="180">
        <f>'[1]Return on capital'!H7</f>
        <v>0.10259465039163591</v>
      </c>
      <c r="F7" s="180">
        <f>'[1]Tax rates'!H8</f>
        <v>0.21559462219926051</v>
      </c>
      <c r="G7" s="181">
        <f>[1]Beta!H10</f>
        <v>1.202436458457679</v>
      </c>
      <c r="H7" s="181">
        <f>[1]Beta!C10</f>
        <v>1.4739918130238336</v>
      </c>
      <c r="I7" s="180">
        <f>[1]WACC!D18</f>
        <v>0.12635511369361574</v>
      </c>
      <c r="J7" s="180">
        <f>[1]optvar!C12</f>
        <v>0.39519394771296495</v>
      </c>
      <c r="K7" s="180">
        <f>[1]WACC!G18</f>
        <v>5.5E-2</v>
      </c>
      <c r="L7" s="180">
        <f>'[1]Debt fundamentals'!F7</f>
        <v>0.29901008239034443</v>
      </c>
      <c r="M7" s="180">
        <f>[1]WACC!K18</f>
        <v>0.10090782663624806</v>
      </c>
      <c r="N7" s="181">
        <f>'[1]Cap Ex'!J7</f>
        <v>1.9747050886050657</v>
      </c>
      <c r="O7" s="181">
        <f>[1]PS!E7</f>
        <v>0.82277242784956561</v>
      </c>
      <c r="P7" s="181">
        <f>[1]EVEBITDA!D8</f>
        <v>7.1796271178219921</v>
      </c>
      <c r="Q7" s="181">
        <f>[1]EVEBITDA!E8</f>
        <v>14.540547974540397</v>
      </c>
      <c r="R7" s="181">
        <f>[1]PBV!C7</f>
        <v>1.8900634744418994</v>
      </c>
      <c r="S7" s="181">
        <f>[1]PE!E7</f>
        <v>31.628193367611757</v>
      </c>
      <c r="T7" s="180">
        <f>'[1]Working capital'!F7</f>
        <v>0.16055172230589412</v>
      </c>
      <c r="U7" s="180">
        <f>'[1]Summary sheet uValue'!G16</f>
        <v>3.6131129477856731E-2</v>
      </c>
      <c r="V7" s="180">
        <f>'[1]Cap Ex'!H7</f>
        <v>3.6695997763959105E-2</v>
      </c>
      <c r="W7" s="180">
        <f>[1]fundgrEB!D7</f>
        <v>1.6270607086056388</v>
      </c>
      <c r="X7" s="180">
        <f>[1]Fundgr!C7</f>
        <v>7.0338780156085273E-2</v>
      </c>
      <c r="Y7" s="180">
        <f>'[1]Dividend fundamentals'!E7</f>
        <v>0.37139521238957468</v>
      </c>
      <c r="Z7" s="180">
        <f>1-[1]Fundgr!D7</f>
        <v>0.37139521238957474</v>
      </c>
      <c r="AA7" s="182">
        <f>[1]Margins!J8</f>
        <v>5.6777561885897401E-2</v>
      </c>
    </row>
    <row r="8" spans="1:27">
      <c r="A8" s="178" t="str">
        <f>'[1]Master data'!A8</f>
        <v>Bank (Money Center)</v>
      </c>
      <c r="B8" s="179">
        <f>'[1]Master data'!B8</f>
        <v>7</v>
      </c>
      <c r="C8" s="180">
        <f>'[1]Hist Growth'!D8</f>
        <v>1.9400000000000001E-2</v>
      </c>
      <c r="D8" s="180">
        <f>[1]Margins!F9</f>
        <v>0</v>
      </c>
      <c r="E8" s="180">
        <f>'[1]Return on capital'!H8</f>
        <v>2.6445657070231255E-4</v>
      </c>
      <c r="F8" s="180">
        <f>'[1]Tax rates'!H9</f>
        <v>0.17163347967737153</v>
      </c>
      <c r="G8" s="181">
        <f>[1]Beta!H11</f>
        <v>0.73934143059161173</v>
      </c>
      <c r="H8" s="181">
        <f>[1]Beta!C11</f>
        <v>1.0801015876287672</v>
      </c>
      <c r="I8" s="180">
        <f>[1]WACC!D19</f>
        <v>0.10295803430514877</v>
      </c>
      <c r="J8" s="180">
        <f>[1]optvar!C13</f>
        <v>0.19594323414619666</v>
      </c>
      <c r="K8" s="180">
        <f>[1]WACC!G19</f>
        <v>4.7300000000000002E-2</v>
      </c>
      <c r="L8" s="180">
        <f>'[1]Debt fundamentals'!F8</f>
        <v>0.683929164378137</v>
      </c>
      <c r="M8" s="180">
        <f>[1]WACC!K19</f>
        <v>5.6804419043127219E-2</v>
      </c>
      <c r="N8" s="181">
        <f>'[1]Cap Ex'!J8</f>
        <v>0.31756087167554575</v>
      </c>
      <c r="O8" s="181">
        <f>[1]PS!E8</f>
        <v>4.4949345620830741</v>
      </c>
      <c r="P8" s="181" t="str">
        <f>[1]EVEBITDA!D9</f>
        <v>NA</v>
      </c>
      <c r="Q8" s="181" t="str">
        <f>[1]EVEBITDA!E9</f>
        <v>NA</v>
      </c>
      <c r="R8" s="181">
        <f>[1]PBV!C8</f>
        <v>0.98755539941078185</v>
      </c>
      <c r="S8" s="181">
        <f>[1]PE!E8</f>
        <v>9.5165439103276555</v>
      </c>
      <c r="T8" s="180" t="str">
        <f>'[1]Working capital'!F8</f>
        <v>NA</v>
      </c>
      <c r="U8" s="180">
        <f>'[1]Summary sheet uValue'!G17</f>
        <v>1.3070339707981026E-2</v>
      </c>
      <c r="V8" s="180">
        <f>'[1]Cap Ex'!H8</f>
        <v>1.3070339707981026E-2</v>
      </c>
      <c r="W8" s="180">
        <f>[1]fundgrEB!D8</f>
        <v>-128.48607336966558</v>
      </c>
      <c r="X8" s="180">
        <f>[1]Fundgr!C8</f>
        <v>0.11345074325185552</v>
      </c>
      <c r="Y8" s="180">
        <f>'[1]Dividend fundamentals'!E8</f>
        <v>0.2836234354829657</v>
      </c>
      <c r="Z8" s="180">
        <f>1-[1]Fundgr!D8</f>
        <v>0.28362343548296565</v>
      </c>
      <c r="AA8" s="182">
        <f>[1]Margins!J9</f>
        <v>9.9439502719975929E-4</v>
      </c>
    </row>
    <row r="9" spans="1:27">
      <c r="A9" s="178" t="str">
        <f>'[1]Master data'!A9</f>
        <v>Banks (Regional)</v>
      </c>
      <c r="B9" s="179">
        <f>'[1]Master data'!B9</f>
        <v>557</v>
      </c>
      <c r="C9" s="180">
        <f>'[1]Hist Growth'!D9</f>
        <v>0.11019711409395982</v>
      </c>
      <c r="D9" s="180">
        <f>[1]Margins!F10</f>
        <v>2.6926335147713589E-8</v>
      </c>
      <c r="E9" s="180">
        <f>'[1]Return on capital'!H9</f>
        <v>-3.6811631590712022E-4</v>
      </c>
      <c r="F9" s="180">
        <f>'[1]Tax rates'!H10</f>
        <v>0.21054765923481941</v>
      </c>
      <c r="G9" s="181">
        <f>[1]Beta!H12</f>
        <v>0.41298063839707061</v>
      </c>
      <c r="H9" s="181">
        <f>[1]Beta!C12</f>
        <v>0.50487423475647786</v>
      </c>
      <c r="I9" s="180">
        <f>[1]WACC!D20</f>
        <v>6.8789529544534794E-2</v>
      </c>
      <c r="J9" s="180">
        <f>[1]optvar!C14</f>
        <v>0.16758082918349013</v>
      </c>
      <c r="K9" s="180">
        <f>[1]WACC!G20</f>
        <v>4.7300000000000002E-2</v>
      </c>
      <c r="L9" s="180">
        <f>'[1]Debt fundamentals'!F9</f>
        <v>0.3925396989484301</v>
      </c>
      <c r="M9" s="180">
        <f>[1]WACC!K20</f>
        <v>5.5712254146514525E-2</v>
      </c>
      <c r="N9" s="181">
        <f>'[1]Cap Ex'!J9</f>
        <v>0.46900063005241044</v>
      </c>
      <c r="O9" s="181">
        <f>[1]PS!E9</f>
        <v>4.3436213032827986</v>
      </c>
      <c r="P9" s="181" t="str">
        <f>[1]EVEBITDA!D10</f>
        <v>NA</v>
      </c>
      <c r="Q9" s="181" t="str">
        <f>[1]EVEBITDA!E10</f>
        <v>NA</v>
      </c>
      <c r="R9" s="181">
        <f>[1]PBV!C9</f>
        <v>1.2366998102860649</v>
      </c>
      <c r="S9" s="181">
        <f>[1]PE!E9</f>
        <v>24.601279933873428</v>
      </c>
      <c r="T9" s="180" t="str">
        <f>'[1]Working capital'!F9</f>
        <v>NA</v>
      </c>
      <c r="U9" s="180">
        <f>'[1]Summary sheet uValue'!G18</f>
        <v>2.9363729443897247E-2</v>
      </c>
      <c r="V9" s="180">
        <f>'[1]Cap Ex'!H9</f>
        <v>-4.3451691210799066E-2</v>
      </c>
      <c r="W9" s="180" t="str">
        <f>[1]fundgrEB!D9</f>
        <v>NA</v>
      </c>
      <c r="X9" s="180">
        <f>[1]Fundgr!C9</f>
        <v>0.11799058812595946</v>
      </c>
      <c r="Y9" s="180">
        <f>'[1]Dividend fundamentals'!E9</f>
        <v>0.29107212625014139</v>
      </c>
      <c r="Z9" s="180">
        <f>1-[1]Fundgr!D9</f>
        <v>0.29107212625014145</v>
      </c>
      <c r="AA9" s="182">
        <f>[1]Margins!J10</f>
        <v>-9.6707771559149567E-4</v>
      </c>
    </row>
    <row r="10" spans="1:27">
      <c r="A10" s="178" t="str">
        <f>'[1]Master data'!A10</f>
        <v>Beverage (Alcoholic)</v>
      </c>
      <c r="B10" s="179">
        <f>'[1]Master data'!B10</f>
        <v>23</v>
      </c>
      <c r="C10" s="180">
        <f>'[1]Hist Growth'!D10</f>
        <v>0.12543749999999998</v>
      </c>
      <c r="D10" s="180">
        <f>[1]Margins!F11</f>
        <v>0.20062785390172486</v>
      </c>
      <c r="E10" s="180">
        <f>'[1]Return on capital'!H10</f>
        <v>0.14657661188814805</v>
      </c>
      <c r="F10" s="180">
        <f>'[1]Tax rates'!H11</f>
        <v>0.34926041014564846</v>
      </c>
      <c r="G10" s="181">
        <f>[1]Beta!H13</f>
        <v>0.88078229176337852</v>
      </c>
      <c r="H10" s="181">
        <f>[1]Beta!C13</f>
        <v>1.0129742331996445</v>
      </c>
      <c r="I10" s="180">
        <f>[1]WACC!D21</f>
        <v>9.8970669452058888E-2</v>
      </c>
      <c r="J10" s="180">
        <f>[1]optvar!C15</f>
        <v>0.49874676442989341</v>
      </c>
      <c r="K10" s="180">
        <f>[1]WACC!G21</f>
        <v>5.5E-2</v>
      </c>
      <c r="L10" s="180">
        <f>'[1]Debt fundamentals'!F10</f>
        <v>0.18639448485009497</v>
      </c>
      <c r="M10" s="180">
        <f>[1]WACC!K21</f>
        <v>8.8211855004339756E-2</v>
      </c>
      <c r="N10" s="181">
        <f>'[1]Cap Ex'!J10</f>
        <v>0.80200007324657852</v>
      </c>
      <c r="O10" s="181">
        <f>[1]PS!E10</f>
        <v>4.0713428168470944</v>
      </c>
      <c r="P10" s="181">
        <f>[1]EVEBITDA!D11</f>
        <v>15.905118508516384</v>
      </c>
      <c r="Q10" s="181">
        <f>[1]EVEBITDA!E11</f>
        <v>20.151879327037321</v>
      </c>
      <c r="R10" s="181">
        <f>[1]PBV!C10</f>
        <v>3.1924325323981106</v>
      </c>
      <c r="S10" s="181">
        <f>[1]PE!E10</f>
        <v>111.50158955717302</v>
      </c>
      <c r="T10" s="180">
        <f>'[1]Working capital'!F10</f>
        <v>0.15335977242937937</v>
      </c>
      <c r="U10" s="180">
        <f>'[1]Summary sheet uValue'!G19</f>
        <v>7.8763550156130638E-2</v>
      </c>
      <c r="V10" s="180">
        <f>'[1]Cap Ex'!H10</f>
        <v>5.6799689637347855E-2</v>
      </c>
      <c r="W10" s="180">
        <f>[1]fundgrEB!D10</f>
        <v>0.5682188940381574</v>
      </c>
      <c r="X10" s="180">
        <f>[1]Fundgr!C10</f>
        <v>5.2846235851230244E-2</v>
      </c>
      <c r="Y10" s="180">
        <f>'[1]Dividend fundamentals'!E10</f>
        <v>0.79003164852109986</v>
      </c>
      <c r="Z10" s="180">
        <f>1-[1]Fundgr!D10</f>
        <v>0.79003164852109986</v>
      </c>
      <c r="AA10" s="182">
        <f>[1]Margins!J11</f>
        <v>0.20171280627414753</v>
      </c>
    </row>
    <row r="11" spans="1:27">
      <c r="A11" s="178" t="str">
        <f>'[1]Master data'!A11</f>
        <v>Beverage (Soft)</v>
      </c>
      <c r="B11" s="179">
        <f>'[1]Master data'!B11</f>
        <v>31</v>
      </c>
      <c r="C11" s="180">
        <f>'[1]Hist Growth'!D11</f>
        <v>0.15048545454545456</v>
      </c>
      <c r="D11" s="180">
        <f>[1]Margins!F12</f>
        <v>0.19036999167153545</v>
      </c>
      <c r="E11" s="180">
        <f>'[1]Return on capital'!H11</f>
        <v>0.28719366734568558</v>
      </c>
      <c r="F11" s="180">
        <f>'[1]Tax rates'!H12</f>
        <v>0.18187508793156812</v>
      </c>
      <c r="G11" s="181">
        <f>[1]Beta!H14</f>
        <v>1.2014134916712005</v>
      </c>
      <c r="H11" s="181">
        <f>[1]Beta!C14</f>
        <v>1.3034433070435496</v>
      </c>
      <c r="I11" s="180">
        <f>[1]WACC!D22</f>
        <v>0.11622453243838685</v>
      </c>
      <c r="J11" s="180">
        <f>[1]optvar!C16</f>
        <v>0.41717146856964005</v>
      </c>
      <c r="K11" s="180">
        <f>[1]WACC!G22</f>
        <v>5.5E-2</v>
      </c>
      <c r="L11" s="180">
        <f>'[1]Debt fundamentals'!F11</f>
        <v>0.13246439822297759</v>
      </c>
      <c r="M11" s="180">
        <f>[1]WACC!K22</f>
        <v>0.10629307611688682</v>
      </c>
      <c r="N11" s="181">
        <f>'[1]Cap Ex'!J11</f>
        <v>1.6029900764895542</v>
      </c>
      <c r="O11" s="181">
        <f>[1]PS!E11</f>
        <v>4.6668573425784556</v>
      </c>
      <c r="P11" s="181">
        <f>[1]EVEBITDA!D12</f>
        <v>20.008347527759813</v>
      </c>
      <c r="Q11" s="181">
        <f>[1]EVEBITDA!E12</f>
        <v>24.137168786878842</v>
      </c>
      <c r="R11" s="181">
        <f>[1]PBV!C11</f>
        <v>8.2272736766253658</v>
      </c>
      <c r="S11" s="181">
        <f>[1]PE!E11</f>
        <v>39.552594480627498</v>
      </c>
      <c r="T11" s="180">
        <f>'[1]Working capital'!F11</f>
        <v>-9.0576564930885367E-2</v>
      </c>
      <c r="U11" s="180">
        <f>'[1]Summary sheet uValue'!G20</f>
        <v>4.6621319042533797E-2</v>
      </c>
      <c r="V11" s="180">
        <f>'[1]Cap Ex'!H11</f>
        <v>5.6771639556521265E-2</v>
      </c>
      <c r="W11" s="180">
        <f>[1]fundgrEB!D11</f>
        <v>0.29140445421199807</v>
      </c>
      <c r="X11" s="180">
        <f>[1]Fundgr!C11</f>
        <v>0.31944669288621974</v>
      </c>
      <c r="Y11" s="180">
        <f>'[1]Dividend fundamentals'!E11</f>
        <v>0.56516587527367568</v>
      </c>
      <c r="Z11" s="180">
        <f>1-[1]Fundgr!D11</f>
        <v>0.56516587527367568</v>
      </c>
      <c r="AA11" s="182">
        <f>[1]Margins!J12</f>
        <v>0.1914400730665588</v>
      </c>
    </row>
    <row r="12" spans="1:27">
      <c r="A12" s="178" t="str">
        <f>'[1]Master data'!A12</f>
        <v>Broadcasting</v>
      </c>
      <c r="B12" s="179">
        <f>'[1]Master data'!B12</f>
        <v>26</v>
      </c>
      <c r="C12" s="180">
        <f>'[1]Hist Growth'!D12</f>
        <v>0.19544111111111115</v>
      </c>
      <c r="D12" s="180">
        <f>[1]Margins!F13</f>
        <v>0.14575123466837039</v>
      </c>
      <c r="E12" s="180">
        <f>'[1]Return on capital'!H12</f>
        <v>0.13517156563045288</v>
      </c>
      <c r="F12" s="180">
        <f>'[1]Tax rates'!H13</f>
        <v>0.21951773068864888</v>
      </c>
      <c r="G12" s="181">
        <f>[1]Beta!H15</f>
        <v>0.70215995917133367</v>
      </c>
      <c r="H12" s="181">
        <f>[1]Beta!C15</f>
        <v>1.3220586425472229</v>
      </c>
      <c r="I12" s="180">
        <f>[1]WACC!D23</f>
        <v>0.11733028336730504</v>
      </c>
      <c r="J12" s="180">
        <f>[1]optvar!C17</f>
        <v>0.468984145587513</v>
      </c>
      <c r="K12" s="180">
        <f>[1]WACC!G23</f>
        <v>5.5E-2</v>
      </c>
      <c r="L12" s="180">
        <f>'[1]Debt fundamentals'!F12</f>
        <v>0.59486626883899241</v>
      </c>
      <c r="M12" s="180">
        <f>[1]WACC!K23</f>
        <v>7.2072689068383045E-2</v>
      </c>
      <c r="N12" s="181">
        <f>'[1]Cap Ex'!J12</f>
        <v>1.0882185560425841</v>
      </c>
      <c r="O12" s="181">
        <f>[1]PS!E12</f>
        <v>1.327352847501104</v>
      </c>
      <c r="P12" s="181">
        <f>[1]EVEBITDA!D13</f>
        <v>6.5519630524093646</v>
      </c>
      <c r="Q12" s="181">
        <f>[1]EVEBITDA!E13</f>
        <v>8.9842493177172393</v>
      </c>
      <c r="R12" s="181">
        <f>[1]PBV!C12</f>
        <v>0.88176524838881909</v>
      </c>
      <c r="S12" s="181">
        <f>[1]PE!E12</f>
        <v>6.9331886334439696</v>
      </c>
      <c r="T12" s="180">
        <f>'[1]Working capital'!F12</f>
        <v>0.10620894391959061</v>
      </c>
      <c r="U12" s="180">
        <f>'[1]Summary sheet uValue'!G21</f>
        <v>2.4926670267360996E-2</v>
      </c>
      <c r="V12" s="180">
        <f>'[1]Cap Ex'!H12</f>
        <v>2.5468002540459899E-2</v>
      </c>
      <c r="W12" s="180">
        <f>[1]fundgrEB!D12</f>
        <v>2.1013859237709163</v>
      </c>
      <c r="X12" s="180">
        <f>[1]Fundgr!C12</f>
        <v>0.20758583832448124</v>
      </c>
      <c r="Y12" s="180">
        <f>'[1]Dividend fundamentals'!E12</f>
        <v>0.14361734100768372</v>
      </c>
      <c r="Z12" s="180">
        <f>1-[1]Fundgr!D12</f>
        <v>0.14361734100768375</v>
      </c>
      <c r="AA12" s="182">
        <f>[1]Margins!J13</f>
        <v>0.14746210696281761</v>
      </c>
    </row>
    <row r="13" spans="1:27">
      <c r="A13" s="178" t="str">
        <f>'[1]Master data'!A13</f>
        <v>Brokerage &amp; Investment Banking</v>
      </c>
      <c r="B13" s="179">
        <f>'[1]Master data'!B13</f>
        <v>30</v>
      </c>
      <c r="C13" s="180">
        <f>'[1]Hist Growth'!D13</f>
        <v>0.14228750000000001</v>
      </c>
      <c r="D13" s="180">
        <f>[1]Margins!F14</f>
        <v>4.0896492810984023E-3</v>
      </c>
      <c r="E13" s="180">
        <f>'[1]Return on capital'!H13</f>
        <v>5.645094247926231E-4</v>
      </c>
      <c r="F13" s="180">
        <f>'[1]Tax rates'!H14</f>
        <v>0.20823984488924394</v>
      </c>
      <c r="G13" s="181">
        <f>[1]Beta!H16</f>
        <v>0.69375056275316571</v>
      </c>
      <c r="H13" s="181">
        <f>[1]Beta!C16</f>
        <v>1.2048082896180194</v>
      </c>
      <c r="I13" s="180">
        <f>[1]WACC!D24</f>
        <v>0.11036561240331036</v>
      </c>
      <c r="J13" s="180">
        <f>[1]optvar!C18</f>
        <v>0.27996249256243011</v>
      </c>
      <c r="K13" s="180">
        <f>[1]WACC!G24</f>
        <v>5.5E-2</v>
      </c>
      <c r="L13" s="180">
        <f>'[1]Debt fundamentals'!F13</f>
        <v>0.66787153511038466</v>
      </c>
      <c r="M13" s="180">
        <f>[1]WACC!K24</f>
        <v>6.4205262247417128E-2</v>
      </c>
      <c r="N13" s="181">
        <f>'[1]Cap Ex'!J13</f>
        <v>0.26390729940029073</v>
      </c>
      <c r="O13" s="181">
        <f>[1]PS!E13</f>
        <v>4.4584614233683109</v>
      </c>
      <c r="P13" s="181" t="str">
        <f>[1]EVEBITDA!D14</f>
        <v>NA</v>
      </c>
      <c r="Q13" s="181" t="str">
        <f>[1]EVEBITDA!E14</f>
        <v>NA</v>
      </c>
      <c r="R13" s="181">
        <f>[1]PBV!C13</f>
        <v>1.6222402453644245</v>
      </c>
      <c r="S13" s="181">
        <f>[1]PE!E13</f>
        <v>15.398825088840153</v>
      </c>
      <c r="T13" s="180" t="str">
        <f>'[1]Working capital'!F13</f>
        <v>NA</v>
      </c>
      <c r="U13" s="180">
        <f>'[1]Summary sheet uValue'!G22</f>
        <v>3.8056979857082368E-2</v>
      </c>
      <c r="V13" s="180">
        <f>'[1]Cap Ex'!H13</f>
        <v>2.5052525387016997E-2</v>
      </c>
      <c r="W13" s="180">
        <f>[1]fundgrEB!D13</f>
        <v>-106.71129131280301</v>
      </c>
      <c r="X13" s="180">
        <f>[1]Fundgr!C13</f>
        <v>0.13433666755237328</v>
      </c>
      <c r="Y13" s="180">
        <f>'[1]Dividend fundamentals'!E13</f>
        <v>0.2868814096660765</v>
      </c>
      <c r="Z13" s="180">
        <f>1-[1]Fundgr!D13</f>
        <v>0.28688140966607656</v>
      </c>
      <c r="AA13" s="182">
        <f>[1]Margins!J14</f>
        <v>2.6196985508719333E-3</v>
      </c>
    </row>
    <row r="14" spans="1:27">
      <c r="A14" s="178" t="str">
        <f>'[1]Master data'!A14</f>
        <v>Building Materials</v>
      </c>
      <c r="B14" s="179">
        <f>'[1]Master data'!B14</f>
        <v>45</v>
      </c>
      <c r="C14" s="180">
        <f>'[1]Hist Growth'!D14</f>
        <v>0.10597500000000004</v>
      </c>
      <c r="D14" s="180">
        <f>[1]Margins!F15</f>
        <v>0.13807573680826582</v>
      </c>
      <c r="E14" s="180">
        <f>'[1]Return on capital'!H14</f>
        <v>0.34596203413304549</v>
      </c>
      <c r="F14" s="180">
        <f>'[1]Tax rates'!H15</f>
        <v>0.22045577488665988</v>
      </c>
      <c r="G14" s="181">
        <f>[1]Beta!H17</f>
        <v>1.0983592603350816</v>
      </c>
      <c r="H14" s="181">
        <f>[1]Beta!C17</f>
        <v>1.277280094823728</v>
      </c>
      <c r="I14" s="180">
        <f>[1]WACC!D25</f>
        <v>0.11467043763252945</v>
      </c>
      <c r="J14" s="180">
        <f>[1]optvar!C19</f>
        <v>0.29189913847162119</v>
      </c>
      <c r="K14" s="180">
        <f>[1]WACC!G25</f>
        <v>5.5E-2</v>
      </c>
      <c r="L14" s="180">
        <f>'[1]Debt fundamentals'!F14</f>
        <v>0.22436251520240177</v>
      </c>
      <c r="M14" s="180">
        <f>[1]WACC!K25</f>
        <v>9.8197643578034066E-2</v>
      </c>
      <c r="N14" s="181">
        <f>'[1]Cap Ex'!J14</f>
        <v>2.9646568034688325</v>
      </c>
      <c r="O14" s="181">
        <f>[1]PS!E14</f>
        <v>1.3599831051822802</v>
      </c>
      <c r="P14" s="181">
        <f>[1]EVEBITDA!D15</f>
        <v>7.8495447372704241</v>
      </c>
      <c r="Q14" s="181">
        <f>[1]EVEBITDA!E15</f>
        <v>9.7338715959223006</v>
      </c>
      <c r="R14" s="181">
        <f>[1]PBV!C14</f>
        <v>3.189256369070784</v>
      </c>
      <c r="S14" s="181">
        <f>[1]PE!E14</f>
        <v>15.731797108797148</v>
      </c>
      <c r="T14" s="180">
        <f>'[1]Working capital'!F14</f>
        <v>0.18212892955536489</v>
      </c>
      <c r="U14" s="180">
        <f>'[1]Summary sheet uValue'!G23</f>
        <v>2.4582389713126325E-2</v>
      </c>
      <c r="V14" s="180">
        <f>'[1]Cap Ex'!H14</f>
        <v>4.6787426076227899E-2</v>
      </c>
      <c r="W14" s="180">
        <f>[1]fundgrEB!D14</f>
        <v>0.72991700253868219</v>
      </c>
      <c r="X14" s="180">
        <f>[1]Fundgr!C14</f>
        <v>0.32728776839603557</v>
      </c>
      <c r="Y14" s="180">
        <f>'[1]Dividend fundamentals'!E14</f>
        <v>0.12953963876691149</v>
      </c>
      <c r="Z14" s="180">
        <f>1-[1]Fundgr!D14</f>
        <v>0.12953963876691144</v>
      </c>
      <c r="AA14" s="182">
        <f>[1]Margins!J15</f>
        <v>0.13998849891511717</v>
      </c>
    </row>
    <row r="15" spans="1:27">
      <c r="A15" s="178" t="str">
        <f>'[1]Master data'!A15</f>
        <v>Business &amp; Consumer Services</v>
      </c>
      <c r="B15" s="179">
        <f>'[1]Master data'!B15</f>
        <v>164</v>
      </c>
      <c r="C15" s="180">
        <f>'[1]Hist Growth'!D15</f>
        <v>8.4642800000000004E-2</v>
      </c>
      <c r="D15" s="180">
        <f>[1]Margins!F16</f>
        <v>9.0283859810487671E-2</v>
      </c>
      <c r="E15" s="180">
        <f>'[1]Return on capital'!H15</f>
        <v>0.23990816674375973</v>
      </c>
      <c r="F15" s="180">
        <f>'[1]Tax rates'!H16</f>
        <v>0.22537233164821857</v>
      </c>
      <c r="G15" s="181">
        <f>[1]Beta!H18</f>
        <v>1.0198687734730703</v>
      </c>
      <c r="H15" s="181">
        <f>[1]Beta!C18</f>
        <v>1.1709200204529924</v>
      </c>
      <c r="I15" s="180">
        <f>[1]WACC!D26</f>
        <v>0.10835264921490775</v>
      </c>
      <c r="J15" s="180">
        <f>[1]optvar!C20</f>
        <v>0.45782493709706812</v>
      </c>
      <c r="K15" s="180">
        <f>[1]WACC!G26</f>
        <v>5.5E-2</v>
      </c>
      <c r="L15" s="180">
        <f>'[1]Debt fundamentals'!F15</f>
        <v>0.21552515508878373</v>
      </c>
      <c r="M15" s="180">
        <f>[1]WACC!K26</f>
        <v>9.3890340335996511E-2</v>
      </c>
      <c r="N15" s="181">
        <f>'[1]Cap Ex'!J15</f>
        <v>2.8046731724829046</v>
      </c>
      <c r="O15" s="181">
        <f>[1]PS!E15</f>
        <v>2.0548295737776865</v>
      </c>
      <c r="P15" s="181">
        <f>[1]EVEBITDA!D16</f>
        <v>13.178267269008741</v>
      </c>
      <c r="Q15" s="181">
        <f>[1]EVEBITDA!E16</f>
        <v>21.791313120550598</v>
      </c>
      <c r="R15" s="181">
        <f>[1]PBV!C15</f>
        <v>3.9002335521700227</v>
      </c>
      <c r="S15" s="181">
        <f>[1]PE!E15</f>
        <v>33.719939757949462</v>
      </c>
      <c r="T15" s="180">
        <f>'[1]Working capital'!F15</f>
        <v>0.13038697382193254</v>
      </c>
      <c r="U15" s="180">
        <f>'[1]Summary sheet uValue'!G24</f>
        <v>2.8421300966096921E-2</v>
      </c>
      <c r="V15" s="180">
        <f>'[1]Cap Ex'!H15</f>
        <v>5.7187561277203862E-2</v>
      </c>
      <c r="W15" s="180">
        <f>[1]fundgrEB!D15</f>
        <v>1.0203838316554499</v>
      </c>
      <c r="X15" s="180">
        <f>[1]Fundgr!C15</f>
        <v>0.12850428149482823</v>
      </c>
      <c r="Y15" s="180">
        <f>'[1]Dividend fundamentals'!E15</f>
        <v>0.28225571869971045</v>
      </c>
      <c r="Z15" s="180">
        <f>1-[1]Fundgr!D15</f>
        <v>0.28225571869971045</v>
      </c>
      <c r="AA15" s="182">
        <f>[1]Margins!J16</f>
        <v>9.4231210499158974E-2</v>
      </c>
    </row>
    <row r="16" spans="1:27">
      <c r="A16" s="178" t="str">
        <f>'[1]Master data'!A16</f>
        <v>Cable TV</v>
      </c>
      <c r="B16" s="179">
        <f>'[1]Master data'!B16</f>
        <v>10</v>
      </c>
      <c r="C16" s="180">
        <f>'[1]Hist Growth'!D16</f>
        <v>0.20048888888888888</v>
      </c>
      <c r="D16" s="180">
        <f>[1]Margins!F17</f>
        <v>0.19895661889285571</v>
      </c>
      <c r="E16" s="180">
        <f>'[1]Return on capital'!H16</f>
        <v>0.12126078877676111</v>
      </c>
      <c r="F16" s="180">
        <f>'[1]Tax rates'!H17</f>
        <v>0.29816727963168077</v>
      </c>
      <c r="G16" s="181">
        <f>[1]Beta!H19</f>
        <v>0.70592024428519573</v>
      </c>
      <c r="H16" s="181">
        <f>[1]Beta!C19</f>
        <v>1.2551641961018303</v>
      </c>
      <c r="I16" s="180">
        <f>[1]WACC!D27</f>
        <v>0.11335675324844872</v>
      </c>
      <c r="J16" s="180">
        <f>[1]optvar!C21</f>
        <v>0.25406917505650006</v>
      </c>
      <c r="K16" s="180">
        <f>[1]WACC!G27</f>
        <v>5.5E-2</v>
      </c>
      <c r="L16" s="180">
        <f>'[1]Debt fundamentals'!F16</f>
        <v>0.51752783876705177</v>
      </c>
      <c r="M16" s="180">
        <f>[1]WACC!K27</f>
        <v>7.6039501079269961E-2</v>
      </c>
      <c r="N16" s="181">
        <f>'[1]Cap Ex'!J16</f>
        <v>0.79548722095114122</v>
      </c>
      <c r="O16" s="181">
        <f>[1]PS!E16</f>
        <v>2.4271351695921024</v>
      </c>
      <c r="P16" s="181">
        <f>[1]EVEBITDA!D17</f>
        <v>7.388341366320442</v>
      </c>
      <c r="Q16" s="181">
        <f>[1]EVEBITDA!E17</f>
        <v>12.434965607445452</v>
      </c>
      <c r="R16" s="181">
        <f>[1]PBV!C16</f>
        <v>2.0421096097889047</v>
      </c>
      <c r="S16" s="181">
        <f>[1]PE!E16</f>
        <v>11.031811598705742</v>
      </c>
      <c r="T16" s="180">
        <f>'[1]Working capital'!F16</f>
        <v>5.9344318007066689E-3</v>
      </c>
      <c r="U16" s="180">
        <f>'[1]Summary sheet uValue'!G25</f>
        <v>0.11049608575165179</v>
      </c>
      <c r="V16" s="180">
        <f>'[1]Cap Ex'!H16</f>
        <v>-4.8655848776094279E-3</v>
      </c>
      <c r="W16" s="180">
        <f>[1]fundgrEB!D16</f>
        <v>1.5184488206219843E-2</v>
      </c>
      <c r="X16" s="180">
        <f>[1]Fundgr!C16</f>
        <v>0.12137565446376083</v>
      </c>
      <c r="Y16" s="180">
        <f>'[1]Dividend fundamentals'!E16</f>
        <v>0.29050659083570779</v>
      </c>
      <c r="Z16" s="180">
        <f>1-[1]Fundgr!D16</f>
        <v>0.29050659083570785</v>
      </c>
      <c r="AA16" s="182">
        <f>[1]Margins!J17</f>
        <v>0.19527628887738516</v>
      </c>
    </row>
    <row r="17" spans="1:27">
      <c r="A17" s="178" t="str">
        <f>'[1]Master data'!A17</f>
        <v>Chemical (Basic)</v>
      </c>
      <c r="B17" s="179">
        <f>'[1]Master data'!B17</f>
        <v>38</v>
      </c>
      <c r="C17" s="180">
        <f>'[1]Hist Growth'!D17</f>
        <v>0.2702</v>
      </c>
      <c r="D17" s="180">
        <f>[1]Margins!F18</f>
        <v>0.13053391047408461</v>
      </c>
      <c r="E17" s="180">
        <f>'[1]Return on capital'!H17</f>
        <v>0.25379383032265024</v>
      </c>
      <c r="F17" s="180">
        <f>'[1]Tax rates'!H18</f>
        <v>0.20966607761406131</v>
      </c>
      <c r="G17" s="181">
        <f>[1]Beta!H20</f>
        <v>0.95899003084657786</v>
      </c>
      <c r="H17" s="181">
        <f>[1]Beta!C20</f>
        <v>1.2471014770997904</v>
      </c>
      <c r="I17" s="180">
        <f>[1]WACC!D28</f>
        <v>0.11287782773972756</v>
      </c>
      <c r="J17" s="180">
        <f>[1]optvar!C22</f>
        <v>0.46579004421759862</v>
      </c>
      <c r="K17" s="180">
        <f>[1]WACC!G28</f>
        <v>5.5E-2</v>
      </c>
      <c r="L17" s="180">
        <f>'[1]Debt fundamentals'!F17</f>
        <v>0.32569374593561318</v>
      </c>
      <c r="M17" s="180">
        <f>[1]WACC!K28</f>
        <v>8.9549092209944864E-2</v>
      </c>
      <c r="N17" s="181">
        <f>'[1]Cap Ex'!J17</f>
        <v>2.140539561734049</v>
      </c>
      <c r="O17" s="181">
        <f>[1]PS!E17</f>
        <v>0.88799068286034366</v>
      </c>
      <c r="P17" s="181">
        <f>[1]EVEBITDA!D18</f>
        <v>4.9188627149294541</v>
      </c>
      <c r="Q17" s="181">
        <f>[1]EVEBITDA!E18</f>
        <v>6.6585566466995108</v>
      </c>
      <c r="R17" s="181">
        <f>[1]PBV!C17</f>
        <v>1.9406925746228572</v>
      </c>
      <c r="S17" s="181">
        <f>[1]PE!E17</f>
        <v>9.9507720825302446</v>
      </c>
      <c r="T17" s="180">
        <f>'[1]Working capital'!F17</f>
        <v>0.13501869928478144</v>
      </c>
      <c r="U17" s="180">
        <f>'[1]Summary sheet uValue'!G26</f>
        <v>4.6946155965922734E-2</v>
      </c>
      <c r="V17" s="180">
        <f>'[1]Cap Ex'!H17</f>
        <v>5.2585156771289575E-2</v>
      </c>
      <c r="W17" s="180">
        <f>[1]fundgrEB!D17</f>
        <v>0.58551539662885521</v>
      </c>
      <c r="X17" s="180">
        <f>[1]Fundgr!C17</f>
        <v>0.34777022369023014</v>
      </c>
      <c r="Y17" s="180">
        <f>'[1]Dividend fundamentals'!E17</f>
        <v>0.27395285947542003</v>
      </c>
      <c r="Z17" s="180">
        <f>1-[1]Fundgr!D17</f>
        <v>0.27395285947542003</v>
      </c>
      <c r="AA17" s="182">
        <f>[1]Margins!J18</f>
        <v>0.13148514278842838</v>
      </c>
    </row>
    <row r="18" spans="1:27">
      <c r="A18" s="178" t="str">
        <f>'[1]Master data'!A18</f>
        <v>Chemical (Diversified)</v>
      </c>
      <c r="B18" s="179">
        <f>'[1]Master data'!B18</f>
        <v>4</v>
      </c>
      <c r="C18" s="180">
        <f>'[1]Hist Growth'!D18</f>
        <v>1.7524999999999995E-2</v>
      </c>
      <c r="D18" s="180">
        <f>[1]Margins!F19</f>
        <v>0.13516371228768437</v>
      </c>
      <c r="E18" s="180">
        <f>'[1]Return on capital'!H18</f>
        <v>0.20349837596065587</v>
      </c>
      <c r="F18" s="180">
        <f>'[1]Tax rates'!H19</f>
        <v>0.17552757581131406</v>
      </c>
      <c r="G18" s="181">
        <f>[1]Beta!H21</f>
        <v>1.0902565654988166</v>
      </c>
      <c r="H18" s="181">
        <f>[1]Beta!C21</f>
        <v>1.4125912305600932</v>
      </c>
      <c r="I18" s="180">
        <f>[1]WACC!D29</f>
        <v>0.12270791909526954</v>
      </c>
      <c r="J18" s="180">
        <f>[1]optvar!C23</f>
        <v>0.39493176140036279</v>
      </c>
      <c r="K18" s="180">
        <f>[1]WACC!G29</f>
        <v>5.5E-2</v>
      </c>
      <c r="L18" s="180">
        <f>'[1]Debt fundamentals'!F18</f>
        <v>0.36805699288839216</v>
      </c>
      <c r="M18" s="180">
        <f>[1]WACC!K29</f>
        <v>9.2726762346118707E-2</v>
      </c>
      <c r="N18" s="181">
        <f>'[1]Cap Ex'!J18</f>
        <v>1.696073044152786</v>
      </c>
      <c r="O18" s="181">
        <f>[1]PS!E18</f>
        <v>0.91038112399398097</v>
      </c>
      <c r="P18" s="181">
        <f>[1]EVEBITDA!D19</f>
        <v>5.0157178614705851</v>
      </c>
      <c r="Q18" s="181">
        <f>[1]EVEBITDA!E19</f>
        <v>6.7070116425908575</v>
      </c>
      <c r="R18" s="181">
        <f>[1]PBV!C18</f>
        <v>1.8892572990056375</v>
      </c>
      <c r="S18" s="181">
        <f>[1]PE!E18</f>
        <v>4.9136350366529671</v>
      </c>
      <c r="T18" s="180">
        <f>'[1]Working capital'!F18</f>
        <v>0.14468858429825437</v>
      </c>
      <c r="U18" s="180">
        <f>'[1]Summary sheet uValue'!G27</f>
        <v>3.7962934913559079E-2</v>
      </c>
      <c r="V18" s="180">
        <f>'[1]Cap Ex'!H18</f>
        <v>4.0905351903938969E-4</v>
      </c>
      <c r="W18" s="180">
        <f>[1]fundgrEB!D18</f>
        <v>0.23180043531608446</v>
      </c>
      <c r="X18" s="180">
        <f>[1]Fundgr!C18</f>
        <v>0.43436231081579907</v>
      </c>
      <c r="Y18" s="180">
        <f>'[1]Dividend fundamentals'!E18</f>
        <v>0.14606681893025975</v>
      </c>
      <c r="Z18" s="180">
        <f>1-[1]Fundgr!D18</f>
        <v>0.14606681893025975</v>
      </c>
      <c r="AA18" s="182">
        <f>[1]Margins!J19</f>
        <v>0.13629282750850893</v>
      </c>
    </row>
    <row r="19" spans="1:27">
      <c r="A19" s="178" t="str">
        <f>'[1]Master data'!A19</f>
        <v>Chemical (Specialty)</v>
      </c>
      <c r="B19" s="179">
        <f>'[1]Master data'!B19</f>
        <v>76</v>
      </c>
      <c r="C19" s="180">
        <f>'[1]Hist Growth'!D19</f>
        <v>9.4822448979591842E-2</v>
      </c>
      <c r="D19" s="180">
        <f>[1]Margins!F20</f>
        <v>0.14620994370453144</v>
      </c>
      <c r="E19" s="180">
        <f>'[1]Return on capital'!H19</f>
        <v>0.17826252008578738</v>
      </c>
      <c r="F19" s="180">
        <f>'[1]Tax rates'!H20</f>
        <v>0.21518437900478904</v>
      </c>
      <c r="G19" s="181">
        <f>[1]Beta!H22</f>
        <v>1.1152530501630955</v>
      </c>
      <c r="H19" s="181">
        <f>[1]Beta!C22</f>
        <v>1.2772947079305697</v>
      </c>
      <c r="I19" s="180">
        <f>[1]WACC!D30</f>
        <v>0.11467130565107583</v>
      </c>
      <c r="J19" s="180">
        <f>[1]optvar!C24</f>
        <v>0.42320469092143559</v>
      </c>
      <c r="K19" s="180">
        <f>[1]WACC!G30</f>
        <v>5.5E-2</v>
      </c>
      <c r="L19" s="180">
        <f>'[1]Debt fundamentals'!F19</f>
        <v>0.21509733288408953</v>
      </c>
      <c r="M19" s="180">
        <f>[1]WACC!K30</f>
        <v>9.8878578628661895E-2</v>
      </c>
      <c r="N19" s="181">
        <f>'[1]Cap Ex'!J19</f>
        <v>1.300382837279803</v>
      </c>
      <c r="O19" s="181">
        <f>[1]PS!E19</f>
        <v>2.4784833446872629</v>
      </c>
      <c r="P19" s="181">
        <f>[1]EVEBITDA!D20</f>
        <v>10.530080416847145</v>
      </c>
      <c r="Q19" s="181">
        <f>[1]EVEBITDA!E20</f>
        <v>16.533152933135522</v>
      </c>
      <c r="R19" s="181">
        <f>[1]PBV!C19</f>
        <v>2.8296016487864555</v>
      </c>
      <c r="S19" s="181">
        <f>[1]PE!E19</f>
        <v>34.725527646029491</v>
      </c>
      <c r="T19" s="180">
        <f>'[1]Working capital'!F19</f>
        <v>0.22710714698009443</v>
      </c>
      <c r="U19" s="180">
        <f>'[1]Summary sheet uValue'!G28</f>
        <v>5.9270188988379699E-2</v>
      </c>
      <c r="V19" s="180">
        <f>'[1]Cap Ex'!H19</f>
        <v>6.2155489180958312E-2</v>
      </c>
      <c r="W19" s="180">
        <f>[1]fundgrEB!D19</f>
        <v>0.9187162005119015</v>
      </c>
      <c r="X19" s="180">
        <f>[1]Fundgr!C19</f>
        <v>0.11428570397103884</v>
      </c>
      <c r="Y19" s="180">
        <f>'[1]Dividend fundamentals'!E19</f>
        <v>0.40462475653279661</v>
      </c>
      <c r="Z19" s="180">
        <f>1-[1]Fundgr!D19</f>
        <v>0.40462475653279661</v>
      </c>
      <c r="AA19" s="182">
        <f>[1]Margins!J20</f>
        <v>0.15299911402623009</v>
      </c>
    </row>
    <row r="20" spans="1:27">
      <c r="A20" s="178" t="str">
        <f>'[1]Master data'!A20</f>
        <v>Coal &amp; Related Energy</v>
      </c>
      <c r="B20" s="179">
        <f>'[1]Master data'!B20</f>
        <v>19</v>
      </c>
      <c r="C20" s="180">
        <f>'[1]Hist Growth'!D20</f>
        <v>-3.7148999999999988E-2</v>
      </c>
      <c r="D20" s="180">
        <f>[1]Margins!F21</f>
        <v>0.22154519636476394</v>
      </c>
      <c r="E20" s="180">
        <f>'[1]Return on capital'!H20</f>
        <v>0.417859281998402</v>
      </c>
      <c r="F20" s="180">
        <f>'[1]Tax rates'!H21</f>
        <v>5.7877792248144003E-2</v>
      </c>
      <c r="G20" s="181">
        <f>[1]Beta!H23</f>
        <v>1.4289145880963197</v>
      </c>
      <c r="H20" s="181">
        <f>[1]Beta!C23</f>
        <v>1.4521788818808701</v>
      </c>
      <c r="I20" s="180">
        <f>[1]WACC!D31</f>
        <v>0.12505942558372368</v>
      </c>
      <c r="J20" s="180">
        <f>[1]optvar!C25</f>
        <v>0.61956739404999339</v>
      </c>
      <c r="K20" s="180">
        <f>[1]WACC!G31</f>
        <v>5.8800000000000005E-2</v>
      </c>
      <c r="L20" s="180">
        <f>'[1]Debt fundamentals'!F20</f>
        <v>0.17836697027388981</v>
      </c>
      <c r="M20" s="180">
        <f>[1]WACC!K31</f>
        <v>0.11061893812724044</v>
      </c>
      <c r="N20" s="181">
        <f>'[1]Cap Ex'!J20</f>
        <v>1.9144649709284169</v>
      </c>
      <c r="O20" s="181">
        <f>[1]PS!E20</f>
        <v>1.4317347621068663</v>
      </c>
      <c r="P20" s="181">
        <f>[1]EVEBITDA!D21</f>
        <v>3.8137225981171055</v>
      </c>
      <c r="Q20" s="181">
        <f>[1]EVEBITDA!E21</f>
        <v>5.3134978918000479</v>
      </c>
      <c r="R20" s="181">
        <f>[1]PBV!C20</f>
        <v>2.45757981722153</v>
      </c>
      <c r="S20" s="181">
        <f>[1]PE!E20</f>
        <v>70.10021734645936</v>
      </c>
      <c r="T20" s="180">
        <f>'[1]Working capital'!F20</f>
        <v>7.193329766827207E-2</v>
      </c>
      <c r="U20" s="180">
        <f>'[1]Summary sheet uValue'!G29</f>
        <v>6.654469909067097E-2</v>
      </c>
      <c r="V20" s="180">
        <f>'[1]Cap Ex'!H20</f>
        <v>1.340816712569722E-2</v>
      </c>
      <c r="W20" s="180">
        <f>[1]fundgrEB!D20</f>
        <v>0.16330024899958975</v>
      </c>
      <c r="X20" s="180">
        <f>[1]Fundgr!C20</f>
        <v>0.74083903025233333</v>
      </c>
      <c r="Y20" s="180">
        <f>'[1]Dividend fundamentals'!E20</f>
        <v>0.20433717791215913</v>
      </c>
      <c r="Z20" s="180">
        <f>1-[1]Fundgr!D20</f>
        <v>0.20433717791215911</v>
      </c>
      <c r="AA20" s="182">
        <f>[1]Margins!J21</f>
        <v>0.2233108579995417</v>
      </c>
    </row>
    <row r="21" spans="1:27">
      <c r="A21" s="178" t="str">
        <f>'[1]Master data'!A21</f>
        <v>Computer Services</v>
      </c>
      <c r="B21" s="179">
        <f>'[1]Master data'!B21</f>
        <v>80</v>
      </c>
      <c r="C21" s="180">
        <f>'[1]Hist Growth'!D21</f>
        <v>0.10479307692307695</v>
      </c>
      <c r="D21" s="180">
        <f>[1]Margins!F22</f>
        <v>6.5724841411889792E-2</v>
      </c>
      <c r="E21" s="180">
        <f>'[1]Return on capital'!H21</f>
        <v>0.28393181700102466</v>
      </c>
      <c r="F21" s="180">
        <f>'[1]Tax rates'!H22</f>
        <v>0.20902109276047354</v>
      </c>
      <c r="G21" s="181">
        <f>[1]Beta!H24</f>
        <v>0.99322179503265406</v>
      </c>
      <c r="H21" s="181">
        <f>[1]Beta!C24</f>
        <v>1.1713869322889647</v>
      </c>
      <c r="I21" s="180">
        <f>[1]WACC!D32</f>
        <v>0.10838038377796451</v>
      </c>
      <c r="J21" s="180">
        <f>[1]optvar!C26</f>
        <v>0.47775300169020696</v>
      </c>
      <c r="K21" s="180">
        <f>[1]WACC!G32</f>
        <v>5.5E-2</v>
      </c>
      <c r="L21" s="180">
        <f>'[1]Debt fundamentals'!F21</f>
        <v>0.24564199162920453</v>
      </c>
      <c r="M21" s="180">
        <f>[1]WACC!K32</f>
        <v>9.1890342607912456E-2</v>
      </c>
      <c r="N21" s="181">
        <f>'[1]Cap Ex'!J21</f>
        <v>4.362127057694285</v>
      </c>
      <c r="O21" s="181">
        <f>[1]PS!E21</f>
        <v>1.1705516509622818</v>
      </c>
      <c r="P21" s="181">
        <f>[1]EVEBITDA!D22</f>
        <v>10.563161623441127</v>
      </c>
      <c r="Q21" s="181">
        <f>[1]EVEBITDA!E22</f>
        <v>16.723392422877364</v>
      </c>
      <c r="R21" s="181">
        <f>[1]PBV!C21</f>
        <v>4.0327297094633501</v>
      </c>
      <c r="S21" s="181">
        <f>[1]PE!E21</f>
        <v>16.826618008820372</v>
      </c>
      <c r="T21" s="180">
        <f>'[1]Working capital'!F21</f>
        <v>0.15591437376823686</v>
      </c>
      <c r="U21" s="180">
        <f>'[1]Summary sheet uValue'!G30</f>
        <v>1.229709556092224E-2</v>
      </c>
      <c r="V21" s="180">
        <f>'[1]Cap Ex'!H21</f>
        <v>-2.2074387017581819E-3</v>
      </c>
      <c r="W21" s="180">
        <f>[1]fundgrEB!D21</f>
        <v>0.30657294945631369</v>
      </c>
      <c r="X21" s="180">
        <f>[1]Fundgr!C21</f>
        <v>0.12149230128546304</v>
      </c>
      <c r="Y21" s="180">
        <f>'[1]Dividend fundamentals'!E21</f>
        <v>0.93582785276917213</v>
      </c>
      <c r="Z21" s="180">
        <f>1-[1]Fundgr!D21</f>
        <v>0.93582785276917213</v>
      </c>
      <c r="AA21" s="182">
        <f>[1]Margins!J22</f>
        <v>6.9547703311741663E-2</v>
      </c>
    </row>
    <row r="22" spans="1:27">
      <c r="A22" s="178" t="str">
        <f>'[1]Master data'!A22</f>
        <v>Computers/Peripherals</v>
      </c>
      <c r="B22" s="179">
        <f>'[1]Master data'!B22</f>
        <v>42</v>
      </c>
      <c r="C22" s="180">
        <f>'[1]Hist Growth'!D22</f>
        <v>0.16357148148148148</v>
      </c>
      <c r="D22" s="180">
        <f>[1]Margins!F23</f>
        <v>0.21409567860908393</v>
      </c>
      <c r="E22" s="180">
        <f>'[1]Return on capital'!H22</f>
        <v>0.42627570781813673</v>
      </c>
      <c r="F22" s="180">
        <f>'[1]Tax rates'!H23</f>
        <v>0.16701412664987517</v>
      </c>
      <c r="G22" s="181">
        <f>[1]Beta!H25</f>
        <v>1.2270423722130051</v>
      </c>
      <c r="H22" s="181">
        <f>[1]Beta!C25</f>
        <v>1.2910863648381774</v>
      </c>
      <c r="I22" s="180">
        <f>[1]WACC!D33</f>
        <v>0.11549053007138774</v>
      </c>
      <c r="J22" s="180">
        <f>[1]optvar!C27</f>
        <v>0.48725444355956743</v>
      </c>
      <c r="K22" s="180">
        <f>[1]WACC!G33</f>
        <v>5.5E-2</v>
      </c>
      <c r="L22" s="180">
        <f>'[1]Debt fundamentals'!F22</f>
        <v>8.6947263270185773E-2</v>
      </c>
      <c r="M22" s="180">
        <f>[1]WACC!K33</f>
        <v>0.10903551915795263</v>
      </c>
      <c r="N22" s="181">
        <f>'[1]Cap Ex'!J22</f>
        <v>2.1239631951163802</v>
      </c>
      <c r="O22" s="181">
        <f>[1]PS!E22</f>
        <v>3.6675154478583059</v>
      </c>
      <c r="P22" s="181">
        <f>[1]EVEBITDA!D23</f>
        <v>14.733525349856887</v>
      </c>
      <c r="Q22" s="181">
        <f>[1]EVEBITDA!E23</f>
        <v>17.080897524012034</v>
      </c>
      <c r="R22" s="181">
        <f>[1]PBV!C22</f>
        <v>25.561397089337795</v>
      </c>
      <c r="S22" s="181">
        <f>[1]PE!E22</f>
        <v>60.37198607537146</v>
      </c>
      <c r="T22" s="180">
        <f>'[1]Working capital'!F22</f>
        <v>-8.7617856695005242E-2</v>
      </c>
      <c r="U22" s="180">
        <f>'[1]Summary sheet uValue'!G31</f>
        <v>3.0428476782541368E-2</v>
      </c>
      <c r="V22" s="180">
        <f>'[1]Cap Ex'!H22</f>
        <v>1.8160239754402271E-2</v>
      </c>
      <c r="W22" s="180">
        <f>[1]fundgrEB!D22</f>
        <v>6.2749973873893805E-2</v>
      </c>
      <c r="X22" s="180">
        <f>[1]Fundgr!C22</f>
        <v>0.9626017835927464</v>
      </c>
      <c r="Y22" s="180">
        <f>'[1]Dividend fundamentals'!E22</f>
        <v>0.16947356652480433</v>
      </c>
      <c r="Z22" s="180">
        <f>1-[1]Fundgr!D22</f>
        <v>0.16947356652480439</v>
      </c>
      <c r="AA22" s="182">
        <f>[1]Margins!J23</f>
        <v>0.22026534167026365</v>
      </c>
    </row>
    <row r="23" spans="1:27">
      <c r="A23" s="178" t="str">
        <f>'[1]Master data'!A23</f>
        <v>Construction Supplies</v>
      </c>
      <c r="B23" s="179">
        <f>'[1]Master data'!B23</f>
        <v>49</v>
      </c>
      <c r="C23" s="180">
        <f>'[1]Hist Growth'!D23</f>
        <v>5.0167812500000013E-2</v>
      </c>
      <c r="D23" s="180">
        <f>[1]Margins!F24</f>
        <v>0.1113211314713254</v>
      </c>
      <c r="E23" s="180">
        <f>'[1]Return on capital'!H23</f>
        <v>0.1454747413376444</v>
      </c>
      <c r="F23" s="180">
        <f>'[1]Tax rates'!H24</f>
        <v>0.21149094625947643</v>
      </c>
      <c r="G23" s="181">
        <f>[1]Beta!H26</f>
        <v>1.0760610533922743</v>
      </c>
      <c r="H23" s="181">
        <f>[1]Beta!C26</f>
        <v>1.2643960028602219</v>
      </c>
      <c r="I23" s="180">
        <f>[1]WACC!D34</f>
        <v>0.11390512256989718</v>
      </c>
      <c r="J23" s="180">
        <f>[1]optvar!C28</f>
        <v>0.35111645283882109</v>
      </c>
      <c r="K23" s="180">
        <f>[1]WACC!G34</f>
        <v>5.5E-2</v>
      </c>
      <c r="L23" s="180">
        <f>'[1]Debt fundamentals'!F23</f>
        <v>0.23151570788836295</v>
      </c>
      <c r="M23" s="180">
        <f>[1]WACC!K34</f>
        <v>9.7084320436411659E-2</v>
      </c>
      <c r="N23" s="181">
        <f>'[1]Cap Ex'!J23</f>
        <v>1.4171828125823143</v>
      </c>
      <c r="O23" s="181">
        <f>[1]PS!E23</f>
        <v>2.149130072951404</v>
      </c>
      <c r="P23" s="181">
        <f>[1]EVEBITDA!D24</f>
        <v>12.934160671927692</v>
      </c>
      <c r="Q23" s="181">
        <f>[1]EVEBITDA!E24</f>
        <v>18.749409005666379</v>
      </c>
      <c r="R23" s="181">
        <f>[1]PBV!C23</f>
        <v>3.6559134287335295</v>
      </c>
      <c r="S23" s="181">
        <f>[1]PE!E23</f>
        <v>23.670176577905639</v>
      </c>
      <c r="T23" s="180">
        <f>'[1]Working capital'!F23</f>
        <v>0.20313324960220644</v>
      </c>
      <c r="U23" s="180">
        <f>'[1]Summary sheet uValue'!G32</f>
        <v>5.3432457224285933E-2</v>
      </c>
      <c r="V23" s="180">
        <f>'[1]Cap Ex'!H23</f>
        <v>6.0397175441397173E-2</v>
      </c>
      <c r="W23" s="180">
        <f>[1]fundgrEB!D23</f>
        <v>1.1390269734410299</v>
      </c>
      <c r="X23" s="180">
        <f>[1]Fundgr!C23</f>
        <v>0.18776605314361972</v>
      </c>
      <c r="Y23" s="180">
        <f>'[1]Dividend fundamentals'!E23</f>
        <v>0.32155652013128733</v>
      </c>
      <c r="Z23" s="180">
        <f>1-[1]Fundgr!D23</f>
        <v>0.32155652013128733</v>
      </c>
      <c r="AA23" s="182">
        <f>[1]Margins!J24</f>
        <v>0.11439331049245301</v>
      </c>
    </row>
    <row r="24" spans="1:27">
      <c r="A24" s="178" t="str">
        <f>'[1]Master data'!A24</f>
        <v>Diversified</v>
      </c>
      <c r="B24" s="179">
        <f>'[1]Master data'!B24</f>
        <v>23</v>
      </c>
      <c r="C24" s="180">
        <f>'[1]Hist Growth'!D24</f>
        <v>7.6920000000000002E-2</v>
      </c>
      <c r="D24" s="180">
        <f>[1]Margins!F25</f>
        <v>3.4418541141436297E-2</v>
      </c>
      <c r="E24" s="180">
        <f>'[1]Return on capital'!H24</f>
        <v>2.8451413775521742E-2</v>
      </c>
      <c r="F24" s="180">
        <f>'[1]Tax rates'!H25</f>
        <v>0.15969215649818055</v>
      </c>
      <c r="G24" s="181">
        <f>[1]Beta!H27</f>
        <v>0.93949641382363391</v>
      </c>
      <c r="H24" s="181">
        <f>[1]Beta!C27</f>
        <v>1.0382284747790869</v>
      </c>
      <c r="I24" s="180">
        <f>[1]WACC!D35</f>
        <v>0.10047077140187777</v>
      </c>
      <c r="J24" s="180">
        <f>[1]optvar!C29</f>
        <v>0.57844438730746484</v>
      </c>
      <c r="K24" s="180">
        <f>[1]WACC!G35</f>
        <v>5.8800000000000005E-2</v>
      </c>
      <c r="L24" s="180">
        <f>'[1]Debt fundamentals'!F24</f>
        <v>0.17516637526737888</v>
      </c>
      <c r="M24" s="180">
        <f>[1]WACC!K35</f>
        <v>9.0596507704384821E-2</v>
      </c>
      <c r="N24" s="181">
        <f>'[1]Cap Ex'!J24</f>
        <v>0.80913558522031659</v>
      </c>
      <c r="O24" s="181">
        <f>[1]PS!E24</f>
        <v>2.497073337847707</v>
      </c>
      <c r="P24" s="181">
        <f>[1]EVEBITDA!D25</f>
        <v>30.955109543804362</v>
      </c>
      <c r="Q24" s="181">
        <f>[1]EVEBITDA!E25</f>
        <v>69.441093859764692</v>
      </c>
      <c r="R24" s="181">
        <f>[1]PBV!C24</f>
        <v>1.8458984878571658</v>
      </c>
      <c r="S24" s="181">
        <f>[1]PE!E24</f>
        <v>14.458344682654587</v>
      </c>
      <c r="T24" s="180">
        <f>'[1]Working capital'!F24</f>
        <v>7.6139744625110986E-2</v>
      </c>
      <c r="U24" s="180">
        <f>'[1]Summary sheet uValue'!G33</f>
        <v>4.2501393888324822E-2</v>
      </c>
      <c r="V24" s="180">
        <f>'[1]Cap Ex'!H24</f>
        <v>2.7621900220592199E-2</v>
      </c>
      <c r="W24" s="180">
        <f>[1]fundgrEB!D24</f>
        <v>1.7018968838721764</v>
      </c>
      <c r="X24" s="180">
        <f>[1]Fundgr!C24</f>
        <v>8.2496001271177635E-3</v>
      </c>
      <c r="Y24" s="180">
        <f>'[1]Dividend fundamentals'!E24</f>
        <v>1.5067793894620867</v>
      </c>
      <c r="Z24" s="180">
        <f>1-[1]Fundgr!D24</f>
        <v>1.5067793894620867</v>
      </c>
      <c r="AA24" s="182">
        <f>[1]Margins!J25</f>
        <v>3.6232783350473828E-2</v>
      </c>
    </row>
    <row r="25" spans="1:27">
      <c r="A25" s="178" t="str">
        <f>'[1]Master data'!A25</f>
        <v>Drugs (Biotechnology)</v>
      </c>
      <c r="B25" s="179">
        <f>'[1]Master data'!B25</f>
        <v>598</v>
      </c>
      <c r="C25" s="180">
        <f>'[1]Hist Growth'!D25</f>
        <v>0.27230353658536566</v>
      </c>
      <c r="D25" s="180">
        <f>[1]Margins!F26</f>
        <v>0.12018971566330637</v>
      </c>
      <c r="E25" s="180">
        <f>'[1]Return on capital'!H25</f>
        <v>6.4930486901624035E-2</v>
      </c>
      <c r="F25" s="180">
        <f>'[1]Tax rates'!H26</f>
        <v>0.14251232985737891</v>
      </c>
      <c r="G25" s="181">
        <f>[1]Beta!H28</f>
        <v>1.1994489579084946</v>
      </c>
      <c r="H25" s="181">
        <f>[1]Beta!C28</f>
        <v>1.2417422800706084</v>
      </c>
      <c r="I25" s="180">
        <f>[1]WACC!D36</f>
        <v>0.11255949143619413</v>
      </c>
      <c r="J25" s="180">
        <f>[1]optvar!C30</f>
        <v>0.58414093308210857</v>
      </c>
      <c r="K25" s="180">
        <f>[1]WACC!G36</f>
        <v>5.8800000000000005E-2</v>
      </c>
      <c r="L25" s="180">
        <f>'[1]Debt fundamentals'!F25</f>
        <v>0.13285422647907655</v>
      </c>
      <c r="M25" s="180">
        <f>[1]WACC!K36</f>
        <v>0.10346435865628759</v>
      </c>
      <c r="N25" s="181">
        <f>'[1]Cap Ex'!J25</f>
        <v>0.45885725937170108</v>
      </c>
      <c r="O25" s="181">
        <f>[1]PS!E25</f>
        <v>6.1848374689664327</v>
      </c>
      <c r="P25" s="181">
        <f>[1]EVEBITDA!D26</f>
        <v>11.029260692823163</v>
      </c>
      <c r="Q25" s="181">
        <f>[1]EVEBITDA!E26</f>
        <v>40.682421818847885</v>
      </c>
      <c r="R25" s="181">
        <f>[1]PBV!C25</f>
        <v>5.8009721658494318</v>
      </c>
      <c r="S25" s="181">
        <f>[1]PE!E25</f>
        <v>113.80317420122032</v>
      </c>
      <c r="T25" s="180">
        <f>'[1]Working capital'!F25</f>
        <v>0.12996962084632474</v>
      </c>
      <c r="U25" s="180">
        <f>'[1]Summary sheet uValue'!G34</f>
        <v>3.5583539077648038E-2</v>
      </c>
      <c r="V25" s="180">
        <f>'[1]Cap Ex'!H25</f>
        <v>-2.0551912434212563E-4</v>
      </c>
      <c r="W25" s="180">
        <f>[1]fundgrEB!D25</f>
        <v>0.40999126936273844</v>
      </c>
      <c r="X25" s="180">
        <f>[1]Fundgr!C25</f>
        <v>6.7759078368331621E-3</v>
      </c>
      <c r="Y25" s="180">
        <f>'[1]Dividend fundamentals'!E25</f>
        <v>5.6919254543125089E-4</v>
      </c>
      <c r="Z25" s="180">
        <f>1-[1]Fundgr!D25</f>
        <v>5.6919254543119635E-4</v>
      </c>
      <c r="AA25" s="182">
        <f>[1]Margins!J26</f>
        <v>0.142616457040632</v>
      </c>
    </row>
    <row r="26" spans="1:27">
      <c r="A26" s="178" t="str">
        <f>'[1]Master data'!A26</f>
        <v>Drugs (Pharmaceutical)</v>
      </c>
      <c r="B26" s="179">
        <f>'[1]Master data'!B26</f>
        <v>281</v>
      </c>
      <c r="C26" s="180">
        <f>'[1]Hist Growth'!D26</f>
        <v>0.42345633802816912</v>
      </c>
      <c r="D26" s="180">
        <f>[1]Margins!F27</f>
        <v>0.27387480126192115</v>
      </c>
      <c r="E26" s="180">
        <f>'[1]Return on capital'!H26</f>
        <v>0.19583591126440983</v>
      </c>
      <c r="F26" s="180">
        <f>'[1]Tax rates'!H27</f>
        <v>0.12152173885442238</v>
      </c>
      <c r="G26" s="181">
        <f>[1]Beta!H29</f>
        <v>1.1808060946282533</v>
      </c>
      <c r="H26" s="181">
        <f>[1]Beta!C29</f>
        <v>1.2680061555196915</v>
      </c>
      <c r="I26" s="180">
        <f>[1]WACC!D37</f>
        <v>0.11411956563786968</v>
      </c>
      <c r="J26" s="180">
        <f>[1]optvar!C31</f>
        <v>0.64883553950451733</v>
      </c>
      <c r="K26" s="180">
        <f>[1]WACC!G37</f>
        <v>5.8800000000000005E-2</v>
      </c>
      <c r="L26" s="180">
        <f>'[1]Debt fundamentals'!F26</f>
        <v>0.11983897594961615</v>
      </c>
      <c r="M26" s="180">
        <f>[1]WACC!K37</f>
        <v>0.10572849259539045</v>
      </c>
      <c r="N26" s="181">
        <f>'[1]Cap Ex'!J26</f>
        <v>0.75386830062989918</v>
      </c>
      <c r="O26" s="181">
        <f>[1]PS!E26</f>
        <v>4.8507972602124285</v>
      </c>
      <c r="P26" s="181">
        <f>[1]EVEBITDA!D27</f>
        <v>12.336746475080462</v>
      </c>
      <c r="Q26" s="181">
        <f>[1]EVEBITDA!E27</f>
        <v>17.374965922425169</v>
      </c>
      <c r="R26" s="181">
        <f>[1]PBV!C26</f>
        <v>5.2822318741793906</v>
      </c>
      <c r="S26" s="181">
        <f>[1]PE!E26</f>
        <v>17.765653282813773</v>
      </c>
      <c r="T26" s="180">
        <f>'[1]Working capital'!F26</f>
        <v>0.19448863395055158</v>
      </c>
      <c r="U26" s="180">
        <f>'[1]Summary sheet uValue'!G35</f>
        <v>4.5444497459431313E-2</v>
      </c>
      <c r="V26" s="180">
        <f>'[1]Cap Ex'!H26</f>
        <v>2.7328938551878745E-2</v>
      </c>
      <c r="W26" s="180">
        <f>[1]fundgrEB!D26</f>
        <v>0.23314422056482276</v>
      </c>
      <c r="X26" s="180">
        <f>[1]Fundgr!C26</f>
        <v>0.24540189875584534</v>
      </c>
      <c r="Y26" s="180">
        <f>'[1]Dividend fundamentals'!E26</f>
        <v>0.51360080179486645</v>
      </c>
      <c r="Z26" s="180">
        <f>1-[1]Fundgr!D26</f>
        <v>0.51360080179486645</v>
      </c>
      <c r="AA26" s="182">
        <f>[1]Margins!J27</f>
        <v>0.26627225481310235</v>
      </c>
    </row>
    <row r="27" spans="1:27">
      <c r="A27" s="178" t="str">
        <f>'[1]Master data'!A27</f>
        <v>Education</v>
      </c>
      <c r="B27" s="179">
        <f>'[1]Master data'!B27</f>
        <v>33</v>
      </c>
      <c r="C27" s="180">
        <f>'[1]Hist Growth'!D27</f>
        <v>4.1291875000000006E-2</v>
      </c>
      <c r="D27" s="180">
        <f>[1]Margins!F28</f>
        <v>5.2763116719378576E-2</v>
      </c>
      <c r="E27" s="180">
        <f>'[1]Return on capital'!H27</f>
        <v>6.7741870602732721E-2</v>
      </c>
      <c r="F27" s="180">
        <f>'[1]Tax rates'!H28</f>
        <v>0.28828758577666874</v>
      </c>
      <c r="G27" s="181">
        <f>[1]Beta!H30</f>
        <v>0.99371608027377023</v>
      </c>
      <c r="H27" s="181">
        <f>[1]Beta!C30</f>
        <v>1.1008288893194806</v>
      </c>
      <c r="I27" s="180">
        <f>[1]WACC!D38</f>
        <v>0.10418923602557716</v>
      </c>
      <c r="J27" s="180">
        <f>[1]optvar!C32</f>
        <v>0.41812601855058806</v>
      </c>
      <c r="K27" s="180">
        <f>[1]WACC!G38</f>
        <v>5.5E-2</v>
      </c>
      <c r="L27" s="180">
        <f>'[1]Debt fundamentals'!F27</f>
        <v>0.23436430724796883</v>
      </c>
      <c r="M27" s="180">
        <f>[1]WACC!K38</f>
        <v>8.943852557572636E-2</v>
      </c>
      <c r="N27" s="181">
        <f>'[1]Cap Ex'!J27</f>
        <v>1.2400892015686051</v>
      </c>
      <c r="O27" s="181">
        <f>[1]PS!E27</f>
        <v>1.8499312364405511</v>
      </c>
      <c r="P27" s="181">
        <f>[1]EVEBITDA!D28</f>
        <v>9.650215665864085</v>
      </c>
      <c r="Q27" s="181">
        <f>[1]EVEBITDA!E28</f>
        <v>30.359718234591035</v>
      </c>
      <c r="R27" s="181">
        <f>[1]PBV!C27</f>
        <v>1.8138069812041899</v>
      </c>
      <c r="S27" s="181">
        <f>[1]PE!E27</f>
        <v>18.213402559297673</v>
      </c>
      <c r="T27" s="180">
        <f>'[1]Working capital'!F27</f>
        <v>7.9575056602342875E-2</v>
      </c>
      <c r="U27" s="180">
        <f>'[1]Summary sheet uValue'!G36</f>
        <v>3.2093203022036013E-2</v>
      </c>
      <c r="V27" s="180">
        <f>'[1]Cap Ex'!H27</f>
        <v>9.2404200428598995E-2</v>
      </c>
      <c r="W27" s="180">
        <f>[1]fundgrEB!D27</f>
        <v>3.5636046330701983</v>
      </c>
      <c r="X27" s="180">
        <f>[1]Fundgr!C27</f>
        <v>3.1900714568291952E-2</v>
      </c>
      <c r="Y27" s="180">
        <f>'[1]Dividend fundamentals'!E27</f>
        <v>0.17439258095206728</v>
      </c>
      <c r="Z27" s="180">
        <f>1-[1]Fundgr!D27</f>
        <v>0.17439258095206722</v>
      </c>
      <c r="AA27" s="182">
        <f>[1]Margins!J28</f>
        <v>5.8289255738509536E-2</v>
      </c>
    </row>
    <row r="28" spans="1:27">
      <c r="A28" s="178" t="str">
        <f>'[1]Master data'!A28</f>
        <v>Electrical Equipment</v>
      </c>
      <c r="B28" s="179">
        <f>'[1]Master data'!B28</f>
        <v>110</v>
      </c>
      <c r="C28" s="180">
        <f>'[1]Hist Growth'!D28</f>
        <v>0.13897499999999999</v>
      </c>
      <c r="D28" s="180">
        <f>[1]Margins!F29</f>
        <v>9.9667734703206542E-2</v>
      </c>
      <c r="E28" s="180">
        <f>'[1]Return on capital'!H28</f>
        <v>0.1840328456371863</v>
      </c>
      <c r="F28" s="180">
        <f>'[1]Tax rates'!H29</f>
        <v>0.20103829040431295</v>
      </c>
      <c r="G28" s="181">
        <f>[1]Beta!H31</f>
        <v>1.4326548798323873</v>
      </c>
      <c r="H28" s="181">
        <f>[1]Beta!C31</f>
        <v>1.5896686619511227</v>
      </c>
      <c r="I28" s="180">
        <f>[1]WACC!D39</f>
        <v>0.13322631851989669</v>
      </c>
      <c r="J28" s="180">
        <f>[1]optvar!C33</f>
        <v>0.58554859436634488</v>
      </c>
      <c r="K28" s="180">
        <f>[1]WACC!G39</f>
        <v>5.8800000000000005E-2</v>
      </c>
      <c r="L28" s="180">
        <f>'[1]Debt fundamentals'!F28</f>
        <v>0.18379271640117503</v>
      </c>
      <c r="M28" s="180">
        <f>[1]WACC!K39</f>
        <v>0.11684555033628852</v>
      </c>
      <c r="N28" s="181">
        <f>'[1]Cap Ex'!J28</f>
        <v>1.784175397261031</v>
      </c>
      <c r="O28" s="181">
        <f>[1]PS!E28</f>
        <v>2.7669115666624866</v>
      </c>
      <c r="P28" s="181">
        <f>[1]EVEBITDA!D29</f>
        <v>12.687782652021538</v>
      </c>
      <c r="Q28" s="181">
        <f>[1]EVEBITDA!E29</f>
        <v>22.717789944737529</v>
      </c>
      <c r="R28" s="181">
        <f>[1]PBV!C28</f>
        <v>3.1311439640496568</v>
      </c>
      <c r="S28" s="181">
        <f>[1]PE!E28</f>
        <v>50.350247851678539</v>
      </c>
      <c r="T28" s="180">
        <f>'[1]Working capital'!F28</f>
        <v>0.25546598517273594</v>
      </c>
      <c r="U28" s="180">
        <f>'[1]Summary sheet uValue'!G37</f>
        <v>5.2685242562635834E-2</v>
      </c>
      <c r="V28" s="180">
        <f>'[1]Cap Ex'!H28</f>
        <v>0.14996801054437855</v>
      </c>
      <c r="W28" s="180">
        <f>[1]fundgrEB!D28</f>
        <v>2.7928575511304214</v>
      </c>
      <c r="X28" s="180">
        <f>[1]Fundgr!C28</f>
        <v>0.13203099340958588</v>
      </c>
      <c r="Y28" s="180">
        <f>'[1]Dividend fundamentals'!E28</f>
        <v>0.34460454633292631</v>
      </c>
      <c r="Z28" s="180">
        <f>1-[1]Fundgr!D28</f>
        <v>0.34460454633292636</v>
      </c>
      <c r="AA28" s="182">
        <f>[1]Margins!J29</f>
        <v>0.10772663000105302</v>
      </c>
    </row>
    <row r="29" spans="1:27">
      <c r="A29" s="178" t="str">
        <f>'[1]Master data'!A29</f>
        <v>Electronics (Consumer &amp; Office)</v>
      </c>
      <c r="B29" s="179">
        <f>'[1]Master data'!B29</f>
        <v>16</v>
      </c>
      <c r="C29" s="180">
        <f>'[1]Hist Growth'!D29</f>
        <v>-4.7299999999999972E-3</v>
      </c>
      <c r="D29" s="180">
        <f>[1]Margins!F30</f>
        <v>1.8532970035645514E-2</v>
      </c>
      <c r="E29" s="180">
        <f>'[1]Return on capital'!H29</f>
        <v>5.4638914455599978E-2</v>
      </c>
      <c r="F29" s="180">
        <f>'[1]Tax rates'!H30</f>
        <v>0.10064883323847465</v>
      </c>
      <c r="G29" s="181">
        <f>[1]Beta!H32</f>
        <v>1.6130596990178139</v>
      </c>
      <c r="H29" s="181">
        <f>[1]Beta!C32</f>
        <v>1.5389191240889379</v>
      </c>
      <c r="I29" s="180">
        <f>[1]WACC!D40</f>
        <v>0.13021179597088292</v>
      </c>
      <c r="J29" s="180">
        <f>[1]optvar!C34</f>
        <v>0.39564713245016608</v>
      </c>
      <c r="K29" s="180">
        <f>[1]WACC!G40</f>
        <v>5.5E-2</v>
      </c>
      <c r="L29" s="180">
        <f>'[1]Debt fundamentals'!F29</f>
        <v>0.14129490331068803</v>
      </c>
      <c r="M29" s="180">
        <f>[1]WACC!K40</f>
        <v>0.11764194761083187</v>
      </c>
      <c r="N29" s="181">
        <f>'[1]Cap Ex'!J29</f>
        <v>2.2252934810205893</v>
      </c>
      <c r="O29" s="181">
        <f>[1]PS!E29</f>
        <v>0.77629031014858285</v>
      </c>
      <c r="P29" s="181">
        <f>[1]EVEBITDA!D30</f>
        <v>10.434016718178196</v>
      </c>
      <c r="Q29" s="181">
        <f>[1]EVEBITDA!E30</f>
        <v>27.827755671946431</v>
      </c>
      <c r="R29" s="181">
        <f>[1]PBV!C29</f>
        <v>1.8651208939219588</v>
      </c>
      <c r="S29" s="181">
        <f>[1]PE!E29</f>
        <v>78.606221340129167</v>
      </c>
      <c r="T29" s="180">
        <f>'[1]Working capital'!F29</f>
        <v>0.13681325152347834</v>
      </c>
      <c r="U29" s="180">
        <f>'[1]Summary sheet uValue'!G38</f>
        <v>1.371020423662633E-2</v>
      </c>
      <c r="V29" s="180">
        <f>'[1]Cap Ex'!H29</f>
        <v>2.4097951690066212E-2</v>
      </c>
      <c r="W29" s="180">
        <f>[1]fundgrEB!D29</f>
        <v>4.4829804695730449</v>
      </c>
      <c r="X29" s="180">
        <f>[1]Fundgr!C29</f>
        <v>1.2750302661478806E-2</v>
      </c>
      <c r="Y29" s="180">
        <f>'[1]Dividend fundamentals'!E29</f>
        <v>0</v>
      </c>
      <c r="Z29" s="180">
        <f>1-[1]Fundgr!D29</f>
        <v>0</v>
      </c>
      <c r="AA29" s="182">
        <f>[1]Margins!J30</f>
        <v>2.5394437421319454E-2</v>
      </c>
    </row>
    <row r="30" spans="1:27">
      <c r="A30" s="178" t="str">
        <f>'[1]Master data'!A30</f>
        <v>Electronics (General)</v>
      </c>
      <c r="B30" s="179">
        <f>'[1]Master data'!B30</f>
        <v>138</v>
      </c>
      <c r="C30" s="180">
        <f>'[1]Hist Growth'!D30</f>
        <v>0.106349294117647</v>
      </c>
      <c r="D30" s="180">
        <f>[1]Margins!F31</f>
        <v>9.7360600820495899E-2</v>
      </c>
      <c r="E30" s="180">
        <f>'[1]Return on capital'!H30</f>
        <v>0.17474664762348024</v>
      </c>
      <c r="F30" s="180">
        <f>'[1]Tax rates'!H31</f>
        <v>0.18999442052432919</v>
      </c>
      <c r="G30" s="181">
        <f>[1]Beta!H33</f>
        <v>1.1161632606240839</v>
      </c>
      <c r="H30" s="181">
        <f>[1]Beta!C33</f>
        <v>1.2012527647557136</v>
      </c>
      <c r="I30" s="180">
        <f>[1]WACC!D41</f>
        <v>0.11015441422648939</v>
      </c>
      <c r="J30" s="180">
        <f>[1]optvar!C35</f>
        <v>0.449375866701406</v>
      </c>
      <c r="K30" s="180">
        <f>[1]WACC!G41</f>
        <v>5.5E-2</v>
      </c>
      <c r="L30" s="180">
        <f>'[1]Debt fundamentals'!F30</f>
        <v>0.15835752834031197</v>
      </c>
      <c r="M30" s="180">
        <f>[1]WACC!K41</f>
        <v>9.9242881497845506E-2</v>
      </c>
      <c r="N30" s="181">
        <f>'[1]Cap Ex'!J30</f>
        <v>1.8293533131914423</v>
      </c>
      <c r="O30" s="181">
        <f>[1]PS!E30</f>
        <v>1.9376194589256814</v>
      </c>
      <c r="P30" s="181">
        <f>[1]EVEBITDA!D31</f>
        <v>11.91629375511652</v>
      </c>
      <c r="Q30" s="181">
        <f>[1]EVEBITDA!E31</f>
        <v>19.249574240444776</v>
      </c>
      <c r="R30" s="181">
        <f>[1]PBV!C30</f>
        <v>3.0614854022412756</v>
      </c>
      <c r="S30" s="181">
        <f>[1]PE!E30</f>
        <v>58.252171064461706</v>
      </c>
      <c r="T30" s="180">
        <f>'[1]Working capital'!F30</f>
        <v>0.22422007253520718</v>
      </c>
      <c r="U30" s="180">
        <f>'[1]Summary sheet uValue'!G39</f>
        <v>4.5294833336637752E-2</v>
      </c>
      <c r="V30" s="180">
        <f>'[1]Cap Ex'!H30</f>
        <v>0.13580448309031176</v>
      </c>
      <c r="W30" s="180">
        <f>[1]fundgrEB!D30</f>
        <v>2.2341279690386662</v>
      </c>
      <c r="X30" s="180">
        <f>[1]Fundgr!C30</f>
        <v>0.12417520019293474</v>
      </c>
      <c r="Y30" s="180">
        <f>'[1]Dividend fundamentals'!E30</f>
        <v>0.10608878216021826</v>
      </c>
      <c r="Z30" s="180">
        <f>1-[1]Fundgr!D30</f>
        <v>0.10608878216021822</v>
      </c>
      <c r="AA30" s="182">
        <f>[1]Margins!J31</f>
        <v>0.10170714884999767</v>
      </c>
    </row>
    <row r="31" spans="1:27">
      <c r="A31" s="178" t="str">
        <f>'[1]Master data'!A31</f>
        <v>Engineering/Construction</v>
      </c>
      <c r="B31" s="179">
        <f>'[1]Master data'!B31</f>
        <v>43</v>
      </c>
      <c r="C31" s="180">
        <f>'[1]Hist Growth'!D31</f>
        <v>0.12138344827586202</v>
      </c>
      <c r="D31" s="180">
        <f>[1]Margins!F32</f>
        <v>4.4222349087226172E-2</v>
      </c>
      <c r="E31" s="180">
        <f>'[1]Return on capital'!H31</f>
        <v>0.13834621712937481</v>
      </c>
      <c r="F31" s="180">
        <f>'[1]Tax rates'!H32</f>
        <v>0.22883380517568075</v>
      </c>
      <c r="G31" s="181">
        <f>[1]Beta!H34</f>
        <v>1.0176246718468016</v>
      </c>
      <c r="H31" s="181">
        <f>[1]Beta!C34</f>
        <v>1.1967640138319908</v>
      </c>
      <c r="I31" s="180">
        <f>[1]WACC!D42</f>
        <v>0.10988778242162026</v>
      </c>
      <c r="J31" s="180">
        <f>[1]optvar!C36</f>
        <v>0.35166848143953711</v>
      </c>
      <c r="K31" s="180">
        <f>[1]WACC!G42</f>
        <v>5.5E-2</v>
      </c>
      <c r="L31" s="180">
        <f>'[1]Debt fundamentals'!F31</f>
        <v>0.24007634301961103</v>
      </c>
      <c r="M31" s="180">
        <f>[1]WACC!K42</f>
        <v>9.3409474624861918E-2</v>
      </c>
      <c r="N31" s="181">
        <f>'[1]Cap Ex'!J31</f>
        <v>3.3988532052232561</v>
      </c>
      <c r="O31" s="181">
        <f>[1]PS!E31</f>
        <v>1.0830755880289851</v>
      </c>
      <c r="P31" s="181">
        <f>[1]EVEBITDA!D32</f>
        <v>13.169580718377542</v>
      </c>
      <c r="Q31" s="181">
        <f>[1]EVEBITDA!E32</f>
        <v>22.987280318509931</v>
      </c>
      <c r="R31" s="181">
        <f>[1]PBV!C31</f>
        <v>2.8181860701948733</v>
      </c>
      <c r="S31" s="181">
        <f>[1]PE!E31</f>
        <v>29.062594674781394</v>
      </c>
      <c r="T31" s="180">
        <f>'[1]Working capital'!F31</f>
        <v>0.2001452260073408</v>
      </c>
      <c r="U31" s="180">
        <f>'[1]Summary sheet uValue'!G40</f>
        <v>3.1165438708910063E-2</v>
      </c>
      <c r="V31" s="180">
        <f>'[1]Cap Ex'!H31</f>
        <v>7.9250168173978799E-2</v>
      </c>
      <c r="W31" s="180">
        <f>[1]fundgrEB!D31</f>
        <v>3.0078308821485669</v>
      </c>
      <c r="X31" s="180">
        <f>[1]Fundgr!C31</f>
        <v>7.4957882083190208E-2</v>
      </c>
      <c r="Y31" s="180">
        <f>'[1]Dividend fundamentals'!E31</f>
        <v>0.16885746296448992</v>
      </c>
      <c r="Z31" s="180">
        <f>1-[1]Fundgr!D31</f>
        <v>0.16885746296448989</v>
      </c>
      <c r="AA31" s="182">
        <f>[1]Margins!J32</f>
        <v>4.6937601486130173E-2</v>
      </c>
    </row>
    <row r="32" spans="1:27">
      <c r="A32" s="178" t="str">
        <f>'[1]Master data'!A32</f>
        <v>Entertainment</v>
      </c>
      <c r="B32" s="179">
        <f>'[1]Master data'!B32</f>
        <v>110</v>
      </c>
      <c r="C32" s="180">
        <f>'[1]Hist Growth'!D32</f>
        <v>0.28593124999999997</v>
      </c>
      <c r="D32" s="180">
        <f>[1]Margins!F33</f>
        <v>7.5124581884332159E-2</v>
      </c>
      <c r="E32" s="180">
        <f>'[1]Return on capital'!H32</f>
        <v>0.11234825527684747</v>
      </c>
      <c r="F32" s="180">
        <f>'[1]Tax rates'!H33</f>
        <v>0.21094506563113774</v>
      </c>
      <c r="G32" s="181">
        <f>[1]Beta!H35</f>
        <v>1.2462224080092748</v>
      </c>
      <c r="H32" s="181">
        <f>[1]Beta!C35</f>
        <v>1.4497950169593838</v>
      </c>
      <c r="I32" s="180">
        <f>[1]WACC!D43</f>
        <v>0.12491782400738741</v>
      </c>
      <c r="J32" s="180">
        <f>[1]optvar!C37</f>
        <v>0.578095571351251</v>
      </c>
      <c r="K32" s="180">
        <f>[1]WACC!G43</f>
        <v>5.8800000000000005E-2</v>
      </c>
      <c r="L32" s="180">
        <f>'[1]Debt fundamentals'!F32</f>
        <v>0.24970269532215986</v>
      </c>
      <c r="M32" s="180">
        <f>[1]WACC!K43</f>
        <v>0.10473739552267081</v>
      </c>
      <c r="N32" s="181">
        <f>'[1]Cap Ex'!J32</f>
        <v>1.4645754612679325</v>
      </c>
      <c r="O32" s="181">
        <f>[1]PS!E32</f>
        <v>3.0598123732084623</v>
      </c>
      <c r="P32" s="181">
        <f>[1]EVEBITDA!D33</f>
        <v>17.462187520735604</v>
      </c>
      <c r="Q32" s="181">
        <f>[1]EVEBITDA!E33</f>
        <v>39.959071499427878</v>
      </c>
      <c r="R32" s="181">
        <f>[1]PBV!C32</f>
        <v>2.2249313608537848</v>
      </c>
      <c r="S32" s="181">
        <f>[1]PE!E32</f>
        <v>47.736718632185095</v>
      </c>
      <c r="T32" s="180">
        <f>'[1]Working capital'!F32</f>
        <v>4.1918182350946673E-2</v>
      </c>
      <c r="U32" s="180">
        <f>'[1]Summary sheet uValue'!G41</f>
        <v>4.4160033252208485E-2</v>
      </c>
      <c r="V32" s="180">
        <f>'[1]Cap Ex'!H32</f>
        <v>-4.9793033469523688E-3</v>
      </c>
      <c r="W32" s="180">
        <f>[1]fundgrEB!D32</f>
        <v>4.0500248906133907E-2</v>
      </c>
      <c r="X32" s="180">
        <f>[1]Fundgr!C32</f>
        <v>1.1812232323271436E-2</v>
      </c>
      <c r="Y32" s="180">
        <f>'[1]Dividend fundamentals'!E32</f>
        <v>0.50420530039623501</v>
      </c>
      <c r="Z32" s="180">
        <f>1-[1]Fundgr!D32</f>
        <v>0.50420530039623501</v>
      </c>
      <c r="AA32" s="182">
        <f>[1]Margins!J33</f>
        <v>7.927768866245001E-2</v>
      </c>
    </row>
    <row r="33" spans="1:27">
      <c r="A33" s="178" t="str">
        <f>'[1]Master data'!A33</f>
        <v>Environmental &amp; Waste Services</v>
      </c>
      <c r="B33" s="179">
        <f>'[1]Master data'!B33</f>
        <v>62</v>
      </c>
      <c r="C33" s="180">
        <f>'[1]Hist Growth'!D33</f>
        <v>0.10134039999999998</v>
      </c>
      <c r="D33" s="180">
        <f>[1]Margins!F34</f>
        <v>0.12594448291110921</v>
      </c>
      <c r="E33" s="180">
        <f>'[1]Return on capital'!H33</f>
        <v>0.28322287490094245</v>
      </c>
      <c r="F33" s="180">
        <f>'[1]Tax rates'!H34</f>
        <v>0.22114200170438975</v>
      </c>
      <c r="G33" s="181">
        <f>[1]Beta!H36</f>
        <v>0.85911095276292671</v>
      </c>
      <c r="H33" s="181">
        <f>[1]Beta!C36</f>
        <v>1.0153454106826958</v>
      </c>
      <c r="I33" s="180">
        <f>[1]WACC!D44</f>
        <v>9.9111517394552123E-2</v>
      </c>
      <c r="J33" s="180">
        <f>[1]optvar!C38</f>
        <v>0.48087346767746236</v>
      </c>
      <c r="K33" s="180">
        <f>[1]WACC!G44</f>
        <v>5.5E-2</v>
      </c>
      <c r="L33" s="180">
        <f>'[1]Debt fundamentals'!F33</f>
        <v>0.20341883913216277</v>
      </c>
      <c r="M33" s="180">
        <f>[1]WACC!K44</f>
        <v>8.7341394695726882E-2</v>
      </c>
      <c r="N33" s="181">
        <f>'[1]Cap Ex'!J33</f>
        <v>2.3308722386849454</v>
      </c>
      <c r="O33" s="181">
        <f>[1]PS!E33</f>
        <v>3.0346407791089263</v>
      </c>
      <c r="P33" s="181">
        <f>[1]EVEBITDA!D34</f>
        <v>14.022412125338205</v>
      </c>
      <c r="Q33" s="181">
        <f>[1]EVEBITDA!E34</f>
        <v>23.388429760710196</v>
      </c>
      <c r="R33" s="181">
        <f>[1]PBV!C33</f>
        <v>5.2920408951648428</v>
      </c>
      <c r="S33" s="181">
        <f>[1]PE!E33</f>
        <v>76.987307293928026</v>
      </c>
      <c r="T33" s="180">
        <f>'[1]Working capital'!F33</f>
        <v>0.10044659986151996</v>
      </c>
      <c r="U33" s="180">
        <f>'[1]Summary sheet uValue'!G42</f>
        <v>7.9139727267509397E-2</v>
      </c>
      <c r="V33" s="180">
        <f>'[1]Cap Ex'!H33</f>
        <v>9.6284714664775034E-2</v>
      </c>
      <c r="W33" s="180">
        <f>[1]fundgrEB!D33</f>
        <v>1.1007779432771518</v>
      </c>
      <c r="X33" s="180">
        <f>[1]Fundgr!C33</f>
        <v>0.16473874687290124</v>
      </c>
      <c r="Y33" s="180">
        <f>'[1]Dividend fundamentals'!E33</f>
        <v>0.46259054584477655</v>
      </c>
      <c r="Z33" s="180">
        <f>1-[1]Fundgr!D33</f>
        <v>0.46259054584477655</v>
      </c>
      <c r="AA33" s="182">
        <f>[1]Margins!J34</f>
        <v>0.12847422740055831</v>
      </c>
    </row>
    <row r="34" spans="1:27">
      <c r="A34" s="178" t="str">
        <f>'[1]Master data'!A34</f>
        <v>Farming/Agriculture</v>
      </c>
      <c r="B34" s="179">
        <f>'[1]Master data'!B34</f>
        <v>39</v>
      </c>
      <c r="C34" s="180">
        <f>'[1]Hist Growth'!D34</f>
        <v>0.17570944444444442</v>
      </c>
      <c r="D34" s="180">
        <f>[1]Margins!F35</f>
        <v>7.6215907232046409E-2</v>
      </c>
      <c r="E34" s="180">
        <f>'[1]Return on capital'!H34</f>
        <v>0.15172833554504575</v>
      </c>
      <c r="F34" s="180">
        <f>'[1]Tax rates'!H35</f>
        <v>0.20033571011302001</v>
      </c>
      <c r="G34" s="181">
        <f>[1]Beta!H37</f>
        <v>0.93104970680829247</v>
      </c>
      <c r="H34" s="181">
        <f>[1]Beta!C37</f>
        <v>1.1403135761675725</v>
      </c>
      <c r="I34" s="180">
        <f>[1]WACC!D45</f>
        <v>0.10653462642435381</v>
      </c>
      <c r="J34" s="180">
        <f>[1]optvar!C39</f>
        <v>0.54426709586173694</v>
      </c>
      <c r="K34" s="180">
        <f>[1]WACC!G45</f>
        <v>5.8800000000000005E-2</v>
      </c>
      <c r="L34" s="180">
        <f>'[1]Debt fundamentals'!F34</f>
        <v>0.25298812315410507</v>
      </c>
      <c r="M34" s="180">
        <f>[1]WACC!K45</f>
        <v>9.0739407465428842E-2</v>
      </c>
      <c r="N34" s="181">
        <f>'[1]Cap Ex'!J34</f>
        <v>2.0517765686150211</v>
      </c>
      <c r="O34" s="181">
        <f>[1]PS!E34</f>
        <v>1.2248382413417702</v>
      </c>
      <c r="P34" s="181">
        <f>[1]EVEBITDA!D35</f>
        <v>12.608931082460121</v>
      </c>
      <c r="Q34" s="181">
        <f>[1]EVEBITDA!E35</f>
        <v>15.581328911598986</v>
      </c>
      <c r="R34" s="181">
        <f>[1]PBV!C34</f>
        <v>3.4691348828249016</v>
      </c>
      <c r="S34" s="181">
        <f>[1]PE!E34</f>
        <v>22.12057113620223</v>
      </c>
      <c r="T34" s="180">
        <f>'[1]Working capital'!F34</f>
        <v>0.14828566056749271</v>
      </c>
      <c r="U34" s="180">
        <f>'[1]Summary sheet uValue'!G43</f>
        <v>2.9070036355784076E-2</v>
      </c>
      <c r="V34" s="180">
        <f>'[1]Cap Ex'!H34</f>
        <v>3.3357535977751228E-2</v>
      </c>
      <c r="W34" s="180">
        <f>[1]fundgrEB!D34</f>
        <v>1.4678368468897955</v>
      </c>
      <c r="X34" s="180">
        <f>[1]Fundgr!C34</f>
        <v>0.23648187908031001</v>
      </c>
      <c r="Y34" s="180">
        <f>'[1]Dividend fundamentals'!E34</f>
        <v>0.21028238912969796</v>
      </c>
      <c r="Z34" s="180">
        <f>1-[1]Fundgr!D34</f>
        <v>0.21028238912969799</v>
      </c>
      <c r="AA34" s="182">
        <f>[1]Margins!J35</f>
        <v>7.9114554996450856E-2</v>
      </c>
    </row>
    <row r="35" spans="1:27">
      <c r="A35" s="178" t="str">
        <f>'[1]Master data'!A35</f>
        <v>Financial Svcs. (Non-bank &amp; Insurance)</v>
      </c>
      <c r="B35" s="179">
        <f>'[1]Master data'!B35</f>
        <v>223</v>
      </c>
      <c r="C35" s="180">
        <f>'[1]Hist Growth'!D35</f>
        <v>0.1044040579710145</v>
      </c>
      <c r="D35" s="180">
        <f>[1]Margins!F36</f>
        <v>0.1588822815855376</v>
      </c>
      <c r="E35" s="180">
        <f>'[1]Return on capital'!H35</f>
        <v>6.5375652946372759E-3</v>
      </c>
      <c r="F35" s="180">
        <f>'[1]Tax rates'!H36</f>
        <v>0.2088068946745798</v>
      </c>
      <c r="G35" s="181">
        <f>[1]Beta!H38</f>
        <v>0.10617474510192053</v>
      </c>
      <c r="H35" s="181">
        <f>[1]Beta!C38</f>
        <v>0.88572507363771524</v>
      </c>
      <c r="I35" s="180">
        <f>[1]WACC!D46</f>
        <v>9.1412069374080279E-2</v>
      </c>
      <c r="J35" s="180">
        <f>[1]optvar!C40</f>
        <v>0.27145306503706762</v>
      </c>
      <c r="K35" s="180">
        <f>[1]WACC!G46</f>
        <v>5.5E-2</v>
      </c>
      <c r="L35" s="180">
        <f>'[1]Debt fundamentals'!F35</f>
        <v>0.90945279625195319</v>
      </c>
      <c r="M35" s="180">
        <f>[1]WACC!K46</f>
        <v>4.5792035116038507E-2</v>
      </c>
      <c r="N35" s="181">
        <f>'[1]Cap Ex'!J35</f>
        <v>4.716792489213012E-2</v>
      </c>
      <c r="O35" s="181">
        <f>[1]PS!E35</f>
        <v>23.486787015859328</v>
      </c>
      <c r="P35" s="181">
        <f>[1]EVEBITDA!D36</f>
        <v>91.880271507963911</v>
      </c>
      <c r="Q35" s="181">
        <f>[1]EVEBITDA!E36</f>
        <v>90.630536583768119</v>
      </c>
      <c r="R35" s="181">
        <f>[1]PBV!C35</f>
        <v>1.6875081521756248</v>
      </c>
      <c r="S35" s="181">
        <f>[1]PE!E35</f>
        <v>32.696300598543317</v>
      </c>
      <c r="T35" s="180" t="str">
        <f>'[1]Working capital'!F35</f>
        <v>NA</v>
      </c>
      <c r="U35" s="180">
        <f>'[1]Summary sheet uValue'!G44</f>
        <v>2.5335116701238395E-2</v>
      </c>
      <c r="V35" s="180">
        <f>'[1]Cap Ex'!H35</f>
        <v>3.6372628687447776E-2</v>
      </c>
      <c r="W35" s="180">
        <f>[1]fundgrEB!D35</f>
        <v>0.21848170755579219</v>
      </c>
      <c r="X35" s="180">
        <f>[1]Fundgr!C35</f>
        <v>0.48075065014765694</v>
      </c>
      <c r="Y35" s="180">
        <f>'[1]Dividend fundamentals'!E35</f>
        <v>0.13648733467216531</v>
      </c>
      <c r="Z35" s="180">
        <f>1-[1]Fundgr!D35</f>
        <v>0.13648733467216534</v>
      </c>
      <c r="AA35" s="182">
        <f>[1]Margins!J36</f>
        <v>0.16180683625994385</v>
      </c>
    </row>
    <row r="36" spans="1:27">
      <c r="A36" s="178" t="str">
        <f>'[1]Master data'!A36</f>
        <v>Food Processing</v>
      </c>
      <c r="B36" s="179">
        <f>'[1]Master data'!B36</f>
        <v>92</v>
      </c>
      <c r="C36" s="180">
        <f>'[1]Hist Growth'!D36</f>
        <v>0.25210224489795913</v>
      </c>
      <c r="D36" s="180">
        <f>[1]Margins!F37</f>
        <v>0.11768965472306084</v>
      </c>
      <c r="E36" s="180">
        <f>'[1]Return on capital'!H36</f>
        <v>0.1859935447135467</v>
      </c>
      <c r="F36" s="180">
        <f>'[1]Tax rates'!H37</f>
        <v>0.19895740390789407</v>
      </c>
      <c r="G36" s="181">
        <f>[1]Beta!H39</f>
        <v>0.76867267564864794</v>
      </c>
      <c r="H36" s="181">
        <f>[1]Beta!C39</f>
        <v>0.91752023311739583</v>
      </c>
      <c r="I36" s="180">
        <f>[1]WACC!D47</f>
        <v>9.3300701847173317E-2</v>
      </c>
      <c r="J36" s="180">
        <f>[1]optvar!C41</f>
        <v>0.34228783415433228</v>
      </c>
      <c r="K36" s="180">
        <f>[1]WACC!G47</f>
        <v>5.5E-2</v>
      </c>
      <c r="L36" s="180">
        <f>'[1]Debt fundamentals'!F36</f>
        <v>0.22395116431995885</v>
      </c>
      <c r="M36" s="180">
        <f>[1]WACC!K47</f>
        <v>8.1643886564827822E-2</v>
      </c>
      <c r="N36" s="181">
        <f>'[1]Cap Ex'!J36</f>
        <v>1.6859815207716935</v>
      </c>
      <c r="O36" s="181">
        <f>[1]PS!E36</f>
        <v>2.099541082262578</v>
      </c>
      <c r="P36" s="181">
        <f>[1]EVEBITDA!D37</f>
        <v>13.24274225046033</v>
      </c>
      <c r="Q36" s="181">
        <f>[1]EVEBITDA!E37</f>
        <v>17.401340165255593</v>
      </c>
      <c r="R36" s="181">
        <f>[1]PBV!C36</f>
        <v>2.6065242636797277</v>
      </c>
      <c r="S36" s="181">
        <f>[1]PE!E36</f>
        <v>52.474448865364643</v>
      </c>
      <c r="T36" s="180">
        <f>'[1]Working capital'!F36</f>
        <v>6.7615070122169982E-2</v>
      </c>
      <c r="U36" s="180">
        <f>'[1]Summary sheet uValue'!G45</f>
        <v>3.7021542355624312E-2</v>
      </c>
      <c r="V36" s="180">
        <f>'[1]Cap Ex'!H36</f>
        <v>3.7126517592543651E-2</v>
      </c>
      <c r="W36" s="180">
        <f>[1]fundgrEB!D36</f>
        <v>0.57543721311325657</v>
      </c>
      <c r="X36" s="180">
        <f>[1]Fundgr!C36</f>
        <v>0.11538895815608002</v>
      </c>
      <c r="Y36" s="180">
        <f>'[1]Dividend fundamentals'!E36</f>
        <v>0.53779059344768942</v>
      </c>
      <c r="Z36" s="180">
        <f>1-[1]Fundgr!D36</f>
        <v>0.53779059344768942</v>
      </c>
      <c r="AA36" s="182">
        <f>[1]Margins!J37</f>
        <v>0.11955369864953631</v>
      </c>
    </row>
    <row r="37" spans="1:27">
      <c r="A37" s="178" t="str">
        <f>'[1]Master data'!A37</f>
        <v>Food Wholesalers</v>
      </c>
      <c r="B37" s="179">
        <f>'[1]Master data'!B37</f>
        <v>14</v>
      </c>
      <c r="C37" s="180">
        <f>'[1]Hist Growth'!D37</f>
        <v>9.8360000000000003E-2</v>
      </c>
      <c r="D37" s="180">
        <f>[1]Margins!F38</f>
        <v>2.102412449953486E-2</v>
      </c>
      <c r="E37" s="180">
        <f>'[1]Return on capital'!H37</f>
        <v>0.15535644943181512</v>
      </c>
      <c r="F37" s="180">
        <f>'[1]Tax rates'!H38</f>
        <v>0.22254279669167149</v>
      </c>
      <c r="G37" s="181">
        <f>[1]Beta!H40</f>
        <v>0.84570471745037612</v>
      </c>
      <c r="H37" s="181">
        <f>[1]Beta!C40</f>
        <v>1.1237058272854066</v>
      </c>
      <c r="I37" s="180">
        <f>[1]WACC!D48</f>
        <v>0.10554812614075315</v>
      </c>
      <c r="J37" s="180">
        <f>[1]optvar!C42</f>
        <v>0.32418308733551454</v>
      </c>
      <c r="K37" s="180">
        <f>[1]WACC!G48</f>
        <v>5.5E-2</v>
      </c>
      <c r="L37" s="180">
        <f>'[1]Debt fundamentals'!F37</f>
        <v>0.31580170522329504</v>
      </c>
      <c r="M37" s="180">
        <f>[1]WACC!K48</f>
        <v>8.5242668262840771E-2</v>
      </c>
      <c r="N37" s="181">
        <f>'[1]Cap Ex'!J37</f>
        <v>8.4116413256224369</v>
      </c>
      <c r="O37" s="181">
        <f>[1]PS!E37</f>
        <v>0.41461800975807755</v>
      </c>
      <c r="P37" s="181">
        <f>[1]EVEBITDA!D38</f>
        <v>12.015914836847594</v>
      </c>
      <c r="Q37" s="181">
        <f>[1]EVEBITDA!E38</f>
        <v>19.708268616623734</v>
      </c>
      <c r="R37" s="181">
        <f>[1]PBV!C37</f>
        <v>4.536016224851112</v>
      </c>
      <c r="S37" s="181">
        <f>[1]PE!E37</f>
        <v>25.137922065338433</v>
      </c>
      <c r="T37" s="180">
        <f>'[1]Working capital'!F37</f>
        <v>6.3427895483225208E-2</v>
      </c>
      <c r="U37" s="180">
        <f>'[1]Summary sheet uValue'!G46</f>
        <v>8.2950791892441953E-3</v>
      </c>
      <c r="V37" s="180">
        <f>'[1]Cap Ex'!H37</f>
        <v>9.0348742574372157E-3</v>
      </c>
      <c r="W37" s="180">
        <f>[1]fundgrEB!D37</f>
        <v>1.2945984195977063</v>
      </c>
      <c r="X37" s="180">
        <f>[1]Fundgr!C37</f>
        <v>0.1898419988361979</v>
      </c>
      <c r="Y37" s="180">
        <f>'[1]Dividend fundamentals'!E37</f>
        <v>0.43594516376534403</v>
      </c>
      <c r="Z37" s="180">
        <f>1-[1]Fundgr!D37</f>
        <v>0.43594516376534398</v>
      </c>
      <c r="AA37" s="182">
        <f>[1]Margins!J38</f>
        <v>2.0972795580930102E-2</v>
      </c>
    </row>
    <row r="38" spans="1:27">
      <c r="A38" s="178" t="str">
        <f>'[1]Master data'!A38</f>
        <v>Furn/Home Furnishings</v>
      </c>
      <c r="B38" s="179">
        <f>'[1]Master data'!B38</f>
        <v>32</v>
      </c>
      <c r="C38" s="180">
        <f>'[1]Hist Growth'!D38</f>
        <v>0.14448380952380954</v>
      </c>
      <c r="D38" s="180">
        <f>[1]Margins!F39</f>
        <v>7.6593631254869204E-2</v>
      </c>
      <c r="E38" s="180">
        <f>'[1]Return on capital'!H38</f>
        <v>0.15236680821065973</v>
      </c>
      <c r="F38" s="180">
        <f>'[1]Tax rates'!H39</f>
        <v>0.32782325118771566</v>
      </c>
      <c r="G38" s="181">
        <f>[1]Beta!H41</f>
        <v>0.95191223222451615</v>
      </c>
      <c r="H38" s="181">
        <f>[1]Beta!C41</f>
        <v>1.2708955631991046</v>
      </c>
      <c r="I38" s="180">
        <f>[1]WACC!D49</f>
        <v>0.11429119645402681</v>
      </c>
      <c r="J38" s="180">
        <f>[1]optvar!C43</f>
        <v>0.41911842205905825</v>
      </c>
      <c r="K38" s="180">
        <f>[1]WACC!G49</f>
        <v>5.5E-2</v>
      </c>
      <c r="L38" s="180">
        <f>'[1]Debt fundamentals'!F38</f>
        <v>0.35871209353758288</v>
      </c>
      <c r="M38" s="180">
        <f>[1]WACC!K49</f>
        <v>8.8090435959512978E-2</v>
      </c>
      <c r="N38" s="181">
        <f>'[1]Cap Ex'!J38</f>
        <v>2.1902364409373862</v>
      </c>
      <c r="O38" s="181">
        <f>[1]PS!E38</f>
        <v>0.87935524110573271</v>
      </c>
      <c r="P38" s="181">
        <f>[1]EVEBITDA!D39</f>
        <v>6.2839190200646948</v>
      </c>
      <c r="Q38" s="181">
        <f>[1]EVEBITDA!E39</f>
        <v>10.046127129844884</v>
      </c>
      <c r="R38" s="181">
        <f>[1]PBV!C38</f>
        <v>1.822770795533889</v>
      </c>
      <c r="S38" s="181">
        <f>[1]PE!E38</f>
        <v>14.03013265423464</v>
      </c>
      <c r="T38" s="180">
        <f>'[1]Working capital'!F38</f>
        <v>0.15842212845958345</v>
      </c>
      <c r="U38" s="180">
        <f>'[1]Summary sheet uValue'!G47</f>
        <v>3.8007682752639126E-2</v>
      </c>
      <c r="V38" s="180">
        <f>'[1]Cap Ex'!H38</f>
        <v>3.8004110989091261E-2</v>
      </c>
      <c r="W38" s="180">
        <f>[1]fundgrEB!D38</f>
        <v>1.5065223416694009</v>
      </c>
      <c r="X38" s="180">
        <f>[1]Fundgr!C38</f>
        <v>5.4464565475778479E-2</v>
      </c>
      <c r="Y38" s="180">
        <f>'[1]Dividend fundamentals'!E38</f>
        <v>0.68019701522110831</v>
      </c>
      <c r="Z38" s="180">
        <f>1-[1]Fundgr!D38</f>
        <v>0.68019701522110831</v>
      </c>
      <c r="AA38" s="182">
        <f>[1]Margins!J39</f>
        <v>7.956088078382309E-2</v>
      </c>
    </row>
    <row r="39" spans="1:27">
      <c r="A39" s="178" t="str">
        <f>'[1]Master data'!A39</f>
        <v>Green &amp; Renewable Energy</v>
      </c>
      <c r="B39" s="179">
        <f>'[1]Master data'!B39</f>
        <v>19</v>
      </c>
      <c r="C39" s="180">
        <f>'[1]Hist Growth'!D39</f>
        <v>-0.14713666666666667</v>
      </c>
      <c r="D39" s="180">
        <f>[1]Margins!F40</f>
        <v>0.260956619525612</v>
      </c>
      <c r="E39" s="180">
        <f>'[1]Return on capital'!H39</f>
        <v>4.6816390058494056E-2</v>
      </c>
      <c r="F39" s="180">
        <f>'[1]Tax rates'!H40</f>
        <v>0.1404424588963212</v>
      </c>
      <c r="G39" s="181">
        <f>[1]Beta!H42</f>
        <v>0.87719231852421686</v>
      </c>
      <c r="H39" s="181">
        <f>[1]Beta!C42</f>
        <v>1.60070111091836</v>
      </c>
      <c r="I39" s="180">
        <f>[1]WACC!D50</f>
        <v>0.13388164598855057</v>
      </c>
      <c r="J39" s="180">
        <f>[1]optvar!C44</f>
        <v>0.67598359199996327</v>
      </c>
      <c r="K39" s="180">
        <f>[1]WACC!G50</f>
        <v>7.0099999999999996E-2</v>
      </c>
      <c r="L39" s="180">
        <f>'[1]Debt fundamentals'!F39</f>
        <v>0.54774951823179885</v>
      </c>
      <c r="M39" s="180">
        <f>[1]WACC!K50</f>
        <v>8.9345969819278573E-2</v>
      </c>
      <c r="N39" s="181">
        <f>'[1]Cap Ex'!J39</f>
        <v>0.20539294157771462</v>
      </c>
      <c r="O39" s="181">
        <f>[1]PS!E39</f>
        <v>7.785269341085777</v>
      </c>
      <c r="P39" s="181">
        <f>[1]EVEBITDA!D40</f>
        <v>12.701231489743156</v>
      </c>
      <c r="Q39" s="181">
        <f>[1]EVEBITDA!E40</f>
        <v>31.282179206839263</v>
      </c>
      <c r="R39" s="181">
        <f>[1]PBV!C39</f>
        <v>1.0789864566845957</v>
      </c>
      <c r="S39" s="181">
        <f>[1]PE!E39</f>
        <v>34.620574922445279</v>
      </c>
      <c r="T39" s="180">
        <f>'[1]Working capital'!F39</f>
        <v>-0.6111278234342038</v>
      </c>
      <c r="U39" s="180">
        <f>'[1]Summary sheet uValue'!G48</f>
        <v>0.45957007087460411</v>
      </c>
      <c r="V39" s="180">
        <f>'[1]Cap Ex'!H39</f>
        <v>0.26912402409773456</v>
      </c>
      <c r="W39" s="180">
        <f>[1]fundgrEB!D39</f>
        <v>1.5839659027786925</v>
      </c>
      <c r="X39" s="180">
        <f>[1]Fundgr!C39</f>
        <v>0.18266048315237854</v>
      </c>
      <c r="Y39" s="180">
        <f>'[1]Dividend fundamentals'!E39</f>
        <v>0.56847664608279069</v>
      </c>
      <c r="Z39" s="180">
        <f>1-[1]Fundgr!D39</f>
        <v>0.56847664608279069</v>
      </c>
      <c r="AA39" s="182">
        <f>[1]Margins!J40</f>
        <v>0.24440548669537576</v>
      </c>
    </row>
    <row r="40" spans="1:27">
      <c r="A40" s="178" t="str">
        <f>'[1]Master data'!A40</f>
        <v>Healthcare Products</v>
      </c>
      <c r="B40" s="179">
        <f>'[1]Master data'!B40</f>
        <v>254</v>
      </c>
      <c r="C40" s="180">
        <f>'[1]Hist Growth'!D40</f>
        <v>0.19900759398496237</v>
      </c>
      <c r="D40" s="180">
        <f>[1]Margins!F41</f>
        <v>0.15015238491328653</v>
      </c>
      <c r="E40" s="180">
        <f>'[1]Return on capital'!H40</f>
        <v>0.15878607397399988</v>
      </c>
      <c r="F40" s="180">
        <f>'[1]Tax rates'!H41</f>
        <v>0.15498161973077781</v>
      </c>
      <c r="G40" s="181">
        <f>[1]Beta!H43</f>
        <v>1.0971029719882097</v>
      </c>
      <c r="H40" s="181">
        <f>[1]Beta!C43</f>
        <v>1.1623831948690986</v>
      </c>
      <c r="I40" s="180">
        <f>[1]WACC!D51</f>
        <v>0.10784556177522446</v>
      </c>
      <c r="J40" s="180">
        <f>[1]optvar!C45</f>
        <v>0.50940122537609955</v>
      </c>
      <c r="K40" s="180">
        <f>[1]WACC!G51</f>
        <v>5.8800000000000005E-2</v>
      </c>
      <c r="L40" s="180">
        <f>'[1]Debt fundamentals'!F40</f>
        <v>0.11192266952101866</v>
      </c>
      <c r="M40" s="180">
        <f>[1]WACC!K51</f>
        <v>0.10071098833122433</v>
      </c>
      <c r="N40" s="181">
        <f>'[1]Cap Ex'!J40</f>
        <v>1.0339137994093208</v>
      </c>
      <c r="O40" s="181">
        <f>[1]PS!E40</f>
        <v>5.1528482926352703</v>
      </c>
      <c r="P40" s="181">
        <f>[1]EVEBITDA!D41</f>
        <v>19.089978627201564</v>
      </c>
      <c r="Q40" s="181">
        <f>[1]EVEBITDA!E41</f>
        <v>32.02458868945606</v>
      </c>
      <c r="R40" s="181">
        <f>[1]PBV!C40</f>
        <v>4.7012180470511611</v>
      </c>
      <c r="S40" s="181">
        <f>[1]PE!E40</f>
        <v>62.958973741822945</v>
      </c>
      <c r="T40" s="180">
        <f>'[1]Working capital'!F40</f>
        <v>0.2449164318011062</v>
      </c>
      <c r="U40" s="180">
        <f>'[1]Summary sheet uValue'!G49</f>
        <v>4.8577665270095417E-2</v>
      </c>
      <c r="V40" s="180">
        <f>'[1]Cap Ex'!H40</f>
        <v>0.125937345585974</v>
      </c>
      <c r="W40" s="180">
        <f>[1]fundgrEB!D40</f>
        <v>1.2930672956492639</v>
      </c>
      <c r="X40" s="180">
        <f>[1]Fundgr!C40</f>
        <v>7.091922967824961E-2</v>
      </c>
      <c r="Y40" s="180">
        <f>'[1]Dividend fundamentals'!E40</f>
        <v>0.4613141074361804</v>
      </c>
      <c r="Z40" s="180">
        <f>1-[1]Fundgr!D40</f>
        <v>0.4613141074361804</v>
      </c>
      <c r="AA40" s="182">
        <f>[1]Margins!J41</f>
        <v>0.15917088171556376</v>
      </c>
    </row>
    <row r="41" spans="1:27">
      <c r="A41" s="178" t="str">
        <f>'[1]Master data'!A41</f>
        <v>Healthcare Support Services</v>
      </c>
      <c r="B41" s="179">
        <f>'[1]Master data'!B41</f>
        <v>131</v>
      </c>
      <c r="C41" s="180">
        <f>'[1]Hist Growth'!D41</f>
        <v>0.20156749999999996</v>
      </c>
      <c r="D41" s="180">
        <f>[1]Margins!F42</f>
        <v>4.0715257598896333E-2</v>
      </c>
      <c r="E41" s="180">
        <f>'[1]Return on capital'!H41</f>
        <v>0.33786301082539277</v>
      </c>
      <c r="F41" s="180">
        <f>'[1]Tax rates'!H42</f>
        <v>0.22031799938817112</v>
      </c>
      <c r="G41" s="181">
        <f>[1]Beta!H44</f>
        <v>1.0725471879998554</v>
      </c>
      <c r="H41" s="181">
        <f>[1]Beta!C44</f>
        <v>1.1603652760592904</v>
      </c>
      <c r="I41" s="180">
        <f>[1]WACC!D52</f>
        <v>0.10772569739792186</v>
      </c>
      <c r="J41" s="180">
        <f>[1]optvar!C46</f>
        <v>0.47792508451312243</v>
      </c>
      <c r="K41" s="180">
        <f>[1]WACC!G52</f>
        <v>5.5E-2</v>
      </c>
      <c r="L41" s="180">
        <f>'[1]Debt fundamentals'!F41</f>
        <v>0.19097410804999704</v>
      </c>
      <c r="M41" s="180">
        <f>[1]WACC!K52</f>
        <v>9.5030560380352236E-2</v>
      </c>
      <c r="N41" s="181">
        <f>'[1]Cap Ex'!J41</f>
        <v>9.0252769307357763</v>
      </c>
      <c r="O41" s="181">
        <f>[1]PS!E41</f>
        <v>0.6887289455148623</v>
      </c>
      <c r="P41" s="181">
        <f>[1]EVEBITDA!D42</f>
        <v>12.160437523661249</v>
      </c>
      <c r="Q41" s="181">
        <f>[1]EVEBITDA!E42</f>
        <v>16.776247571494821</v>
      </c>
      <c r="R41" s="181">
        <f>[1]PBV!C41</f>
        <v>3.6006610530276073</v>
      </c>
      <c r="S41" s="181">
        <f>[1]PE!E41</f>
        <v>45.908014552106231</v>
      </c>
      <c r="T41" s="180">
        <f>'[1]Working capital'!F41</f>
        <v>-7.1402598028056971E-2</v>
      </c>
      <c r="U41" s="180">
        <f>'[1]Summary sheet uValue'!G50</f>
        <v>7.3256589939606218E-3</v>
      </c>
      <c r="V41" s="180">
        <f>'[1]Cap Ex'!H41</f>
        <v>8.0213467891352766E-3</v>
      </c>
      <c r="W41" s="180">
        <f>[1]fundgrEB!D41</f>
        <v>0.30340227132321113</v>
      </c>
      <c r="X41" s="180">
        <f>[1]Fundgr!C41</f>
        <v>0.12337379962692853</v>
      </c>
      <c r="Y41" s="180">
        <f>'[1]Dividend fundamentals'!E41</f>
        <v>0.33042108015587673</v>
      </c>
      <c r="Z41" s="180">
        <f>1-[1]Fundgr!D41</f>
        <v>0.33042108015587668</v>
      </c>
      <c r="AA41" s="182">
        <f>[1]Margins!J42</f>
        <v>4.0133361243225418E-2</v>
      </c>
    </row>
    <row r="42" spans="1:27">
      <c r="A42" s="178" t="str">
        <f>'[1]Master data'!A42</f>
        <v>Heathcare Information and Technology</v>
      </c>
      <c r="B42" s="179">
        <f>'[1]Master data'!B42</f>
        <v>138</v>
      </c>
      <c r="C42" s="180">
        <f>'[1]Hist Growth'!D42</f>
        <v>0.20452035087719289</v>
      </c>
      <c r="D42" s="180">
        <f>[1]Margins!F43</f>
        <v>0.16931545144392471</v>
      </c>
      <c r="E42" s="180">
        <f>'[1]Return on capital'!H42</f>
        <v>0.19103562594036017</v>
      </c>
      <c r="F42" s="180">
        <f>'[1]Tax rates'!H43</f>
        <v>0.15820736589386364</v>
      </c>
      <c r="G42" s="181">
        <f>[1]Beta!H45</f>
        <v>1.3707361878163189</v>
      </c>
      <c r="H42" s="181">
        <f>[1]Beta!C45</f>
        <v>1.4715094541215377</v>
      </c>
      <c r="I42" s="180">
        <f>[1]WACC!D53</f>
        <v>0.12620766157481933</v>
      </c>
      <c r="J42" s="180">
        <f>[1]optvar!C47</f>
        <v>0.53871737622490645</v>
      </c>
      <c r="K42" s="180">
        <f>[1]WACC!G53</f>
        <v>5.8800000000000005E-2</v>
      </c>
      <c r="L42" s="180">
        <f>'[1]Debt fundamentals'!F42</f>
        <v>0.12440570020083286</v>
      </c>
      <c r="M42" s="180">
        <f>[1]WACC!K53</f>
        <v>0.11599300044475092</v>
      </c>
      <c r="N42" s="181">
        <f>'[1]Cap Ex'!J42</f>
        <v>1.1333037378180726</v>
      </c>
      <c r="O42" s="181">
        <f>[1]PS!E42</f>
        <v>5.3325294190233024</v>
      </c>
      <c r="P42" s="181">
        <f>[1]EVEBITDA!D43</f>
        <v>19.362951181106027</v>
      </c>
      <c r="Q42" s="181">
        <f>[1]EVEBITDA!E43</f>
        <v>30.48594494927957</v>
      </c>
      <c r="R42" s="181">
        <f>[1]PBV!C42</f>
        <v>4.3261553331491758</v>
      </c>
      <c r="S42" s="181">
        <f>[1]PE!E42</f>
        <v>48.341137501288586</v>
      </c>
      <c r="T42" s="180">
        <f>'[1]Working capital'!F42</f>
        <v>0.22486925050519696</v>
      </c>
      <c r="U42" s="180">
        <f>'[1]Summary sheet uValue'!G51</f>
        <v>4.9135934356261277E-2</v>
      </c>
      <c r="V42" s="180">
        <f>'[1]Cap Ex'!H42</f>
        <v>0.14769419579728138</v>
      </c>
      <c r="W42" s="180">
        <f>[1]fundgrEB!D42</f>
        <v>1.2967985907886859</v>
      </c>
      <c r="X42" s="180">
        <f>[1]Fundgr!C42</f>
        <v>-2.8789813310332304E-3</v>
      </c>
      <c r="Y42" s="180">
        <f>'[1]Dividend fundamentals'!E42</f>
        <v>4.3282833182668018E-4</v>
      </c>
      <c r="Z42" s="180">
        <f>1-[1]Fundgr!D42</f>
        <v>4.3282833182667346E-4</v>
      </c>
      <c r="AA42" s="182">
        <f>[1]Margins!J43</f>
        <v>0.17588409101918592</v>
      </c>
    </row>
    <row r="43" spans="1:27">
      <c r="A43" s="178" t="str">
        <f>'[1]Master data'!A43</f>
        <v>Homebuilding</v>
      </c>
      <c r="B43" s="179">
        <f>'[1]Master data'!B43</f>
        <v>32</v>
      </c>
      <c r="C43" s="180">
        <f>'[1]Hist Growth'!D43</f>
        <v>0.15822272727272732</v>
      </c>
      <c r="D43" s="180">
        <f>[1]Margins!F44</f>
        <v>0.18763159239110155</v>
      </c>
      <c r="E43" s="180">
        <f>'[1]Return on capital'!H43</f>
        <v>0.28173702467387046</v>
      </c>
      <c r="F43" s="180">
        <f>'[1]Tax rates'!H44</f>
        <v>0.23124619223292053</v>
      </c>
      <c r="G43" s="181">
        <f>[1]Beta!H46</f>
        <v>1.3331558308257836</v>
      </c>
      <c r="H43" s="181">
        <f>[1]Beta!C46</f>
        <v>1.5022071383659328</v>
      </c>
      <c r="I43" s="180">
        <f>[1]WACC!D54</f>
        <v>0.12803110401893641</v>
      </c>
      <c r="J43" s="180">
        <f>[1]optvar!C48</f>
        <v>0.33330387129630179</v>
      </c>
      <c r="K43" s="180">
        <f>[1]WACC!G54</f>
        <v>5.5E-2</v>
      </c>
      <c r="L43" s="180">
        <f>'[1]Debt fundamentals'!F43</f>
        <v>0.24434620786730529</v>
      </c>
      <c r="M43" s="180">
        <f>[1]WACC!K54</f>
        <v>0.10682647033737112</v>
      </c>
      <c r="N43" s="181">
        <f>'[1]Cap Ex'!J43</f>
        <v>1.8239578402915135</v>
      </c>
      <c r="O43" s="181">
        <f>[1]PS!E43</f>
        <v>0.85286384314212538</v>
      </c>
      <c r="P43" s="181">
        <f>[1]EVEBITDA!D44</f>
        <v>4.3890620152083137</v>
      </c>
      <c r="Q43" s="181">
        <f>[1]EVEBITDA!E44</f>
        <v>4.5364031276398906</v>
      </c>
      <c r="R43" s="181">
        <f>[1]PBV!C43</f>
        <v>1.2863359814095505</v>
      </c>
      <c r="S43" s="181">
        <f>[1]PE!E43</f>
        <v>5.0845371401835715</v>
      </c>
      <c r="T43" s="180">
        <f>'[1]Working capital'!F43</f>
        <v>0.63254621439333414</v>
      </c>
      <c r="U43" s="180">
        <f>'[1]Summary sheet uValue'!G52</f>
        <v>5.0943446585196223E-3</v>
      </c>
      <c r="V43" s="180">
        <f>'[1]Cap Ex'!H43</f>
        <v>1.3602387991019798E-2</v>
      </c>
      <c r="W43" s="180">
        <f>[1]fundgrEB!D43</f>
        <v>0.69959467750769999</v>
      </c>
      <c r="X43" s="180">
        <f>[1]Fundgr!C43</f>
        <v>0.30747510708973141</v>
      </c>
      <c r="Y43" s="180">
        <f>'[1]Dividend fundamentals'!E43</f>
        <v>5.4486024996357962E-2</v>
      </c>
      <c r="Z43" s="180">
        <f>1-[1]Fundgr!D43</f>
        <v>5.4486024996357907E-2</v>
      </c>
      <c r="AA43" s="182">
        <f>[1]Margins!J44</f>
        <v>0.18794668320617053</v>
      </c>
    </row>
    <row r="44" spans="1:27">
      <c r="A44" s="178" t="str">
        <f>'[1]Master data'!A44</f>
        <v>Hospitals/Healthcare Facilities</v>
      </c>
      <c r="B44" s="179">
        <f>'[1]Master data'!B44</f>
        <v>34</v>
      </c>
      <c r="C44" s="180">
        <f>'[1]Hist Growth'!D44</f>
        <v>1.5967368421052629E-2</v>
      </c>
      <c r="D44" s="180">
        <f>[1]Margins!F45</f>
        <v>0.11615164232145252</v>
      </c>
      <c r="E44" s="180">
        <f>'[1]Return on capital'!H44</f>
        <v>0.20452836690892628</v>
      </c>
      <c r="F44" s="180">
        <f>'[1]Tax rates'!H45</f>
        <v>0.24113534072653886</v>
      </c>
      <c r="G44" s="181">
        <f>[1]Beta!H47</f>
        <v>0.72307947581048349</v>
      </c>
      <c r="H44" s="181">
        <f>[1]Beta!C47</f>
        <v>1.174001444953803</v>
      </c>
      <c r="I44" s="180">
        <f>[1]WACC!D55</f>
        <v>0.1085356858302559</v>
      </c>
      <c r="J44" s="180">
        <f>[1]optvar!C49</f>
        <v>0.5119442326502478</v>
      </c>
      <c r="K44" s="180">
        <f>[1]WACC!G55</f>
        <v>5.8800000000000005E-2</v>
      </c>
      <c r="L44" s="180">
        <f>'[1]Debt fundamentals'!F44</f>
        <v>0.46591874206509154</v>
      </c>
      <c r="M44" s="180">
        <f>[1]WACC!K55</f>
        <v>7.8513892144121633E-2</v>
      </c>
      <c r="N44" s="181">
        <f>'[1]Cap Ex'!J44</f>
        <v>1.9460469084153049</v>
      </c>
      <c r="O44" s="181">
        <f>[1]PS!E44</f>
        <v>1.5690399443104104</v>
      </c>
      <c r="P44" s="181">
        <f>[1]EVEBITDA!D45</f>
        <v>8.7043988675181971</v>
      </c>
      <c r="Q44" s="181">
        <f>[1]EVEBITDA!E45</f>
        <v>13.48218533002113</v>
      </c>
      <c r="R44" s="181">
        <f>[1]PBV!C44</f>
        <v>5.3262709154662966</v>
      </c>
      <c r="S44" s="181">
        <f>[1]PE!E44</f>
        <v>105.59442613995225</v>
      </c>
      <c r="T44" s="180">
        <f>'[1]Working capital'!F44</f>
        <v>0.10445838743236993</v>
      </c>
      <c r="U44" s="180">
        <f>'[1]Summary sheet uValue'!G53</f>
        <v>6.0329489055505968E-2</v>
      </c>
      <c r="V44" s="180">
        <f>'[1]Cap Ex'!H44</f>
        <v>3.632154631162509E-2</v>
      </c>
      <c r="W44" s="180">
        <f>[1]fundgrEB!D44</f>
        <v>0.63442286965049366</v>
      </c>
      <c r="X44" s="180">
        <f>[1]Fundgr!C44</f>
        <v>0.49037665345444303</v>
      </c>
      <c r="Y44" s="180">
        <f>'[1]Dividend fundamentals'!E44</f>
        <v>0.13557220326973293</v>
      </c>
      <c r="Z44" s="180">
        <f>1-[1]Fundgr!D44</f>
        <v>0.13557220326973296</v>
      </c>
      <c r="AA44" s="182">
        <f>[1]Margins!J45</f>
        <v>0.11620573950103597</v>
      </c>
    </row>
    <row r="45" spans="1:27">
      <c r="A45" s="178" t="str">
        <f>'[1]Master data'!A45</f>
        <v>Hotel/Gaming</v>
      </c>
      <c r="B45" s="179">
        <f>'[1]Master data'!B45</f>
        <v>69</v>
      </c>
      <c r="C45" s="180">
        <f>'[1]Hist Growth'!D45</f>
        <v>7.5841891891891888E-2</v>
      </c>
      <c r="D45" s="180">
        <f>[1]Margins!F46</f>
        <v>7.2491135569895698E-2</v>
      </c>
      <c r="E45" s="180">
        <f>'[1]Return on capital'!H45</f>
        <v>2.338560835877878E-2</v>
      </c>
      <c r="F45" s="180">
        <f>'[1]Tax rates'!H46</f>
        <v>0.23845423964291163</v>
      </c>
      <c r="G45" s="181">
        <f>[1]Beta!H48</f>
        <v>1.0609649277632753</v>
      </c>
      <c r="H45" s="181">
        <f>[1]Beta!C48</f>
        <v>1.4599765370156599</v>
      </c>
      <c r="I45" s="180">
        <f>[1]WACC!D56</f>
        <v>0.12552260629873019</v>
      </c>
      <c r="J45" s="180">
        <f>[1]optvar!C50</f>
        <v>0.38051359185436157</v>
      </c>
      <c r="K45" s="180">
        <f>[1]WACC!G56</f>
        <v>5.5E-2</v>
      </c>
      <c r="L45" s="180">
        <f>'[1]Debt fundamentals'!F45</f>
        <v>0.39967778031636919</v>
      </c>
      <c r="M45" s="180">
        <f>[1]WACC!K56</f>
        <v>9.1840718071778432E-2</v>
      </c>
      <c r="N45" s="181">
        <f>'[1]Cap Ex'!J45</f>
        <v>0.64787039431885951</v>
      </c>
      <c r="O45" s="181">
        <f>[1]PS!E45</f>
        <v>4.2049047271240401</v>
      </c>
      <c r="P45" s="181">
        <f>[1]EVEBITDA!D46</f>
        <v>15.187616716813173</v>
      </c>
      <c r="Q45" s="181">
        <f>[1]EVEBITDA!E46</f>
        <v>82.577163959326853</v>
      </c>
      <c r="R45" s="181">
        <f>[1]PBV!C45</f>
        <v>6.7731300365371192</v>
      </c>
      <c r="S45" s="181">
        <f>[1]PE!E45</f>
        <v>17.546856842427747</v>
      </c>
      <c r="T45" s="180">
        <f>'[1]Working capital'!F45</f>
        <v>7.508768954208403E-2</v>
      </c>
      <c r="U45" s="180">
        <f>'[1]Summary sheet uValue'!G54</f>
        <v>8.0785888262600178E-2</v>
      </c>
      <c r="V45" s="180">
        <f>'[1]Cap Ex'!H45</f>
        <v>4.5490902879932432E-2</v>
      </c>
      <c r="W45" s="180">
        <f>[1]fundgrEB!D45</f>
        <v>2.5582638357878977</v>
      </c>
      <c r="X45" s="180">
        <f>[1]Fundgr!C45</f>
        <v>2.5319429359336565E-2</v>
      </c>
      <c r="Y45" s="180">
        <f>'[1]Dividend fundamentals'!E45</f>
        <v>0.49425325285811983</v>
      </c>
      <c r="Z45" s="180">
        <f>1-[1]Fundgr!D45</f>
        <v>0.49425325285811983</v>
      </c>
      <c r="AA45" s="182">
        <f>[1]Margins!J46</f>
        <v>3.9542921090355107E-2</v>
      </c>
    </row>
    <row r="46" spans="1:27">
      <c r="A46" s="178" t="str">
        <f>'[1]Master data'!A46</f>
        <v>Household Products</v>
      </c>
      <c r="B46" s="179">
        <f>'[1]Master data'!B46</f>
        <v>127</v>
      </c>
      <c r="C46" s="180">
        <f>'[1]Hist Growth'!D46</f>
        <v>0.11551042553191491</v>
      </c>
      <c r="D46" s="180">
        <f>[1]Margins!F47</f>
        <v>0.16990919421137413</v>
      </c>
      <c r="E46" s="180">
        <f>'[1]Return on capital'!H46</f>
        <v>0.34916245427993664</v>
      </c>
      <c r="F46" s="180">
        <f>'[1]Tax rates'!H47</f>
        <v>0.2015988668185506</v>
      </c>
      <c r="G46" s="181">
        <f>[1]Beta!H49</f>
        <v>1.0578798468783357</v>
      </c>
      <c r="H46" s="181">
        <f>[1]Beta!C49</f>
        <v>1.1550009836175177</v>
      </c>
      <c r="I46" s="180">
        <f>[1]WACC!D57</f>
        <v>0.10740705842688056</v>
      </c>
      <c r="J46" s="180">
        <f>[1]optvar!C51</f>
        <v>0.56827524943110697</v>
      </c>
      <c r="K46" s="180">
        <f>[1]WACC!G57</f>
        <v>5.8800000000000005E-2</v>
      </c>
      <c r="L46" s="180">
        <f>'[1]Debt fundamentals'!F46</f>
        <v>0.13437882331900164</v>
      </c>
      <c r="M46" s="180">
        <f>[1]WACC!K57</f>
        <v>9.889993040768906E-2</v>
      </c>
      <c r="N46" s="181">
        <f>'[1]Cap Ex'!J46</f>
        <v>2.1854467010901835</v>
      </c>
      <c r="O46" s="181">
        <f>[1]PS!E46</f>
        <v>3.6464203371631907</v>
      </c>
      <c r="P46" s="181">
        <f>[1]EVEBITDA!D47</f>
        <v>16.847339181418562</v>
      </c>
      <c r="Q46" s="181">
        <f>[1]EVEBITDA!E47</f>
        <v>21.18720479743272</v>
      </c>
      <c r="R46" s="181">
        <f>[1]PBV!C46</f>
        <v>9.1673284053546542</v>
      </c>
      <c r="S46" s="181">
        <f>[1]PE!E46</f>
        <v>124.19393691012411</v>
      </c>
      <c r="T46" s="180">
        <f>'[1]Working capital'!F46</f>
        <v>8.557124926849248E-2</v>
      </c>
      <c r="U46" s="180">
        <f>'[1]Summary sheet uValue'!G55</f>
        <v>3.7284036291301163E-2</v>
      </c>
      <c r="V46" s="180">
        <f>'[1]Cap Ex'!H46</f>
        <v>2.1526585003622836E-2</v>
      </c>
      <c r="W46" s="180">
        <f>[1]fundgrEB!D46</f>
        <v>0.30086972700331699</v>
      </c>
      <c r="X46" s="180">
        <f>[1]Fundgr!C46</f>
        <v>0.33178970303031108</v>
      </c>
      <c r="Y46" s="180">
        <f>'[1]Dividend fundamentals'!E46</f>
        <v>0.63694590638551551</v>
      </c>
      <c r="Z46" s="180">
        <f>1-[1]Fundgr!D46</f>
        <v>0.63694590638551551</v>
      </c>
      <c r="AA46" s="182">
        <f>[1]Margins!J47</f>
        <v>0.17128481786522984</v>
      </c>
    </row>
    <row r="47" spans="1:27">
      <c r="A47" s="178" t="str">
        <f>'[1]Master data'!A47</f>
        <v>Information Services</v>
      </c>
      <c r="B47" s="179">
        <f>'[1]Master data'!B47</f>
        <v>73</v>
      </c>
      <c r="C47" s="180">
        <f>'[1]Hist Growth'!D47</f>
        <v>0.11055135135135132</v>
      </c>
      <c r="D47" s="180">
        <f>[1]Margins!F48</f>
        <v>0.24023393261357548</v>
      </c>
      <c r="E47" s="180">
        <f>'[1]Return on capital'!H47</f>
        <v>0.32885779790753611</v>
      </c>
      <c r="F47" s="180">
        <f>'[1]Tax rates'!H48</f>
        <v>0.19105010155621463</v>
      </c>
      <c r="G47" s="181">
        <f>[1]Beta!H50</f>
        <v>1.3334436182933442</v>
      </c>
      <c r="H47" s="181">
        <f>[1]Beta!C50</f>
        <v>1.4047128789332648</v>
      </c>
      <c r="I47" s="180">
        <f>[1]WACC!D58</f>
        <v>0.12223994500863593</v>
      </c>
      <c r="J47" s="180">
        <f>[1]optvar!C52</f>
        <v>0.4510937058049509</v>
      </c>
      <c r="K47" s="180">
        <f>[1]WACC!G58</f>
        <v>5.5E-2</v>
      </c>
      <c r="L47" s="180">
        <f>'[1]Debt fundamentals'!F47</f>
        <v>0.11550414899232817</v>
      </c>
      <c r="M47" s="180">
        <f>[1]WACC!K58</f>
        <v>0.11288527033347798</v>
      </c>
      <c r="N47" s="181">
        <f>'[1]Cap Ex'!J47</f>
        <v>1.5141875230145225</v>
      </c>
      <c r="O47" s="181">
        <f>[1]PS!E47</f>
        <v>6.2565620034079643</v>
      </c>
      <c r="P47" s="181">
        <f>[1]EVEBITDA!D48</f>
        <v>18.382536710012751</v>
      </c>
      <c r="Q47" s="181">
        <f>[1]EVEBITDA!E48</f>
        <v>24.564148067341321</v>
      </c>
      <c r="R47" s="181">
        <f>[1]PBV!C47</f>
        <v>5.9729645320866211</v>
      </c>
      <c r="S47" s="181">
        <f>[1]PE!E47</f>
        <v>60.496023071559009</v>
      </c>
      <c r="T47" s="180">
        <f>'[1]Working capital'!F47</f>
        <v>3.0657700926152779E-2</v>
      </c>
      <c r="U47" s="180">
        <f>'[1]Summary sheet uValue'!G56</f>
        <v>2.9758877206398943E-2</v>
      </c>
      <c r="V47" s="180">
        <f>'[1]Cap Ex'!H47</f>
        <v>2.5448641162149385E-2</v>
      </c>
      <c r="W47" s="180">
        <f>[1]fundgrEB!D47</f>
        <v>0.21794407398303611</v>
      </c>
      <c r="X47" s="180">
        <f>[1]Fundgr!C47</f>
        <v>0.17742326258322197</v>
      </c>
      <c r="Y47" s="180">
        <f>'[1]Dividend fundamentals'!E47</f>
        <v>0.28072861797189408</v>
      </c>
      <c r="Z47" s="180">
        <f>1-[1]Fundgr!D47</f>
        <v>0.28072861797189408</v>
      </c>
      <c r="AA47" s="182">
        <f>[1]Margins!J48</f>
        <v>0.24732602294106956</v>
      </c>
    </row>
    <row r="48" spans="1:27">
      <c r="A48" s="178" t="str">
        <f>'[1]Master data'!A48</f>
        <v>Insurance (General)</v>
      </c>
      <c r="B48" s="179">
        <f>'[1]Master data'!B48</f>
        <v>21</v>
      </c>
      <c r="C48" s="180">
        <f>'[1]Hist Growth'!D48</f>
        <v>6.9009090909090909E-2</v>
      </c>
      <c r="D48" s="180">
        <f>[1]Margins!F49</f>
        <v>0.21821797164749521</v>
      </c>
      <c r="E48" s="180">
        <f>'[1]Return on capital'!H48</f>
        <v>0.19306560566074529</v>
      </c>
      <c r="F48" s="180">
        <f>'[1]Tax rates'!H49</f>
        <v>0.20378651559004954</v>
      </c>
      <c r="G48" s="181">
        <f>[1]Beta!H51</f>
        <v>1.0269385936275734</v>
      </c>
      <c r="H48" s="181">
        <f>[1]Beta!C51</f>
        <v>1.2277613538599423</v>
      </c>
      <c r="I48" s="180">
        <f>[1]WACC!D59</f>
        <v>0.11172902441928058</v>
      </c>
      <c r="J48" s="180">
        <f>[1]optvar!C53</f>
        <v>0.43761028506670019</v>
      </c>
      <c r="K48" s="180">
        <f>[1]WACC!G59</f>
        <v>5.5E-2</v>
      </c>
      <c r="L48" s="180">
        <f>'[1]Debt fundamentals'!F48</f>
        <v>0.2336517107244612</v>
      </c>
      <c r="M48" s="180">
        <f>[1]WACC!K59</f>
        <v>9.5261479793524589E-2</v>
      </c>
      <c r="N48" s="181">
        <f>'[1]Cap Ex'!J48</f>
        <v>0.98415249869977295</v>
      </c>
      <c r="O48" s="181">
        <f>[1]PS!E48</f>
        <v>2.1601068304801978</v>
      </c>
      <c r="P48" s="181">
        <f>[1]EVEBITDA!D49</f>
        <v>7.4342754777128324</v>
      </c>
      <c r="Q48" s="181">
        <f>[1]EVEBITDA!E49</f>
        <v>9.8073341957188447</v>
      </c>
      <c r="R48" s="181">
        <f>[1]PBV!C48</f>
        <v>2.5932604826210461</v>
      </c>
      <c r="S48" s="181">
        <f>[1]PE!E48</f>
        <v>213.16752918372785</v>
      </c>
      <c r="T48" s="180">
        <f>'[1]Working capital'!F48</f>
        <v>2.4139638910329986E-2</v>
      </c>
      <c r="U48" s="180">
        <f>'[1]Summary sheet uValue'!G57</f>
        <v>9.147240996291205E-3</v>
      </c>
      <c r="V48" s="180">
        <f>'[1]Cap Ex'!H48</f>
        <v>9.5651260425099142E-3</v>
      </c>
      <c r="W48" s="180">
        <f>[1]fundgrEB!D48</f>
        <v>0.67908189916431683</v>
      </c>
      <c r="X48" s="180">
        <f>[1]Fundgr!C48</f>
        <v>0.17429837416489147</v>
      </c>
      <c r="Y48" s="180">
        <f>'[1]Dividend fundamentals'!E48</f>
        <v>0.16850456388146776</v>
      </c>
      <c r="Z48" s="180">
        <f>1-[1]Fundgr!D48</f>
        <v>0.16850456388146773</v>
      </c>
      <c r="AA48" s="182">
        <f>[1]Margins!J49</f>
        <v>0.21860829295850032</v>
      </c>
    </row>
    <row r="49" spans="1:27">
      <c r="A49" s="178" t="str">
        <f>'[1]Master data'!A49</f>
        <v>Insurance (Life)</v>
      </c>
      <c r="B49" s="179">
        <f>'[1]Master data'!B49</f>
        <v>27</v>
      </c>
      <c r="C49" s="180">
        <f>'[1]Hist Growth'!D49</f>
        <v>8.2870000000000013E-2</v>
      </c>
      <c r="D49" s="180">
        <f>[1]Margins!F50</f>
        <v>8.3407367312781547E-2</v>
      </c>
      <c r="E49" s="180">
        <f>'[1]Return on capital'!H49</f>
        <v>4.8284141395065781E-2</v>
      </c>
      <c r="F49" s="180">
        <f>'[1]Tax rates'!H50</f>
        <v>0.14548714514028421</v>
      </c>
      <c r="G49" s="181">
        <f>[1]Beta!H52</f>
        <v>0.66746467102712326</v>
      </c>
      <c r="H49" s="181">
        <f>[1]Beta!C52</f>
        <v>0.93935366031437906</v>
      </c>
      <c r="I49" s="180">
        <f>[1]WACC!D60</f>
        <v>9.4597607422674118E-2</v>
      </c>
      <c r="J49" s="180">
        <f>[1]optvar!C54</f>
        <v>0.28891454530535254</v>
      </c>
      <c r="K49" s="180">
        <f>[1]WACC!G60</f>
        <v>5.5E-2</v>
      </c>
      <c r="L49" s="180">
        <f>'[1]Debt fundamentals'!F49</f>
        <v>0.4802581428121806</v>
      </c>
      <c r="M49" s="180">
        <f>[1]WACC!K60</f>
        <v>6.8976984558387341E-2</v>
      </c>
      <c r="N49" s="181">
        <f>'[1]Cap Ex'!J49</f>
        <v>0.64950919179700761</v>
      </c>
      <c r="O49" s="181">
        <f>[1]PS!E49</f>
        <v>1.3252068248279174</v>
      </c>
      <c r="P49" s="181">
        <f>[1]EVEBITDA!D50</f>
        <v>10.666709589984549</v>
      </c>
      <c r="Q49" s="181">
        <f>[1]EVEBITDA!E50</f>
        <v>12.247740216996728</v>
      </c>
      <c r="R49" s="181">
        <f>[1]PBV!C49</f>
        <v>1.7297667448322556</v>
      </c>
      <c r="S49" s="181">
        <f>[1]PE!E49</f>
        <v>16.589451562329984</v>
      </c>
      <c r="T49" s="180">
        <f>'[1]Working capital'!F49</f>
        <v>0.16252107176106828</v>
      </c>
      <c r="U49" s="180">
        <f>'[1]Summary sheet uValue'!G58</f>
        <v>1.5332374828122921E-3</v>
      </c>
      <c r="V49" s="180">
        <f>'[1]Cap Ex'!H49</f>
        <v>2.3115111588852626E-3</v>
      </c>
      <c r="W49" s="180">
        <f>[1]fundgrEB!D49</f>
        <v>6.7875330273915258E-3</v>
      </c>
      <c r="X49" s="180">
        <f>[1]Fundgr!C49</f>
        <v>5.5791645738122134E-2</v>
      </c>
      <c r="Y49" s="180">
        <f>'[1]Dividend fundamentals'!E49</f>
        <v>0.38242287811508857</v>
      </c>
      <c r="Z49" s="180">
        <f>1-[1]Fundgr!D49</f>
        <v>0.38242287811508857</v>
      </c>
      <c r="AA49" s="182">
        <f>[1]Margins!J50</f>
        <v>8.3911710257224437E-2</v>
      </c>
    </row>
    <row r="50" spans="1:27">
      <c r="A50" s="178" t="str">
        <f>'[1]Master data'!A50</f>
        <v>Insurance (Prop/Cas.)</v>
      </c>
      <c r="B50" s="179">
        <f>'[1]Master data'!B50</f>
        <v>51</v>
      </c>
      <c r="C50" s="180">
        <f>'[1]Hist Growth'!D50</f>
        <v>3.8176363636363633E-2</v>
      </c>
      <c r="D50" s="180">
        <f>[1]Margins!F51</f>
        <v>6.4095379083086101E-2</v>
      </c>
      <c r="E50" s="180">
        <f>'[1]Return on capital'!H50</f>
        <v>7.0761900090086594E-2</v>
      </c>
      <c r="F50" s="180">
        <f>'[1]Tax rates'!H51</f>
        <v>0.19872018013981518</v>
      </c>
      <c r="G50" s="181">
        <f>[1]Beta!H53</f>
        <v>0.72953854749756686</v>
      </c>
      <c r="H50" s="181">
        <f>[1]Beta!C53</f>
        <v>0.80330136282469566</v>
      </c>
      <c r="I50" s="180">
        <f>[1]WACC!D61</f>
        <v>8.6516100951786926E-2</v>
      </c>
      <c r="J50" s="180">
        <f>[1]optvar!C55</f>
        <v>0.27667183307261639</v>
      </c>
      <c r="K50" s="180">
        <f>[1]WACC!G61</f>
        <v>5.5E-2</v>
      </c>
      <c r="L50" s="180">
        <f>'[1]Debt fundamentals'!F50</f>
        <v>0.17672400294711046</v>
      </c>
      <c r="M50" s="180">
        <f>[1]WACC!K61</f>
        <v>7.8516494393779127E-2</v>
      </c>
      <c r="N50" s="181">
        <f>'[1]Cap Ex'!J50</f>
        <v>1.2235917495745048</v>
      </c>
      <c r="O50" s="181">
        <f>[1]PS!E50</f>
        <v>1.3918409007316568</v>
      </c>
      <c r="P50" s="181">
        <f>[1]EVEBITDA!D51</f>
        <v>14.615123157002838</v>
      </c>
      <c r="Q50" s="181">
        <f>[1]EVEBITDA!E51</f>
        <v>21.016328286322402</v>
      </c>
      <c r="R50" s="181">
        <f>[1]PBV!C50</f>
        <v>2.1991436416927073</v>
      </c>
      <c r="S50" s="181">
        <f>[1]PE!E50</f>
        <v>20.230973091308005</v>
      </c>
      <c r="T50" s="180">
        <f>'[1]Working capital'!F50</f>
        <v>-0.51115076312450791</v>
      </c>
      <c r="U50" s="180">
        <f>'[1]Summary sheet uValue'!G59</f>
        <v>9.4013777390528717E-3</v>
      </c>
      <c r="V50" s="180">
        <f>'[1]Cap Ex'!H50</f>
        <v>5.7751294134666727E-3</v>
      </c>
      <c r="W50" s="180">
        <f>[1]fundgrEB!D50</f>
        <v>0.4890913390928211</v>
      </c>
      <c r="X50" s="180">
        <f>[1]Fundgr!C50</f>
        <v>5.7098673382014541E-2</v>
      </c>
      <c r="Y50" s="180">
        <f>'[1]Dividend fundamentals'!E50</f>
        <v>0.73319411994328065</v>
      </c>
      <c r="Z50" s="180">
        <f>1-[1]Fundgr!D50</f>
        <v>0.73319411994328065</v>
      </c>
      <c r="AA50" s="182">
        <f>[1]Margins!J51</f>
        <v>6.4923595108991594E-2</v>
      </c>
    </row>
    <row r="51" spans="1:27">
      <c r="A51" s="178" t="str">
        <f>'[1]Master data'!A51</f>
        <v>Investments &amp; Asset Management</v>
      </c>
      <c r="B51" s="179">
        <f>'[1]Master data'!B51</f>
        <v>600</v>
      </c>
      <c r="C51" s="180">
        <f>'[1]Hist Growth'!D51</f>
        <v>0.10789090909090909</v>
      </c>
      <c r="D51" s="180">
        <f>[1]Margins!F52</f>
        <v>0.18362934886099308</v>
      </c>
      <c r="E51" s="180">
        <f>'[1]Return on capital'!H51</f>
        <v>9.1618858518155641E-2</v>
      </c>
      <c r="F51" s="180">
        <f>'[1]Tax rates'!H52</f>
        <v>0.18201474107993432</v>
      </c>
      <c r="G51" s="181">
        <f>[1]Beta!H54</f>
        <v>0.53775308643054576</v>
      </c>
      <c r="H51" s="181">
        <f>[1]Beta!C54</f>
        <v>0.62361295447909626</v>
      </c>
      <c r="I51" s="180">
        <f>[1]WACC!D62</f>
        <v>7.5842609496058311E-2</v>
      </c>
      <c r="J51" s="180">
        <f>[1]optvar!C56</f>
        <v>9.9064267399825573E-2</v>
      </c>
      <c r="K51" s="180">
        <f>[1]WACC!G62</f>
        <v>4.7300000000000002E-2</v>
      </c>
      <c r="L51" s="180">
        <f>'[1]Debt fundamentals'!F51</f>
        <v>0.27717935374212399</v>
      </c>
      <c r="M51" s="180">
        <f>[1]WACC!K62</f>
        <v>6.465354158382644E-2</v>
      </c>
      <c r="N51" s="181">
        <f>'[1]Cap Ex'!J51</f>
        <v>0.52461323393522952</v>
      </c>
      <c r="O51" s="181">
        <f>[1]PS!E51</f>
        <v>5.1649613951272544</v>
      </c>
      <c r="P51" s="181">
        <f>[1]EVEBITDA!D52</f>
        <v>18.342065712597037</v>
      </c>
      <c r="Q51" s="181">
        <f>[1]EVEBITDA!E52</f>
        <v>22.443138397407701</v>
      </c>
      <c r="R51" s="181">
        <f>[1]PBV!C51</f>
        <v>2.1284887607798471</v>
      </c>
      <c r="S51" s="181">
        <f>[1]PE!E51</f>
        <v>413.13881292938402</v>
      </c>
      <c r="T51" s="180" t="str">
        <f>'[1]Working capital'!F51</f>
        <v>NA</v>
      </c>
      <c r="U51" s="180">
        <f>'[1]Summary sheet uValue'!G60</f>
        <v>2.8393720405116826E-2</v>
      </c>
      <c r="V51" s="180">
        <f>'[1]Cap Ex'!H51</f>
        <v>7.4477408503655404E-2</v>
      </c>
      <c r="W51" s="180">
        <f>[1]fundgrEB!D51</f>
        <v>0.59864143010683313</v>
      </c>
      <c r="X51" s="180">
        <f>[1]Fundgr!C51</f>
        <v>0.17165541003222293</v>
      </c>
      <c r="Y51" s="180">
        <f>'[1]Dividend fundamentals'!E51</f>
        <v>0.42685509300941743</v>
      </c>
      <c r="Z51" s="180">
        <f>1-[1]Fundgr!D51</f>
        <v>0.42685509300941749</v>
      </c>
      <c r="AA51" s="182">
        <f>[1]Margins!J52</f>
        <v>0.18192262402136841</v>
      </c>
    </row>
    <row r="52" spans="1:27">
      <c r="A52" s="178" t="str">
        <f>'[1]Master data'!A52</f>
        <v>Machinery</v>
      </c>
      <c r="B52" s="179">
        <f>'[1]Master data'!B52</f>
        <v>116</v>
      </c>
      <c r="C52" s="180">
        <f>'[1]Hist Growth'!D52</f>
        <v>8.5045652173913022E-2</v>
      </c>
      <c r="D52" s="180">
        <f>[1]Margins!F53</f>
        <v>0.13797099354120126</v>
      </c>
      <c r="E52" s="180">
        <f>'[1]Return on capital'!H52</f>
        <v>0.27440895225758682</v>
      </c>
      <c r="F52" s="180">
        <f>'[1]Tax rates'!H53</f>
        <v>0.20984581189172136</v>
      </c>
      <c r="G52" s="181">
        <f>[1]Beta!H55</f>
        <v>1.0938250803149925</v>
      </c>
      <c r="H52" s="181">
        <f>[1]Beta!C55</f>
        <v>1.2248168994320441</v>
      </c>
      <c r="I52" s="180">
        <f>[1]WACC!D63</f>
        <v>0.11155412382626342</v>
      </c>
      <c r="J52" s="180">
        <f>[1]optvar!C57</f>
        <v>0.32362033573649224</v>
      </c>
      <c r="K52" s="180">
        <f>[1]WACC!G63</f>
        <v>5.5E-2</v>
      </c>
      <c r="L52" s="180">
        <f>'[1]Debt fundamentals'!F52</f>
        <v>0.17247652623442106</v>
      </c>
      <c r="M52" s="180">
        <f>[1]WACC!K63</f>
        <v>9.9428312768754912E-2</v>
      </c>
      <c r="N52" s="181">
        <f>'[1]Cap Ex'!J52</f>
        <v>2.1608500691718713</v>
      </c>
      <c r="O52" s="181">
        <f>[1]PS!E52</f>
        <v>2.6683702336166513</v>
      </c>
      <c r="P52" s="181">
        <f>[1]EVEBITDA!D53</f>
        <v>14.083078687600038</v>
      </c>
      <c r="Q52" s="181">
        <f>[1]EVEBITDA!E53</f>
        <v>18.889167436267432</v>
      </c>
      <c r="R52" s="181">
        <f>[1]PBV!C52</f>
        <v>4.0573852862411108</v>
      </c>
      <c r="S52" s="181">
        <f>[1]PE!E52</f>
        <v>43.773185758788792</v>
      </c>
      <c r="T52" s="180">
        <f>'[1]Working capital'!F52</f>
        <v>0.25954733960836424</v>
      </c>
      <c r="U52" s="180">
        <f>'[1]Summary sheet uValue'!G61</f>
        <v>2.4915916926800095E-2</v>
      </c>
      <c r="V52" s="180">
        <f>'[1]Cap Ex'!H52</f>
        <v>0.10792630698907046</v>
      </c>
      <c r="W52" s="180">
        <f>[1]fundgrEB!D52</f>
        <v>1.4023558792324888</v>
      </c>
      <c r="X52" s="180">
        <f>[1]Fundgr!C52</f>
        <v>0.15486472220663997</v>
      </c>
      <c r="Y52" s="180">
        <f>'[1]Dividend fundamentals'!E52</f>
        <v>0.3670721468884211</v>
      </c>
      <c r="Z52" s="180">
        <f>1-[1]Fundgr!D52</f>
        <v>0.36707214688842105</v>
      </c>
      <c r="AA52" s="182">
        <f>[1]Margins!J53</f>
        <v>0.14150866099187387</v>
      </c>
    </row>
    <row r="53" spans="1:27">
      <c r="A53" s="178" t="str">
        <f>'[1]Master data'!A53</f>
        <v>Metals &amp; Mining</v>
      </c>
      <c r="B53" s="179">
        <f>'[1]Master data'!B53</f>
        <v>68</v>
      </c>
      <c r="C53" s="180">
        <f>'[1]Hist Growth'!D53</f>
        <v>5.8830769230769242E-2</v>
      </c>
      <c r="D53" s="180">
        <f>[1]Margins!F54</f>
        <v>0.22890522631901319</v>
      </c>
      <c r="E53" s="180">
        <f>'[1]Return on capital'!H53</f>
        <v>0.34724969889915558</v>
      </c>
      <c r="F53" s="180">
        <f>'[1]Tax rates'!H54</f>
        <v>0.38407016996119214</v>
      </c>
      <c r="G53" s="181">
        <f>[1]Beta!H56</f>
        <v>1.2191906966167014</v>
      </c>
      <c r="H53" s="181">
        <f>[1]Beta!C56</f>
        <v>1.2900534643158847</v>
      </c>
      <c r="I53" s="180">
        <f>[1]WACC!D64</f>
        <v>0.11542917578036356</v>
      </c>
      <c r="J53" s="180">
        <f>[1]optvar!C58</f>
        <v>0.70056239501193862</v>
      </c>
      <c r="K53" s="180">
        <f>[1]WACC!G64</f>
        <v>7.0099999999999996E-2</v>
      </c>
      <c r="L53" s="180">
        <f>'[1]Debt fundamentals'!F53</f>
        <v>0.17725898477475721</v>
      </c>
      <c r="M53" s="180">
        <f>[1]WACC!K64</f>
        <v>0.10428770839268217</v>
      </c>
      <c r="N53" s="181">
        <f>'[1]Cap Ex'!J53</f>
        <v>1.5847983484975299</v>
      </c>
      <c r="O53" s="181">
        <f>[1]PS!E53</f>
        <v>2.060190198107211</v>
      </c>
      <c r="P53" s="181">
        <f>[1]EVEBITDA!D54</f>
        <v>6.5793971374589546</v>
      </c>
      <c r="Q53" s="181">
        <f>[1]EVEBITDA!E54</f>
        <v>8.8543889128364412</v>
      </c>
      <c r="R53" s="181">
        <f>[1]PBV!C53</f>
        <v>2.7533885244207719</v>
      </c>
      <c r="S53" s="181">
        <f>[1]PE!E53</f>
        <v>17.597890904343</v>
      </c>
      <c r="T53" s="180">
        <f>'[1]Working capital'!F53</f>
        <v>0.12050846757809916</v>
      </c>
      <c r="U53" s="180">
        <f>'[1]Summary sheet uValue'!G62</f>
        <v>8.4930771623781376E-2</v>
      </c>
      <c r="V53" s="180">
        <f>'[1]Cap Ex'!H53</f>
        <v>2.3387475892735522E-2</v>
      </c>
      <c r="W53" s="180">
        <f>[1]fundgrEB!D53</f>
        <v>0.30254133855159898</v>
      </c>
      <c r="X53" s="180">
        <f>[1]Fundgr!C53</f>
        <v>0.21097592151322797</v>
      </c>
      <c r="Y53" s="180">
        <f>'[1]Dividend fundamentals'!E53</f>
        <v>0.62501159406327877</v>
      </c>
      <c r="Z53" s="180">
        <f>1-[1]Fundgr!D53</f>
        <v>0.62501159406327877</v>
      </c>
      <c r="AA53" s="182">
        <f>[1]Margins!J54</f>
        <v>0.22858605943486224</v>
      </c>
    </row>
    <row r="54" spans="1:27">
      <c r="A54" s="178" t="str">
        <f>'[1]Master data'!A54</f>
        <v>Office Equipment &amp; Services</v>
      </c>
      <c r="B54" s="179">
        <f>'[1]Master data'!B54</f>
        <v>16</v>
      </c>
      <c r="C54" s="180">
        <f>'[1]Hist Growth'!D54</f>
        <v>0.15791928571428571</v>
      </c>
      <c r="D54" s="180">
        <f>[1]Margins!F55</f>
        <v>5.9437639824243077E-2</v>
      </c>
      <c r="E54" s="180">
        <f>'[1]Return on capital'!H54</f>
        <v>0.12191063223697689</v>
      </c>
      <c r="F54" s="180">
        <f>'[1]Tax rates'!H55</f>
        <v>0.24228527607361969</v>
      </c>
      <c r="G54" s="181">
        <f>[1]Beta!H57</f>
        <v>0.8448370751926576</v>
      </c>
      <c r="H54" s="181">
        <f>[1]Beta!C57</f>
        <v>1.1770946700328646</v>
      </c>
      <c r="I54" s="180">
        <f>[1]WACC!D65</f>
        <v>0.10871942339995216</v>
      </c>
      <c r="J54" s="180">
        <f>[1]optvar!C59</f>
        <v>0.35220934553840333</v>
      </c>
      <c r="K54" s="180">
        <f>[1]WACC!G65</f>
        <v>5.5E-2</v>
      </c>
      <c r="L54" s="180">
        <f>'[1]Debt fundamentals'!F54</f>
        <v>0.40048472944003649</v>
      </c>
      <c r="M54" s="180">
        <f>[1]WACC!K65</f>
        <v>8.169894962414706E-2</v>
      </c>
      <c r="N54" s="181">
        <f>'[1]Cap Ex'!J54</f>
        <v>2.3804211822459824</v>
      </c>
      <c r="O54" s="181">
        <f>[1]PS!E54</f>
        <v>0.93288594172655359</v>
      </c>
      <c r="P54" s="181">
        <f>[1]EVEBITDA!D55</f>
        <v>8.4487645169046903</v>
      </c>
      <c r="Q54" s="181">
        <f>[1]EVEBITDA!E55</f>
        <v>14.906166393314605</v>
      </c>
      <c r="R54" s="181">
        <f>[1]PBV!C54</f>
        <v>2.022459919957329</v>
      </c>
      <c r="S54" s="181">
        <f>[1]PE!E54</f>
        <v>23.352946188547765</v>
      </c>
      <c r="T54" s="180">
        <f>'[1]Working capital'!F54</f>
        <v>0.10580064791999493</v>
      </c>
      <c r="U54" s="180">
        <f>'[1]Summary sheet uValue'!G63</f>
        <v>2.3993627737332053E-2</v>
      </c>
      <c r="V54" s="180">
        <f>'[1]Cap Ex'!H54</f>
        <v>5.7351213513274449E-2</v>
      </c>
      <c r="W54" s="180">
        <f>[1]fundgrEB!D54</f>
        <v>2.0750554367424625</v>
      </c>
      <c r="X54" s="180">
        <f>[1]Fundgr!C54</f>
        <v>7.9602467166695279E-2</v>
      </c>
      <c r="Y54" s="180">
        <f>'[1]Dividend fundamentals'!E54</f>
        <v>0.82958172172552991</v>
      </c>
      <c r="Z54" s="180">
        <f>1-[1]Fundgr!D54</f>
        <v>0.82958172172552991</v>
      </c>
      <c r="AA54" s="182">
        <f>[1]Margins!J55</f>
        <v>6.3433880163009132E-2</v>
      </c>
    </row>
    <row r="55" spans="1:27">
      <c r="A55" s="178" t="str">
        <f>'[1]Master data'!A55</f>
        <v>Oil/Gas (Integrated)</v>
      </c>
      <c r="B55" s="179">
        <f>'[1]Master data'!B55</f>
        <v>4</v>
      </c>
      <c r="C55" s="180">
        <f>'[1]Hist Growth'!D55</f>
        <v>0.12122499999999999</v>
      </c>
      <c r="D55" s="180">
        <f>[1]Margins!F56</f>
        <v>0.17323216393519394</v>
      </c>
      <c r="E55" s="180">
        <f>'[1]Return on capital'!H55</f>
        <v>0.22371179665386631</v>
      </c>
      <c r="F55" s="180">
        <f>'[1]Tax rates'!H56</f>
        <v>0.23128677128184674</v>
      </c>
      <c r="G55" s="181">
        <f>[1]Beta!H58</f>
        <v>0.94626836990683305</v>
      </c>
      <c r="H55" s="181">
        <f>[1]Beta!C58</f>
        <v>0.97748589274906783</v>
      </c>
      <c r="I55" s="180">
        <f>[1]WACC!D66</f>
        <v>9.6862662029294638E-2</v>
      </c>
      <c r="J55" s="180">
        <f>[1]optvar!C60</f>
        <v>0.30548944434643338</v>
      </c>
      <c r="K55" s="180">
        <f>[1]WACC!G66</f>
        <v>5.5E-2</v>
      </c>
      <c r="L55" s="180">
        <f>'[1]Debt fundamentals'!F55</f>
        <v>0.10316970884560783</v>
      </c>
      <c r="M55" s="180">
        <f>[1]WACC!K66</f>
        <v>9.1125119879603117E-2</v>
      </c>
      <c r="N55" s="181">
        <f>'[1]Cap Ex'!J55</f>
        <v>1.4955904353767258</v>
      </c>
      <c r="O55" s="181">
        <f>[1]PS!E55</f>
        <v>1.3937972898489077</v>
      </c>
      <c r="P55" s="181">
        <f>[1]EVEBITDA!D56</f>
        <v>5.7320775498789676</v>
      </c>
      <c r="Q55" s="181">
        <f>[1]EVEBITDA!E56</f>
        <v>7.9816868353676975</v>
      </c>
      <c r="R55" s="181">
        <f>[1]PBV!C55</f>
        <v>2.2503250646526936</v>
      </c>
      <c r="S55" s="181">
        <f>[1]PE!E55</f>
        <v>6.7123160711345058</v>
      </c>
      <c r="T55" s="180">
        <f>'[1]Working capital'!F55</f>
        <v>3.1610616267447898E-2</v>
      </c>
      <c r="U55" s="180">
        <f>'[1]Summary sheet uValue'!G64</f>
        <v>4.8060973431784809E-2</v>
      </c>
      <c r="V55" s="180">
        <f>'[1]Cap Ex'!H55</f>
        <v>-1.2355711407971395E-2</v>
      </c>
      <c r="W55" s="180">
        <f>[1]fundgrEB!D55</f>
        <v>-0.10405303090005764</v>
      </c>
      <c r="X55" s="180">
        <f>[1]Fundgr!C55</f>
        <v>0.32415954257527113</v>
      </c>
      <c r="Y55" s="180">
        <f>'[1]Dividend fundamentals'!E55</f>
        <v>0.26356755294941536</v>
      </c>
      <c r="Z55" s="180">
        <f>1-[1]Fundgr!D55</f>
        <v>0.26356755294941536</v>
      </c>
      <c r="AA55" s="182">
        <f>[1]Margins!J56</f>
        <v>0.17441627220965225</v>
      </c>
    </row>
    <row r="56" spans="1:27">
      <c r="A56" s="178" t="str">
        <f>'[1]Master data'!A56</f>
        <v>Oil/Gas (Production and Exploration)</v>
      </c>
      <c r="B56" s="179">
        <f>'[1]Master data'!B56</f>
        <v>174</v>
      </c>
      <c r="C56" s="180">
        <f>'[1]Hist Growth'!D56</f>
        <v>0.2956583720930232</v>
      </c>
      <c r="D56" s="180">
        <f>[1]Margins!F57</f>
        <v>0.35545174432146454</v>
      </c>
      <c r="E56" s="180">
        <f>'[1]Return on capital'!H56</f>
        <v>0.39824340316559603</v>
      </c>
      <c r="F56" s="180">
        <f>'[1]Tax rates'!H57</f>
        <v>0.20955223008563117</v>
      </c>
      <c r="G56" s="181">
        <f>[1]Beta!H59</f>
        <v>1.1361280842130776</v>
      </c>
      <c r="H56" s="181">
        <f>[1]Beta!C59</f>
        <v>1.2574315521617736</v>
      </c>
      <c r="I56" s="180">
        <f>[1]WACC!D67</f>
        <v>0.11349143419840936</v>
      </c>
      <c r="J56" s="180">
        <f>[1]optvar!C61</f>
        <v>0.56976877370013901</v>
      </c>
      <c r="K56" s="180">
        <f>[1]WACC!G67</f>
        <v>5.8800000000000005E-2</v>
      </c>
      <c r="L56" s="180">
        <f>'[1]Debt fundamentals'!F56</f>
        <v>0.16724493485833186</v>
      </c>
      <c r="M56" s="180">
        <f>[1]WACC!K67</f>
        <v>0.10188606830617017</v>
      </c>
      <c r="N56" s="181">
        <f>'[1]Cap Ex'!J56</f>
        <v>1.1700439551307493</v>
      </c>
      <c r="O56" s="181">
        <f>[1]PS!E56</f>
        <v>2.1191896091279183</v>
      </c>
      <c r="P56" s="181">
        <f>[1]EVEBITDA!D57</f>
        <v>4.2762475428828282</v>
      </c>
      <c r="Q56" s="181">
        <f>[1]EVEBITDA!E57</f>
        <v>5.8693014187188091</v>
      </c>
      <c r="R56" s="181">
        <f>[1]PBV!C56</f>
        <v>2.4310528245139333</v>
      </c>
      <c r="S56" s="181">
        <f>[1]PE!E56</f>
        <v>20.684944931020116</v>
      </c>
      <c r="T56" s="180">
        <f>'[1]Working capital'!F56</f>
        <v>-3.6044277362041313E-2</v>
      </c>
      <c r="U56" s="180">
        <f>'[1]Summary sheet uValue'!G65</f>
        <v>0.18856742461529929</v>
      </c>
      <c r="V56" s="180">
        <f>'[1]Cap Ex'!H56</f>
        <v>0.1078629574354029</v>
      </c>
      <c r="W56" s="180">
        <f>[1]fundgrEB!D56</f>
        <v>0.44233129168815011</v>
      </c>
      <c r="X56" s="180">
        <f>[1]Fundgr!C56</f>
        <v>0.47000099498595782</v>
      </c>
      <c r="Y56" s="180">
        <f>'[1]Dividend fundamentals'!E56</f>
        <v>0.23146864253952529</v>
      </c>
      <c r="Z56" s="180">
        <f>1-[1]Fundgr!D56</f>
        <v>0.23146864253952526</v>
      </c>
      <c r="AA56" s="182">
        <f>[1]Margins!J57</f>
        <v>0.35679263203593281</v>
      </c>
    </row>
    <row r="57" spans="1:27">
      <c r="A57" s="178" t="str">
        <f>'[1]Master data'!A57</f>
        <v>Oil/Gas Distribution</v>
      </c>
      <c r="B57" s="179">
        <f>'[1]Master data'!B57</f>
        <v>23</v>
      </c>
      <c r="C57" s="180">
        <f>'[1]Hist Growth'!D57</f>
        <v>0.21857272727272728</v>
      </c>
      <c r="D57" s="180">
        <f>[1]Margins!F58</f>
        <v>0.10554569736383697</v>
      </c>
      <c r="E57" s="180">
        <f>'[1]Return on capital'!H57</f>
        <v>7.1751043031635167E-2</v>
      </c>
      <c r="F57" s="180">
        <f>'[1]Tax rates'!H58</f>
        <v>0.16732223134836754</v>
      </c>
      <c r="G57" s="181">
        <f>[1]Beta!H60</f>
        <v>0.65648991865828199</v>
      </c>
      <c r="H57" s="181">
        <f>[1]Beta!C60</f>
        <v>0.99125533132716515</v>
      </c>
      <c r="I57" s="180">
        <f>[1]WACC!D68</f>
        <v>9.7680566680833608E-2</v>
      </c>
      <c r="J57" s="180">
        <f>[1]optvar!C62</f>
        <v>0.33549336269635954</v>
      </c>
      <c r="K57" s="180">
        <f>[1]WACC!G68</f>
        <v>5.5E-2</v>
      </c>
      <c r="L57" s="180">
        <f>'[1]Debt fundamentals'!F57</f>
        <v>0.41660661946754163</v>
      </c>
      <c r="M57" s="180">
        <f>[1]WACC!K68</f>
        <v>7.4171219061293828E-2</v>
      </c>
      <c r="N57" s="181">
        <f>'[1]Cap Ex'!J57</f>
        <v>0.71203789238136128</v>
      </c>
      <c r="O57" s="181">
        <f>[1]PS!E57</f>
        <v>2.5992733148507301</v>
      </c>
      <c r="P57" s="181">
        <f>[1]EVEBITDA!D58</f>
        <v>11.364603400921791</v>
      </c>
      <c r="Q57" s="181">
        <f>[1]EVEBITDA!E58</f>
        <v>19.407040295183869</v>
      </c>
      <c r="R57" s="181">
        <f>[1]PBV!C57</f>
        <v>2.7164260652684495</v>
      </c>
      <c r="S57" s="181">
        <f>[1]PE!E57</f>
        <v>17.526913954325732</v>
      </c>
      <c r="T57" s="180">
        <f>'[1]Working capital'!F57</f>
        <v>3.5242294739286945E-2</v>
      </c>
      <c r="U57" s="180">
        <f>'[1]Summary sheet uValue'!G66</f>
        <v>7.9992412805326513E-2</v>
      </c>
      <c r="V57" s="180">
        <f>'[1]Cap Ex'!H57</f>
        <v>4.8183145588975365E-2</v>
      </c>
      <c r="W57" s="180">
        <f>[1]fundgrEB!D57</f>
        <v>0.67110751780546696</v>
      </c>
      <c r="X57" s="180">
        <f>[1]Fundgr!C57</f>
        <v>4.0932050446910083E-2</v>
      </c>
      <c r="Y57" s="180">
        <f>'[1]Dividend fundamentals'!E57</f>
        <v>3.1496776117177885</v>
      </c>
      <c r="Z57" s="180">
        <f>1-[1]Fundgr!D57</f>
        <v>3.1496776117177885</v>
      </c>
      <c r="AA57" s="182">
        <f>[1]Margins!J58</f>
        <v>0.10823727370000472</v>
      </c>
    </row>
    <row r="58" spans="1:27">
      <c r="A58" s="178" t="str">
        <f>'[1]Master data'!A58</f>
        <v>Oilfield Svcs/Equip.</v>
      </c>
      <c r="B58" s="179">
        <f>'[1]Master data'!B58</f>
        <v>101</v>
      </c>
      <c r="C58" s="180">
        <f>'[1]Hist Growth'!D58</f>
        <v>7.7213384615384614E-2</v>
      </c>
      <c r="D58" s="180">
        <f>[1]Margins!F59</f>
        <v>7.2615491026189222E-2</v>
      </c>
      <c r="E58" s="180">
        <f>'[1]Return on capital'!H58</f>
        <v>0.2808940923374969</v>
      </c>
      <c r="F58" s="180">
        <f>'[1]Tax rates'!H59</f>
        <v>0.21083263277631181</v>
      </c>
      <c r="G58" s="181">
        <f>[1]Beta!H61</f>
        <v>1.1869387038702228</v>
      </c>
      <c r="H58" s="181">
        <f>[1]Beta!C61</f>
        <v>1.3751593545688363</v>
      </c>
      <c r="I58" s="180">
        <f>[1]WACC!D69</f>
        <v>0.12048446566138887</v>
      </c>
      <c r="J58" s="180">
        <f>[1]optvar!C63</f>
        <v>0.46898107338785378</v>
      </c>
      <c r="K58" s="180">
        <f>[1]WACC!G69</f>
        <v>5.5E-2</v>
      </c>
      <c r="L58" s="180">
        <f>'[1]Debt fundamentals'!F58</f>
        <v>0.24587596268608092</v>
      </c>
      <c r="M58" s="180">
        <f>[1]WACC!K69</f>
        <v>0.10100261513897765</v>
      </c>
      <c r="N58" s="181">
        <f>'[1]Cap Ex'!J58</f>
        <v>4.098572921606003</v>
      </c>
      <c r="O58" s="181">
        <f>[1]PS!E58</f>
        <v>0.57635942221663927</v>
      </c>
      <c r="P58" s="181">
        <f>[1]EVEBITDA!D59</f>
        <v>5.8988963206205138</v>
      </c>
      <c r="Q58" s="181">
        <f>[1]EVEBITDA!E59</f>
        <v>7.7833497505910376</v>
      </c>
      <c r="R58" s="181">
        <f>[1]PBV!C58</f>
        <v>2.0668608085450391</v>
      </c>
      <c r="S58" s="181">
        <f>[1]PE!E58</f>
        <v>35.470030674274732</v>
      </c>
      <c r="T58" s="180">
        <f>'[1]Working capital'!F58</f>
        <v>5.2452832524179795E-2</v>
      </c>
      <c r="U58" s="180">
        <f>'[1]Summary sheet uValue'!G67</f>
        <v>1.8953404395350631E-2</v>
      </c>
      <c r="V58" s="180">
        <f>'[1]Cap Ex'!H58</f>
        <v>2.8621639869896368E-3</v>
      </c>
      <c r="W58" s="180">
        <f>[1]fundgrEB!D58</f>
        <v>0.23846989683692524</v>
      </c>
      <c r="X58" s="180">
        <f>[1]Fundgr!C58</f>
        <v>0.30821046000842239</v>
      </c>
      <c r="Y58" s="180">
        <f>'[1]Dividend fundamentals'!E58</f>
        <v>0.17578397726915398</v>
      </c>
      <c r="Z58" s="180">
        <f>1-[1]Fundgr!D58</f>
        <v>0.17578397726915396</v>
      </c>
      <c r="AA58" s="182">
        <f>[1]Margins!J59</f>
        <v>7.374653437423348E-2</v>
      </c>
    </row>
    <row r="59" spans="1:27">
      <c r="A59" s="178" t="str">
        <f>'[1]Master data'!A59</f>
        <v>Packaging &amp; Container</v>
      </c>
      <c r="B59" s="179">
        <f>'[1]Master data'!B59</f>
        <v>25</v>
      </c>
      <c r="C59" s="180">
        <f>'[1]Hist Growth'!D59</f>
        <v>5.9018421052631581E-2</v>
      </c>
      <c r="D59" s="180">
        <f>[1]Margins!F60</f>
        <v>9.4326190090127077E-2</v>
      </c>
      <c r="E59" s="180">
        <f>'[1]Return on capital'!H59</f>
        <v>0.1604004979040459</v>
      </c>
      <c r="F59" s="180">
        <f>'[1]Tax rates'!H60</f>
        <v>0.20377136598084747</v>
      </c>
      <c r="G59" s="181">
        <f>[1]Beta!H62</f>
        <v>0.67049972190789686</v>
      </c>
      <c r="H59" s="181">
        <f>[1]Beta!C62</f>
        <v>0.95242199691205232</v>
      </c>
      <c r="I59" s="180">
        <f>[1]WACC!D70</f>
        <v>9.5373866616575903E-2</v>
      </c>
      <c r="J59" s="180">
        <f>[1]optvar!C64</f>
        <v>0.24431384085324004</v>
      </c>
      <c r="K59" s="180">
        <f>[1]WACC!G70</f>
        <v>4.7300000000000002E-2</v>
      </c>
      <c r="L59" s="180">
        <f>'[1]Debt fundamentals'!F59</f>
        <v>0.38258512094774455</v>
      </c>
      <c r="M59" s="180">
        <f>[1]WACC!K70</f>
        <v>7.24574514874404E-2</v>
      </c>
      <c r="N59" s="181">
        <f>'[1]Cap Ex'!J59</f>
        <v>1.9517809054097339</v>
      </c>
      <c r="O59" s="181">
        <f>[1]PS!E59</f>
        <v>1.2479568457109567</v>
      </c>
      <c r="P59" s="181">
        <f>[1]EVEBITDA!D60</f>
        <v>8.2417995740318624</v>
      </c>
      <c r="Q59" s="181">
        <f>[1]EVEBITDA!E60</f>
        <v>12.954725986412068</v>
      </c>
      <c r="R59" s="181">
        <f>[1]PBV!C59</f>
        <v>2.4964229215467095</v>
      </c>
      <c r="S59" s="181">
        <f>[1]PE!E59</f>
        <v>13.232355624196757</v>
      </c>
      <c r="T59" s="180">
        <f>'[1]Working capital'!F59</f>
        <v>0.10397534477232311</v>
      </c>
      <c r="U59" s="180">
        <f>'[1]Summary sheet uValue'!G68</f>
        <v>5.7495724252900962E-2</v>
      </c>
      <c r="V59" s="180">
        <f>'[1]Cap Ex'!H59</f>
        <v>4.4288846553796668E-2</v>
      </c>
      <c r="W59" s="180">
        <f>[1]fundgrEB!D59</f>
        <v>0.86939175063028251</v>
      </c>
      <c r="X59" s="180">
        <f>[1]Fundgr!C59</f>
        <v>0.19745548981610928</v>
      </c>
      <c r="Y59" s="180">
        <f>'[1]Dividend fundamentals'!E59</f>
        <v>0.28641173896085093</v>
      </c>
      <c r="Z59" s="180">
        <f>1-[1]Fundgr!D59</f>
        <v>0.28641173896085093</v>
      </c>
      <c r="AA59" s="182">
        <f>[1]Margins!J60</f>
        <v>9.6302912918982811E-2</v>
      </c>
    </row>
    <row r="60" spans="1:27">
      <c r="A60" s="178" t="str">
        <f>'[1]Master data'!A60</f>
        <v>Paper/Forest Products</v>
      </c>
      <c r="B60" s="179">
        <f>'[1]Master data'!B60</f>
        <v>7</v>
      </c>
      <c r="C60" s="180">
        <f>'[1]Hist Growth'!D60</f>
        <v>6.9949999999999998E-2</v>
      </c>
      <c r="D60" s="180">
        <f>[1]Margins!F61</f>
        <v>0.18473924668549113</v>
      </c>
      <c r="E60" s="180">
        <f>'[1]Return on capital'!H60</f>
        <v>0.4283275094215141</v>
      </c>
      <c r="F60" s="180">
        <f>'[1]Tax rates'!H61</f>
        <v>0.25797346881174144</v>
      </c>
      <c r="G60" s="181">
        <f>[1]Beta!H63</f>
        <v>1.1258403034857074</v>
      </c>
      <c r="H60" s="181">
        <f>[1]Beta!C63</f>
        <v>1.3830066711394122</v>
      </c>
      <c r="I60" s="180">
        <f>[1]WACC!D71</f>
        <v>0.1209505962656811</v>
      </c>
      <c r="J60" s="180">
        <f>[1]optvar!C65</f>
        <v>0.42843597130920175</v>
      </c>
      <c r="K60" s="180">
        <f>[1]WACC!G71</f>
        <v>5.5E-2</v>
      </c>
      <c r="L60" s="180">
        <f>'[1]Debt fundamentals'!F60</f>
        <v>0.30490399792922035</v>
      </c>
      <c r="M60" s="180">
        <f>[1]WACC!K71</f>
        <v>9.6649565826932238E-2</v>
      </c>
      <c r="N60" s="181">
        <f>'[1]Cap Ex'!J60</f>
        <v>2.640287423267194</v>
      </c>
      <c r="O60" s="181">
        <f>[1]PS!E60</f>
        <v>0.77446083379170738</v>
      </c>
      <c r="P60" s="181">
        <f>[1]EVEBITDA!D61</f>
        <v>3.4314540119535057</v>
      </c>
      <c r="Q60" s="181">
        <f>[1]EVEBITDA!E61</f>
        <v>4.1600867348658133</v>
      </c>
      <c r="R60" s="181">
        <f>[1]PBV!C60</f>
        <v>2.8493401569593408</v>
      </c>
      <c r="S60" s="181">
        <f>[1]PE!E60</f>
        <v>12.831132860096082</v>
      </c>
      <c r="T60" s="180">
        <f>'[1]Working capital'!F60</f>
        <v>7.955855971818733E-2</v>
      </c>
      <c r="U60" s="180">
        <f>'[1]Summary sheet uValue'!G69</f>
        <v>4.8408856504616772E-2</v>
      </c>
      <c r="V60" s="180">
        <f>'[1]Cap Ex'!H60</f>
        <v>3.594806278218337E-2</v>
      </c>
      <c r="W60" s="180">
        <f>[1]fundgrEB!D60</f>
        <v>0.37226163421064296</v>
      </c>
      <c r="X60" s="180">
        <f>[1]Fundgr!C60</f>
        <v>0.46826521479713606</v>
      </c>
      <c r="Y60" s="180">
        <f>'[1]Dividend fundamentals'!E60</f>
        <v>7.8840487377558333E-2</v>
      </c>
      <c r="Z60" s="180">
        <f>1-[1]Fundgr!D60</f>
        <v>7.8840487377558333E-2</v>
      </c>
      <c r="AA60" s="182">
        <f>[1]Margins!J61</f>
        <v>0.18593819979693185</v>
      </c>
    </row>
    <row r="61" spans="1:27">
      <c r="A61" s="178" t="str">
        <f>'[1]Master data'!A61</f>
        <v>Power</v>
      </c>
      <c r="B61" s="179">
        <f>'[1]Master data'!B61</f>
        <v>48</v>
      </c>
      <c r="C61" s="180">
        <f>'[1]Hist Growth'!D61</f>
        <v>6.4126904761904746E-2</v>
      </c>
      <c r="D61" s="180">
        <f>[1]Margins!F62</f>
        <v>0.15573872218414844</v>
      </c>
      <c r="E61" s="180">
        <f>'[1]Return on capital'!H61</f>
        <v>6.0420809677153589E-2</v>
      </c>
      <c r="F61" s="180">
        <f>'[1]Tax rates'!H62</f>
        <v>0.13472676053727245</v>
      </c>
      <c r="G61" s="181">
        <f>[1]Beta!H64</f>
        <v>0.46402639019456771</v>
      </c>
      <c r="H61" s="181">
        <f>[1]Beta!C64</f>
        <v>0.72500097471023861</v>
      </c>
      <c r="I61" s="180">
        <f>[1]WACC!D72</f>
        <v>8.1865057897788168E-2</v>
      </c>
      <c r="J61" s="180">
        <f>[1]optvar!C66</f>
        <v>0.1717812350329328</v>
      </c>
      <c r="K61" s="180">
        <f>[1]WACC!G72</f>
        <v>4.7300000000000002E-2</v>
      </c>
      <c r="L61" s="180">
        <f>'[1]Debt fundamentals'!F61</f>
        <v>0.43552496662165086</v>
      </c>
      <c r="M61" s="180">
        <f>[1]WACC!K72</f>
        <v>6.1661029480277525E-2</v>
      </c>
      <c r="N61" s="181">
        <f>'[1]Cap Ex'!J61</f>
        <v>0.43922516402299394</v>
      </c>
      <c r="O61" s="181">
        <f>[1]PS!E61</f>
        <v>3.7530377133084176</v>
      </c>
      <c r="P61" s="181">
        <f>[1]EVEBITDA!D62</f>
        <v>12.972637040869596</v>
      </c>
      <c r="Q61" s="181">
        <f>[1]EVEBITDA!E62</f>
        <v>23.94821694902156</v>
      </c>
      <c r="R61" s="181">
        <f>[1]PBV!C61</f>
        <v>1.9823980732078421</v>
      </c>
      <c r="S61" s="181">
        <f>[1]PE!E61</f>
        <v>19.074322918507089</v>
      </c>
      <c r="T61" s="180">
        <f>'[1]Working capital'!F61</f>
        <v>6.578724389324328E-2</v>
      </c>
      <c r="U61" s="180">
        <f>'[1]Summary sheet uValue'!G70</f>
        <v>0.29221902100116548</v>
      </c>
      <c r="V61" s="180">
        <f>'[1]Cap Ex'!H61</f>
        <v>0.1839600884056081</v>
      </c>
      <c r="W61" s="180">
        <f>[1]fundgrEB!D61</f>
        <v>1.4569117844566188</v>
      </c>
      <c r="X61" s="180">
        <f>[1]Fundgr!C61</f>
        <v>9.3898042779040264E-2</v>
      </c>
      <c r="Y61" s="180">
        <f>'[1]Dividend fundamentals'!E61</f>
        <v>0.60556891515405864</v>
      </c>
      <c r="Z61" s="180">
        <f>1-[1]Fundgr!D61</f>
        <v>0.60556891515405864</v>
      </c>
      <c r="AA61" s="182">
        <f>[1]Margins!J62</f>
        <v>0.1568331369296484</v>
      </c>
    </row>
    <row r="62" spans="1:27">
      <c r="A62" s="178" t="str">
        <f>'[1]Master data'!A62</f>
        <v>Precious Metals</v>
      </c>
      <c r="B62" s="179">
        <f>'[1]Master data'!B62</f>
        <v>74</v>
      </c>
      <c r="C62" s="180">
        <f>'[1]Hist Growth'!D62</f>
        <v>3.7385714285714321E-2</v>
      </c>
      <c r="D62" s="180">
        <f>[1]Margins!F63</f>
        <v>0.10026540707071753</v>
      </c>
      <c r="E62" s="180">
        <f>'[1]Return on capital'!H62</f>
        <v>5.282254269046003E-2</v>
      </c>
      <c r="F62" s="180">
        <f>'[1]Tax rates'!H63</f>
        <v>0.44612559405051289</v>
      </c>
      <c r="G62" s="181">
        <f>[1]Beta!H65</f>
        <v>1.1872086171220402</v>
      </c>
      <c r="H62" s="181">
        <f>[1]Beta!C65</f>
        <v>1.2336190389708566</v>
      </c>
      <c r="I62" s="180">
        <f>[1]WACC!D73</f>
        <v>0.11207697091486889</v>
      </c>
      <c r="J62" s="180">
        <f>[1]optvar!C67</f>
        <v>0.72543314545868787</v>
      </c>
      <c r="K62" s="180">
        <f>[1]WACC!G73</f>
        <v>7.0099999999999996E-2</v>
      </c>
      <c r="L62" s="180">
        <f>'[1]Debt fundamentals'!F62</f>
        <v>0.14034933783922693</v>
      </c>
      <c r="M62" s="180">
        <f>[1]WACC!K73</f>
        <v>0.10372590869683809</v>
      </c>
      <c r="N62" s="181">
        <f>'[1]Cap Ex'!J62</f>
        <v>0.51744376843268447</v>
      </c>
      <c r="O62" s="181">
        <f>[1]PS!E62</f>
        <v>3.5531523553351589</v>
      </c>
      <c r="P62" s="181">
        <f>[1]EVEBITDA!D63</f>
        <v>10.884098925641386</v>
      </c>
      <c r="Q62" s="181">
        <f>[1]EVEBITDA!E63</f>
        <v>33.924611581302663</v>
      </c>
      <c r="R62" s="181">
        <f>[1]PBV!C62</f>
        <v>1.6758914035578867</v>
      </c>
      <c r="S62" s="181">
        <f>[1]PE!E62</f>
        <v>14.432357858158962</v>
      </c>
      <c r="T62" s="180">
        <f>'[1]Working capital'!F62</f>
        <v>0.10747723875647383</v>
      </c>
      <c r="U62" s="180">
        <f>'[1]Summary sheet uValue'!G71</f>
        <v>0.23691578941503644</v>
      </c>
      <c r="V62" s="180">
        <f>'[1]Cap Ex'!H62</f>
        <v>6.2998989653640855E-2</v>
      </c>
      <c r="W62" s="180">
        <f>[1]fundgrEB!D62</f>
        <v>1.1648256717549319</v>
      </c>
      <c r="X62" s="180">
        <f>[1]Fundgr!C62</f>
        <v>3.6607071626089407E-2</v>
      </c>
      <c r="Y62" s="180">
        <f>'[1]Dividend fundamentals'!E62</f>
        <v>1.6036342196424935</v>
      </c>
      <c r="Z62" s="180">
        <f>1-[1]Fundgr!D62</f>
        <v>1.6036342196424935</v>
      </c>
      <c r="AA62" s="182">
        <f>[1]Margins!J63</f>
        <v>0.10498432937504064</v>
      </c>
    </row>
    <row r="63" spans="1:27">
      <c r="A63" s="178" t="str">
        <f>'[1]Master data'!A63</f>
        <v>Publishing &amp; Newspapers</v>
      </c>
      <c r="B63" s="179">
        <f>'[1]Master data'!B63</f>
        <v>20</v>
      </c>
      <c r="C63" s="180">
        <f>'[1]Hist Growth'!D63</f>
        <v>3.3178571428571425E-2</v>
      </c>
      <c r="D63" s="180">
        <f>[1]Margins!F64</f>
        <v>7.7287873141753158E-2</v>
      </c>
      <c r="E63" s="180">
        <f>'[1]Return on capital'!H63</f>
        <v>0.15253143934703767</v>
      </c>
      <c r="F63" s="180">
        <f>'[1]Tax rates'!H64</f>
        <v>0.15298152239036389</v>
      </c>
      <c r="G63" s="181">
        <f>[1]Beta!H66</f>
        <v>0.91415552689954038</v>
      </c>
      <c r="H63" s="181">
        <f>[1]Beta!C66</f>
        <v>1.1148957766881691</v>
      </c>
      <c r="I63" s="180">
        <f>[1]WACC!D74</f>
        <v>0.10502480913527724</v>
      </c>
      <c r="J63" s="180">
        <f>[1]optvar!C68</f>
        <v>0.30919744401282184</v>
      </c>
      <c r="K63" s="180">
        <f>[1]WACC!G74</f>
        <v>5.5E-2</v>
      </c>
      <c r="L63" s="180">
        <f>'[1]Debt fundamentals'!F63</f>
        <v>0.29664827548349576</v>
      </c>
      <c r="M63" s="180">
        <f>[1]WACC!K74</f>
        <v>8.6106121986008144E-2</v>
      </c>
      <c r="N63" s="181">
        <f>'[1]Cap Ex'!J63</f>
        <v>2.1495360876073235</v>
      </c>
      <c r="O63" s="181">
        <f>[1]PS!E63</f>
        <v>1.1585137067311873</v>
      </c>
      <c r="P63" s="181">
        <f>[1]EVEBITDA!D64</f>
        <v>8.3960946722323548</v>
      </c>
      <c r="Q63" s="181">
        <f>[1]EVEBITDA!E64</f>
        <v>14.858834219149905</v>
      </c>
      <c r="R63" s="181">
        <f>[1]PBV!C63</f>
        <v>1.5796672211897118</v>
      </c>
      <c r="S63" s="181">
        <f>[1]PE!E63</f>
        <v>19.59895929655136</v>
      </c>
      <c r="T63" s="180">
        <f>'[1]Working capital'!F63</f>
        <v>9.8783804806749545E-2</v>
      </c>
      <c r="U63" s="180">
        <f>'[1]Summary sheet uValue'!G72</f>
        <v>3.4528062285865198E-2</v>
      </c>
      <c r="V63" s="180">
        <f>'[1]Cap Ex'!H63</f>
        <v>6.1126999345159062E-2</v>
      </c>
      <c r="W63" s="180">
        <f>[1]fundgrEB!D63</f>
        <v>1.2037354739181043</v>
      </c>
      <c r="X63" s="180">
        <f>[1]Fundgr!C63</f>
        <v>5.1457490948492286E-2</v>
      </c>
      <c r="Y63" s="180">
        <f>'[1]Dividend fundamentals'!E63</f>
        <v>0.52372759488470044</v>
      </c>
      <c r="Z63" s="180">
        <f>1-[1]Fundgr!D63</f>
        <v>0.52372759488470044</v>
      </c>
      <c r="AA63" s="182">
        <f>[1]Margins!J64</f>
        <v>7.8448776546115331E-2</v>
      </c>
    </row>
    <row r="64" spans="1:27">
      <c r="A64" s="178" t="str">
        <f>'[1]Master data'!A64</f>
        <v>R.E.I.T.</v>
      </c>
      <c r="B64" s="179">
        <f>'[1]Master data'!B64</f>
        <v>223</v>
      </c>
      <c r="C64" s="180">
        <f>'[1]Hist Growth'!D64</f>
        <v>9.5720324324324327E-2</v>
      </c>
      <c r="D64" s="180">
        <f>[1]Margins!F65</f>
        <v>0.25462046773995528</v>
      </c>
      <c r="E64" s="180">
        <f>'[1]Return on capital'!H64</f>
        <v>3.2919535377649287E-2</v>
      </c>
      <c r="F64" s="180">
        <f>'[1]Tax rates'!H65</f>
        <v>4.2830130197032544E-2</v>
      </c>
      <c r="G64" s="181">
        <f>[1]Beta!H67</f>
        <v>0.68555683323023653</v>
      </c>
      <c r="H64" s="181">
        <f>[1]Beta!C67</f>
        <v>1.063376043005491</v>
      </c>
      <c r="I64" s="180">
        <f>[1]WACC!D75</f>
        <v>0.10196453695452617</v>
      </c>
      <c r="J64" s="180">
        <f>[1]optvar!C69</f>
        <v>0.21541532639566627</v>
      </c>
      <c r="K64" s="180">
        <f>[1]WACC!G75</f>
        <v>4.7300000000000002E-2</v>
      </c>
      <c r="L64" s="180">
        <f>'[1]Debt fundamentals'!F64</f>
        <v>0.43607305258100248</v>
      </c>
      <c r="M64" s="180">
        <f>[1]WACC!K75</f>
        <v>7.297024161006857E-2</v>
      </c>
      <c r="N64" s="181">
        <f>'[1]Cap Ex'!J64</f>
        <v>0.14684116326248878</v>
      </c>
      <c r="O64" s="181">
        <f>[1]PS!E64</f>
        <v>11.06237876186524</v>
      </c>
      <c r="P64" s="181">
        <f>[1]EVEBITDA!D65</f>
        <v>19.889516018721697</v>
      </c>
      <c r="Q64" s="181">
        <f>[1]EVEBITDA!E65</f>
        <v>43.36149682247148</v>
      </c>
      <c r="R64" s="181">
        <f>[1]PBV!C64</f>
        <v>1.9278379217128667</v>
      </c>
      <c r="S64" s="181">
        <f>[1]PE!E64</f>
        <v>41.482551524936767</v>
      </c>
      <c r="T64" s="180">
        <f>'[1]Working capital'!F64</f>
        <v>1.1802755385535975</v>
      </c>
      <c r="U64" s="180">
        <f>'[1]Summary sheet uValue'!G73</f>
        <v>3.0609471497529343E-2</v>
      </c>
      <c r="V64" s="180">
        <f>'[1]Cap Ex'!H64</f>
        <v>-6.9579443323791318E-2</v>
      </c>
      <c r="W64" s="180">
        <f>[1]fundgrEB!D64</f>
        <v>-0.3090305179736722</v>
      </c>
      <c r="X64" s="180">
        <f>[1]Fundgr!C64</f>
        <v>8.8529626809054379E-2</v>
      </c>
      <c r="Y64" s="180">
        <f>'[1]Dividend fundamentals'!E64</f>
        <v>1.0779848431093604</v>
      </c>
      <c r="Z64" s="180">
        <f>1-[1]Fundgr!D64</f>
        <v>1.0779848431093604</v>
      </c>
      <c r="AA64" s="182">
        <f>[1]Margins!J65</f>
        <v>0.23203055634695816</v>
      </c>
    </row>
    <row r="65" spans="1:27">
      <c r="A65" s="178" t="str">
        <f>'[1]Master data'!A65</f>
        <v>Real Estate (Development)</v>
      </c>
      <c r="B65" s="179">
        <f>'[1]Master data'!B65</f>
        <v>18</v>
      </c>
      <c r="C65" s="180">
        <f>'[1]Hist Growth'!D65</f>
        <v>0.10161666666666665</v>
      </c>
      <c r="D65" s="180">
        <f>[1]Margins!F66</f>
        <v>0.18643282544436918</v>
      </c>
      <c r="E65" s="180">
        <f>'[1]Return on capital'!H65</f>
        <v>6.1246870475157367E-2</v>
      </c>
      <c r="F65" s="180">
        <f>'[1]Tax rates'!H66</f>
        <v>0.22962895460275518</v>
      </c>
      <c r="G65" s="181">
        <f>[1]Beta!H68</f>
        <v>0.88380482744065236</v>
      </c>
      <c r="H65" s="181">
        <f>[1]Beta!C68</f>
        <v>1.5166924498761216</v>
      </c>
      <c r="I65" s="180">
        <f>[1]WACC!D76</f>
        <v>0.12889153152264163</v>
      </c>
      <c r="J65" s="180">
        <f>[1]optvar!C70</f>
        <v>0.51250635002105183</v>
      </c>
      <c r="K65" s="180">
        <f>[1]WACC!G76</f>
        <v>5.8800000000000005E-2</v>
      </c>
      <c r="L65" s="180">
        <f>'[1]Debt fundamentals'!F65</f>
        <v>0.52953698868574195</v>
      </c>
      <c r="M65" s="180">
        <f>[1]WACC!K76</f>
        <v>8.3991279254089821E-2</v>
      </c>
      <c r="N65" s="181">
        <f>'[1]Cap Ex'!J65</f>
        <v>0.37533699252084596</v>
      </c>
      <c r="O65" s="181">
        <f>[1]PS!E65</f>
        <v>2.8074579856808244</v>
      </c>
      <c r="P65" s="181">
        <f>[1]EVEBITDA!D66</f>
        <v>10.539631090506099</v>
      </c>
      <c r="Q65" s="181">
        <f>[1]EVEBITDA!E66</f>
        <v>15.458491482757813</v>
      </c>
      <c r="R65" s="181">
        <f>[1]PBV!C65</f>
        <v>0.94227824319529518</v>
      </c>
      <c r="S65" s="181">
        <f>[1]PE!E65</f>
        <v>10.7244443912679</v>
      </c>
      <c r="T65" s="180">
        <f>'[1]Working capital'!F65</f>
        <v>6.8979327664156362E-2</v>
      </c>
      <c r="U65" s="180">
        <f>'[1]Summary sheet uValue'!G74</f>
        <v>1.6656707603486576E-2</v>
      </c>
      <c r="V65" s="180">
        <f>'[1]Cap Ex'!H65</f>
        <v>-4.235974257333449E-2</v>
      </c>
      <c r="W65" s="180">
        <f>[1]fundgrEB!D65</f>
        <v>-0.52566876328210455</v>
      </c>
      <c r="X65" s="180">
        <f>[1]Fundgr!C65</f>
        <v>0.10514161885746096</v>
      </c>
      <c r="Y65" s="180">
        <f>'[1]Dividend fundamentals'!E65</f>
        <v>0</v>
      </c>
      <c r="Z65" s="180">
        <f>1-[1]Fundgr!D65</f>
        <v>0</v>
      </c>
      <c r="AA65" s="182">
        <f>[1]Margins!J66</f>
        <v>0.17482898999177635</v>
      </c>
    </row>
    <row r="66" spans="1:27">
      <c r="A66" s="178" t="str">
        <f>'[1]Master data'!A66</f>
        <v>Real Estate (General/Diversified)</v>
      </c>
      <c r="B66" s="179">
        <f>'[1]Master data'!B66</f>
        <v>12</v>
      </c>
      <c r="C66" s="180">
        <f>'[1]Hist Growth'!D66</f>
        <v>8.7419999999999998E-2</v>
      </c>
      <c r="D66" s="180">
        <f>[1]Margins!F67</f>
        <v>0.18574177746675996</v>
      </c>
      <c r="E66" s="180">
        <f>'[1]Return on capital'!H66</f>
        <v>6.5124916516099793E-2</v>
      </c>
      <c r="F66" s="180">
        <f>'[1]Tax rates'!H67</f>
        <v>0.22877349119949147</v>
      </c>
      <c r="G66" s="181">
        <f>[1]Beta!H69</f>
        <v>0.6649391588559308</v>
      </c>
      <c r="H66" s="181">
        <f>[1]Beta!C69</f>
        <v>0.78980297684164968</v>
      </c>
      <c r="I66" s="180">
        <f>[1]WACC!D77</f>
        <v>8.5714296824393993E-2</v>
      </c>
      <c r="J66" s="180">
        <f>[1]optvar!C71</f>
        <v>0.28661749273612586</v>
      </c>
      <c r="K66" s="180">
        <f>[1]WACC!G77</f>
        <v>5.5E-2</v>
      </c>
      <c r="L66" s="180">
        <f>'[1]Debt fundamentals'!F66</f>
        <v>0.28478860416132579</v>
      </c>
      <c r="M66" s="180">
        <f>[1]WACC!K77</f>
        <v>7.3051371796759967E-2</v>
      </c>
      <c r="N66" s="181">
        <f>'[1]Cap Ex'!J66</f>
        <v>0.38625209859805604</v>
      </c>
      <c r="O66" s="181">
        <f>[1]PS!E66</f>
        <v>4.0156438237906613</v>
      </c>
      <c r="P66" s="181">
        <f>[1]EVEBITDA!D67</f>
        <v>14.89079423992054</v>
      </c>
      <c r="Q66" s="181">
        <f>[1]EVEBITDA!E67</f>
        <v>21.390967318368396</v>
      </c>
      <c r="R66" s="181">
        <f>[1]PBV!C66</f>
        <v>0.96600942934182954</v>
      </c>
      <c r="S66" s="181">
        <f>[1]PE!E66</f>
        <v>17.526867681340555</v>
      </c>
      <c r="T66" s="180">
        <f>'[1]Working capital'!F66</f>
        <v>2.0459245976207137</v>
      </c>
      <c r="U66" s="180">
        <f>'[1]Summary sheet uValue'!G75</f>
        <v>1.8100944716585025E-2</v>
      </c>
      <c r="V66" s="180">
        <f>'[1]Cap Ex'!H66</f>
        <v>-3.3939818054584079E-4</v>
      </c>
      <c r="W66" s="180">
        <f>[1]fundgrEB!D66</f>
        <v>0.6677825293193983</v>
      </c>
      <c r="X66" s="180">
        <f>[1]Fundgr!C66</f>
        <v>6.6811159787871804E-2</v>
      </c>
      <c r="Y66" s="180">
        <f>'[1]Dividend fundamentals'!E66</f>
        <v>0.33199889563776919</v>
      </c>
      <c r="Z66" s="180">
        <f>1-[1]Fundgr!D66</f>
        <v>0.33199889563776919</v>
      </c>
      <c r="AA66" s="182">
        <f>[1]Margins!J67</f>
        <v>0.18604180906971937</v>
      </c>
    </row>
    <row r="67" spans="1:27">
      <c r="A67" s="178" t="str">
        <f>'[1]Master data'!A67</f>
        <v>Real Estate (Operations &amp; Services)</v>
      </c>
      <c r="B67" s="179">
        <f>'[1]Master data'!B67</f>
        <v>60</v>
      </c>
      <c r="C67" s="180">
        <f>'[1]Hist Growth'!D67</f>
        <v>0.16003758620689656</v>
      </c>
      <c r="D67" s="180">
        <f>[1]Margins!F68</f>
        <v>1.1685762595962912E-2</v>
      </c>
      <c r="E67" s="180">
        <f>'[1]Return on capital'!H67</f>
        <v>1.0758116120213667E-2</v>
      </c>
      <c r="F67" s="180">
        <f>'[1]Tax rates'!H68</f>
        <v>0.2022882818442118</v>
      </c>
      <c r="G67" s="181">
        <f>[1]Beta!H70</f>
        <v>0.80502060474331827</v>
      </c>
      <c r="H67" s="181">
        <f>[1]Beta!C70</f>
        <v>1.3454843302112593</v>
      </c>
      <c r="I67" s="180">
        <f>[1]WACC!D78</f>
        <v>0.11872176921454881</v>
      </c>
      <c r="J67" s="180">
        <f>[1]optvar!C72</f>
        <v>0.44434220453063733</v>
      </c>
      <c r="K67" s="180">
        <f>[1]WACC!G78</f>
        <v>5.5E-2</v>
      </c>
      <c r="L67" s="180">
        <f>'[1]Debt fundamentals'!F67</f>
        <v>0.5221196650429506</v>
      </c>
      <c r="M67" s="180">
        <f>[1]WACC!K78</f>
        <v>7.8272235021963815E-2</v>
      </c>
      <c r="N67" s="181">
        <f>'[1]Cap Ex'!J67</f>
        <v>1.5689215564881624</v>
      </c>
      <c r="O67" s="181">
        <f>[1]PS!E67</f>
        <v>0.99731101203291117</v>
      </c>
      <c r="P67" s="181">
        <f>[1]EVEBITDA!D68</f>
        <v>8.7971462659737867</v>
      </c>
      <c r="Q67" s="181">
        <f>[1]EVEBITDA!E68</f>
        <v>159.94211887150664</v>
      </c>
      <c r="R67" s="181">
        <f>[1]PBV!C67</f>
        <v>1.6465144649718912</v>
      </c>
      <c r="S67" s="181">
        <f>[1]PE!E67</f>
        <v>39.800177325074387</v>
      </c>
      <c r="T67" s="180">
        <f>'[1]Working capital'!F67</f>
        <v>0.15137872576266614</v>
      </c>
      <c r="U67" s="180">
        <f>'[1]Summary sheet uValue'!G76</f>
        <v>1.1949056366529672E-2</v>
      </c>
      <c r="V67" s="180">
        <f>'[1]Cap Ex'!H67</f>
        <v>-9.7335503466809909E-4</v>
      </c>
      <c r="W67" s="180" t="str">
        <f>[1]fundgrEB!D67</f>
        <v>NA</v>
      </c>
      <c r="X67" s="180">
        <f>[1]Fundgr!C67</f>
        <v>-3.5766856752091167E-2</v>
      </c>
      <c r="Y67" s="180">
        <f>'[1]Dividend fundamentals'!E67</f>
        <v>3.3508867332228652E-3</v>
      </c>
      <c r="Z67" s="180">
        <f>1-[1]Fundgr!D67</f>
        <v>3.3508867332228132E-3</v>
      </c>
      <c r="AA67" s="182">
        <f>[1]Margins!J68</f>
        <v>7.1283603499213786E-3</v>
      </c>
    </row>
    <row r="68" spans="1:27">
      <c r="A68" s="178" t="str">
        <f>'[1]Master data'!A68</f>
        <v>Recreation</v>
      </c>
      <c r="B68" s="179">
        <f>'[1]Master data'!B68</f>
        <v>57</v>
      </c>
      <c r="C68" s="180">
        <f>'[1]Hist Growth'!D68</f>
        <v>7.7886923076923062E-2</v>
      </c>
      <c r="D68" s="180">
        <f>[1]Margins!F69</f>
        <v>9.1872618065840059E-2</v>
      </c>
      <c r="E68" s="180">
        <f>'[1]Return on capital'!H68</f>
        <v>0.12254941456919057</v>
      </c>
      <c r="F68" s="180">
        <f>'[1]Tax rates'!H69</f>
        <v>0.20045837235862293</v>
      </c>
      <c r="G68" s="181">
        <f>[1]Beta!H71</f>
        <v>1.0754929270701692</v>
      </c>
      <c r="H68" s="181">
        <f>[1]Beta!C71</f>
        <v>1.4179809441636479</v>
      </c>
      <c r="I68" s="180">
        <f>[1]WACC!D79</f>
        <v>0.12302806808332069</v>
      </c>
      <c r="J68" s="180">
        <f>[1]optvar!C73</f>
        <v>0.42131153923229786</v>
      </c>
      <c r="K68" s="180">
        <f>[1]WACC!G79</f>
        <v>5.5E-2</v>
      </c>
      <c r="L68" s="180">
        <f>'[1]Debt fundamentals'!F68</f>
        <v>0.34236718555089074</v>
      </c>
      <c r="M68" s="180">
        <f>[1]WACC!K79</f>
        <v>9.5029941073845062E-2</v>
      </c>
      <c r="N68" s="181">
        <f>'[1]Cap Ex'!J68</f>
        <v>1.5859899092296037</v>
      </c>
      <c r="O68" s="181">
        <f>[1]PS!E68</f>
        <v>1.7662464800785203</v>
      </c>
      <c r="P68" s="181">
        <f>[1]EVEBITDA!D69</f>
        <v>9.6622797370029652</v>
      </c>
      <c r="Q68" s="181">
        <f>[1]EVEBITDA!E69</f>
        <v>20.261567691401542</v>
      </c>
      <c r="R68" s="181">
        <f>[1]PBV!C68</f>
        <v>3.2439902238762262</v>
      </c>
      <c r="S68" s="181">
        <f>[1]PE!E68</f>
        <v>18.79714703297693</v>
      </c>
      <c r="T68" s="180">
        <f>'[1]Working capital'!F68</f>
        <v>0.18853137911199377</v>
      </c>
      <c r="U68" s="180">
        <f>'[1]Summary sheet uValue'!G77</f>
        <v>6.3165185357422896E-2</v>
      </c>
      <c r="V68" s="180">
        <f>'[1]Cap Ex'!H68</f>
        <v>8.4633752387295091E-2</v>
      </c>
      <c r="W68" s="180">
        <f>[1]fundgrEB!D68</f>
        <v>2.4253997212904026</v>
      </c>
      <c r="X68" s="180">
        <f>[1]Fundgr!C68</f>
        <v>3.9523433869521209E-2</v>
      </c>
      <c r="Y68" s="180">
        <f>'[1]Dividend fundamentals'!E68</f>
        <v>1.3633798616766255</v>
      </c>
      <c r="Z68" s="180">
        <f>1-[1]Fundgr!D68</f>
        <v>1.3633798616766255</v>
      </c>
      <c r="AA68" s="182">
        <f>[1]Margins!J69</f>
        <v>8.5155250515097439E-2</v>
      </c>
    </row>
    <row r="69" spans="1:27">
      <c r="A69" s="178" t="str">
        <f>'[1]Master data'!A69</f>
        <v>Reinsurance</v>
      </c>
      <c r="B69" s="179">
        <f>'[1]Master data'!B69</f>
        <v>1</v>
      </c>
      <c r="C69" s="180">
        <f>'[1]Hist Growth'!D69</f>
        <v>5.6299999999999996E-2</v>
      </c>
      <c r="D69" s="180">
        <f>[1]Margins!F70</f>
        <v>4.6484423100603377E-2</v>
      </c>
      <c r="E69" s="180">
        <f>'[1]Return on capital'!H69</f>
        <v>5.2526535195568026E-2</v>
      </c>
      <c r="F69" s="180">
        <f>'[1]Tax rates'!H70</f>
        <v>6.4829821717990274E-2</v>
      </c>
      <c r="G69" s="181">
        <f>[1]Beta!H72</f>
        <v>0.83160738080596275</v>
      </c>
      <c r="H69" s="181">
        <f>[1]Beta!C72</f>
        <v>0.82924820341635141</v>
      </c>
      <c r="I69" s="180">
        <f>[1]WACC!D80</f>
        <v>8.8057343282931272E-2</v>
      </c>
      <c r="J69" s="180">
        <f>[1]optvar!C74</f>
        <v>0.1936761567443839</v>
      </c>
      <c r="K69" s="180">
        <f>[1]WACC!G80</f>
        <v>4.7300000000000002E-2</v>
      </c>
      <c r="L69" s="180">
        <f>'[1]Debt fundamentals'!F69</f>
        <v>0.31081382917101813</v>
      </c>
      <c r="M69" s="180">
        <f>[1]WACC!K80</f>
        <v>7.1714023820378447E-2</v>
      </c>
      <c r="N69" s="181">
        <f>'[1]Cap Ex'!J69</f>
        <v>1.2102032753146545</v>
      </c>
      <c r="O69" s="181">
        <f>[1]PS!E69</f>
        <v>0.63216265478481615</v>
      </c>
      <c r="P69" s="181">
        <f>[1]EVEBITDA!D70</f>
        <v>12.075250898524033</v>
      </c>
      <c r="Q69" s="181">
        <f>[1]EVEBITDA!E70</f>
        <v>13.620688310926171</v>
      </c>
      <c r="R69" s="181">
        <f>[1]PBV!C69</f>
        <v>2.5371894202511358</v>
      </c>
      <c r="S69" s="181">
        <f>[1]PE!E69</f>
        <v>16.516000000000002</v>
      </c>
      <c r="T69" s="180">
        <f>'[1]Working capital'!F69</f>
        <v>-0.17934983376431474</v>
      </c>
      <c r="U69" s="180">
        <f>'[1]Summary sheet uValue'!G78</f>
        <v>1.4160817633296391E-3</v>
      </c>
      <c r="V69" s="180">
        <f>'[1]Cap Ex'!H69</f>
        <v>-3.5894594261790392E-3</v>
      </c>
      <c r="W69" s="180">
        <f>[1]fundgrEB!D69</f>
        <v>5.9152910542786076E-2</v>
      </c>
      <c r="X69" s="180">
        <f>[1]Fundgr!C69</f>
        <v>4.4625533566162202E-2</v>
      </c>
      <c r="Y69" s="180">
        <f>'[1]Dividend fundamentals'!E69</f>
        <v>0.34956521739130436</v>
      </c>
      <c r="Z69" s="180">
        <f>1-[1]Fundgr!D69</f>
        <v>0.34956521739130442</v>
      </c>
      <c r="AA69" s="182">
        <f>[1]Margins!J70</f>
        <v>4.6411946324159792E-2</v>
      </c>
    </row>
    <row r="70" spans="1:27">
      <c r="A70" s="178" t="str">
        <f>'[1]Master data'!A70</f>
        <v>Restaurant/Dining</v>
      </c>
      <c r="B70" s="179">
        <f>'[1]Master data'!B70</f>
        <v>70</v>
      </c>
      <c r="C70" s="180">
        <f>'[1]Hist Growth'!D70</f>
        <v>6.2767619047619044E-2</v>
      </c>
      <c r="D70" s="180">
        <f>[1]Margins!F71</f>
        <v>0.15419795499898792</v>
      </c>
      <c r="E70" s="180">
        <f>'[1]Return on capital'!H70</f>
        <v>0.18384754911547566</v>
      </c>
      <c r="F70" s="180">
        <f>'[1]Tax rates'!H71</f>
        <v>0.21302882919614741</v>
      </c>
      <c r="G70" s="181">
        <f>[1]Beta!H73</f>
        <v>1.1660017105464549</v>
      </c>
      <c r="H70" s="181">
        <f>[1]Beta!C73</f>
        <v>1.4103978688180479</v>
      </c>
      <c r="I70" s="180">
        <f>[1]WACC!D81</f>
        <v>0.12257763340779204</v>
      </c>
      <c r="J70" s="180">
        <f>[1]optvar!C75</f>
        <v>0.41147053391609606</v>
      </c>
      <c r="K70" s="180">
        <f>[1]WACC!G81</f>
        <v>5.5E-2</v>
      </c>
      <c r="L70" s="180">
        <f>'[1]Debt fundamentals'!F70</f>
        <v>0.23533040964915261</v>
      </c>
      <c r="M70" s="180">
        <f>[1]WACC!K81</f>
        <v>0.10343876812214023</v>
      </c>
      <c r="N70" s="181">
        <f>'[1]Cap Ex'!J70</f>
        <v>1.5701942239956401</v>
      </c>
      <c r="O70" s="181">
        <f>[1]PS!E70</f>
        <v>4.0665383764474727</v>
      </c>
      <c r="P70" s="181">
        <f>[1]EVEBITDA!D71</f>
        <v>16.789677683444001</v>
      </c>
      <c r="Q70" s="181">
        <f>[1]EVEBITDA!E71</f>
        <v>31.709447042133828</v>
      </c>
      <c r="R70" s="181" t="str">
        <f>[1]PBV!C70</f>
        <v>NA</v>
      </c>
      <c r="S70" s="181">
        <f>[1]PE!E70</f>
        <v>32.060305059956086</v>
      </c>
      <c r="T70" s="180">
        <f>'[1]Working capital'!F70</f>
        <v>1.691510380042419E-2</v>
      </c>
      <c r="U70" s="180">
        <f>'[1]Summary sheet uValue'!G79</f>
        <v>5.5110462367772506E-2</v>
      </c>
      <c r="V70" s="180">
        <f>'[1]Cap Ex'!H70</f>
        <v>4.1202702185160214E-2</v>
      </c>
      <c r="W70" s="180">
        <f>[1]fundgrEB!D70</f>
        <v>0.45041519247016731</v>
      </c>
      <c r="X70" s="180" t="str">
        <f>[1]Fundgr!C70</f>
        <v>NA</v>
      </c>
      <c r="Y70" s="180">
        <f>'[1]Dividend fundamentals'!E70</f>
        <v>0.61859397079777145</v>
      </c>
      <c r="Z70" s="180">
        <f>1-[1]Fundgr!D70</f>
        <v>0.61859397079777145</v>
      </c>
      <c r="AA70" s="182">
        <f>[1]Margins!J71</f>
        <v>0.12802472049949576</v>
      </c>
    </row>
    <row r="71" spans="1:27">
      <c r="A71" s="178" t="str">
        <f>'[1]Master data'!A71</f>
        <v>Retail (Automotive)</v>
      </c>
      <c r="B71" s="179">
        <f>'[1]Master data'!B71</f>
        <v>30</v>
      </c>
      <c r="C71" s="180">
        <f>'[1]Hist Growth'!D71</f>
        <v>0.17119444444444448</v>
      </c>
      <c r="D71" s="180">
        <f>[1]Margins!F72</f>
        <v>6.1927720578008112E-2</v>
      </c>
      <c r="E71" s="180">
        <f>'[1]Return on capital'!H71</f>
        <v>0.15601912407155186</v>
      </c>
      <c r="F71" s="180">
        <f>'[1]Tax rates'!H72</f>
        <v>0.23558902670157125</v>
      </c>
      <c r="G71" s="181">
        <f>[1]Beta!H74</f>
        <v>1.0827260845919955</v>
      </c>
      <c r="H71" s="181">
        <f>[1]Beta!C74</f>
        <v>1.5201925121768585</v>
      </c>
      <c r="I71" s="180">
        <f>[1]WACC!D82</f>
        <v>0.12909943522330541</v>
      </c>
      <c r="J71" s="180">
        <f>[1]optvar!C76</f>
        <v>0.35710895966484529</v>
      </c>
      <c r="K71" s="180">
        <f>[1]WACC!G82</f>
        <v>5.5E-2</v>
      </c>
      <c r="L71" s="180">
        <f>'[1]Debt fundamentals'!F71</f>
        <v>0.36502616498949741</v>
      </c>
      <c r="M71" s="180">
        <f>[1]WACC!K82</f>
        <v>9.7032092787248961E-2</v>
      </c>
      <c r="N71" s="181">
        <f>'[1]Cap Ex'!J71</f>
        <v>3.2313109542113141</v>
      </c>
      <c r="O71" s="181">
        <f>[1]PS!E71</f>
        <v>0.90560565109919078</v>
      </c>
      <c r="P71" s="181">
        <f>[1]EVEBITDA!D72</f>
        <v>9.7510306004997052</v>
      </c>
      <c r="Q71" s="181">
        <f>[1]EVEBITDA!E72</f>
        <v>15.107260975672965</v>
      </c>
      <c r="R71" s="181">
        <f>[1]PBV!C71</f>
        <v>6.0652224522249334</v>
      </c>
      <c r="S71" s="181">
        <f>[1]PE!E71</f>
        <v>10.001651614901713</v>
      </c>
      <c r="T71" s="180">
        <f>'[1]Working capital'!F71</f>
        <v>8.1386429198359977E-2</v>
      </c>
      <c r="U71" s="180">
        <f>'[1]Summary sheet uValue'!G80</f>
        <v>1.7778313148109137E-2</v>
      </c>
      <c r="V71" s="180">
        <f>'[1]Cap Ex'!H71</f>
        <v>5.1259894461536532E-2</v>
      </c>
      <c r="W71" s="180">
        <f>[1]fundgrEB!D71</f>
        <v>1.3390635636870629</v>
      </c>
      <c r="X71" s="180">
        <f>[1]Fundgr!C71</f>
        <v>0.43254080251611221</v>
      </c>
      <c r="Y71" s="180">
        <f>'[1]Dividend fundamentals'!E71</f>
        <v>6.7007152043207063E-2</v>
      </c>
      <c r="Z71" s="180">
        <f>1-[1]Fundgr!D71</f>
        <v>6.7007152043207063E-2</v>
      </c>
      <c r="AA71" s="182">
        <f>[1]Margins!J72</f>
        <v>5.7364970955562075E-2</v>
      </c>
    </row>
    <row r="72" spans="1:27">
      <c r="A72" s="178" t="str">
        <f>'[1]Master data'!A72</f>
        <v>Retail (Building Supply)</v>
      </c>
      <c r="B72" s="179">
        <f>'[1]Master data'!B72</f>
        <v>15</v>
      </c>
      <c r="C72" s="180">
        <f>'[1]Hist Growth'!D72</f>
        <v>0.13023333333333334</v>
      </c>
      <c r="D72" s="180">
        <f>[1]Margins!F73</f>
        <v>0.13849542000702966</v>
      </c>
      <c r="E72" s="180">
        <f>'[1]Return on capital'!H72</f>
        <v>0.50284847286762124</v>
      </c>
      <c r="F72" s="180">
        <f>'[1]Tax rates'!H73</f>
        <v>0.24916304003227943</v>
      </c>
      <c r="G72" s="181">
        <f>[1]Beta!H75</f>
        <v>1.5670419621739333</v>
      </c>
      <c r="H72" s="181">
        <f>[1]Beta!C75</f>
        <v>1.7891723510222548</v>
      </c>
      <c r="I72" s="180">
        <f>[1]WACC!D83</f>
        <v>0.14507683765072193</v>
      </c>
      <c r="J72" s="180">
        <f>[1]optvar!C77</f>
        <v>0.37546183716654358</v>
      </c>
      <c r="K72" s="180">
        <f>[1]WACC!G83</f>
        <v>5.5E-2</v>
      </c>
      <c r="L72" s="180">
        <f>'[1]Debt fundamentals'!F72</f>
        <v>0.17500957285412982</v>
      </c>
      <c r="M72" s="180">
        <f>[1]WACC!K83</f>
        <v>0.12690614714267401</v>
      </c>
      <c r="N72" s="181">
        <f>'[1]Cap Ex'!J72</f>
        <v>4.2038176025207861</v>
      </c>
      <c r="O72" s="181">
        <f>[1]PS!E72</f>
        <v>1.9563486558546059</v>
      </c>
      <c r="P72" s="181">
        <f>[1]EVEBITDA!D73</f>
        <v>11.469128120171815</v>
      </c>
      <c r="Q72" s="181">
        <f>[1]EVEBITDA!E73</f>
        <v>14.161032414237553</v>
      </c>
      <c r="R72" s="181" t="str">
        <f>[1]PBV!C72</f>
        <v>NA</v>
      </c>
      <c r="S72" s="181">
        <f>[1]PE!E72</f>
        <v>14.307930590731086</v>
      </c>
      <c r="T72" s="180">
        <f>'[1]Working capital'!F72</f>
        <v>0.10000462572456546</v>
      </c>
      <c r="U72" s="180">
        <f>'[1]Summary sheet uValue'!G81</f>
        <v>2.2444677911148944E-2</v>
      </c>
      <c r="V72" s="180">
        <f>'[1]Cap Ex'!H72</f>
        <v>6.3132169216013083E-3</v>
      </c>
      <c r="W72" s="180">
        <f>[1]fundgrEB!D72</f>
        <v>0.41726625965420955</v>
      </c>
      <c r="X72" s="180">
        <f>[1]Fundgr!C72</f>
        <v>4.7726960627988493E-3</v>
      </c>
      <c r="Y72" s="180">
        <f>'[1]Dividend fundamentals'!E72</f>
        <v>0.41155081198269666</v>
      </c>
      <c r="Z72" s="180">
        <f>1-[1]Fundgr!D72</f>
        <v>0.41155081198269672</v>
      </c>
      <c r="AA72" s="182">
        <f>[1]Margins!J73</f>
        <v>0.13811055980817999</v>
      </c>
    </row>
    <row r="73" spans="1:27">
      <c r="A73" s="178" t="str">
        <f>'[1]Master data'!A73</f>
        <v>Retail (Distributors)</v>
      </c>
      <c r="B73" s="179">
        <f>'[1]Master data'!B73</f>
        <v>69</v>
      </c>
      <c r="C73" s="180">
        <f>'[1]Hist Growth'!D73</f>
        <v>7.3269285714285717E-2</v>
      </c>
      <c r="D73" s="180">
        <f>[1]Margins!F74</f>
        <v>0.11662138900914724</v>
      </c>
      <c r="E73" s="180">
        <f>'[1]Return on capital'!H73</f>
        <v>0.21342632081347138</v>
      </c>
      <c r="F73" s="180">
        <f>'[1]Tax rates'!H74</f>
        <v>0.23456802565441692</v>
      </c>
      <c r="G73" s="181">
        <f>[1]Beta!H76</f>
        <v>1.00607436454125</v>
      </c>
      <c r="H73" s="181">
        <f>[1]Beta!C76</f>
        <v>1.2752456934388758</v>
      </c>
      <c r="I73" s="180">
        <f>[1]WACC!D84</f>
        <v>0.11454959419026922</v>
      </c>
      <c r="J73" s="180">
        <f>[1]optvar!C78</f>
        <v>0.37083010776240061</v>
      </c>
      <c r="K73" s="180">
        <f>[1]WACC!G84</f>
        <v>5.5E-2</v>
      </c>
      <c r="L73" s="180">
        <f>'[1]Debt fundamentals'!F73</f>
        <v>0.2834997671745757</v>
      </c>
      <c r="M73" s="180">
        <f>[1]WACC!K84</f>
        <v>9.3769176303337004E-2</v>
      </c>
      <c r="N73" s="181">
        <f>'[1]Cap Ex'!J73</f>
        <v>2.0729280898718252</v>
      </c>
      <c r="O73" s="181">
        <f>[1]PS!E73</f>
        <v>1.4491371517415981</v>
      </c>
      <c r="P73" s="181">
        <f>[1]EVEBITDA!D74</f>
        <v>9.4337028665467226</v>
      </c>
      <c r="Q73" s="181">
        <f>[1]EVEBITDA!E74</f>
        <v>11.189698840895451</v>
      </c>
      <c r="R73" s="181">
        <f>[1]PBV!C73</f>
        <v>3.3546996530954596</v>
      </c>
      <c r="S73" s="181">
        <f>[1]PE!E73</f>
        <v>27.139280463174906</v>
      </c>
      <c r="T73" s="180">
        <f>'[1]Working capital'!F73</f>
        <v>0.17141068041195093</v>
      </c>
      <c r="U73" s="180">
        <f>'[1]Summary sheet uValue'!G82</f>
        <v>6.0647545579341045E-2</v>
      </c>
      <c r="V73" s="180">
        <f>'[1]Cap Ex'!H73</f>
        <v>7.9493645195904877E-2</v>
      </c>
      <c r="W73" s="180">
        <f>[1]fundgrEB!D73</f>
        <v>1.3260349839685297</v>
      </c>
      <c r="X73" s="180">
        <f>[1]Fundgr!C73</f>
        <v>0.27374436051738033</v>
      </c>
      <c r="Y73" s="180">
        <f>'[1]Dividend fundamentals'!E73</f>
        <v>0.21645782493310001</v>
      </c>
      <c r="Z73" s="180">
        <f>1-[1]Fundgr!D73</f>
        <v>0.21645782493309995</v>
      </c>
      <c r="AA73" s="182">
        <f>[1]Margins!J74</f>
        <v>0.11913571399654554</v>
      </c>
    </row>
    <row r="74" spans="1:27">
      <c r="A74" s="178" t="str">
        <f>'[1]Master data'!A74</f>
        <v>Retail (General)</v>
      </c>
      <c r="B74" s="179">
        <f>'[1]Master data'!B74</f>
        <v>15</v>
      </c>
      <c r="C74" s="180">
        <f>'[1]Hist Growth'!D74</f>
        <v>4.3181538461538473E-2</v>
      </c>
      <c r="D74" s="180">
        <f>[1]Margins!F75</f>
        <v>4.3490132696043217E-2</v>
      </c>
      <c r="E74" s="180">
        <f>'[1]Return on capital'!H74</f>
        <v>0.17887258680308168</v>
      </c>
      <c r="F74" s="180">
        <f>'[1]Tax rates'!H75</f>
        <v>0.25407023785694749</v>
      </c>
      <c r="G74" s="181">
        <f>[1]Beta!H77</f>
        <v>1.2201002971574864</v>
      </c>
      <c r="H74" s="181">
        <f>[1]Beta!C77</f>
        <v>1.3632136186935628</v>
      </c>
      <c r="I74" s="180">
        <f>[1]WACC!D85</f>
        <v>0.11977488895039763</v>
      </c>
      <c r="J74" s="180">
        <f>[1]optvar!C79</f>
        <v>0.31528080319313112</v>
      </c>
      <c r="K74" s="180">
        <f>[1]WACC!G85</f>
        <v>5.5E-2</v>
      </c>
      <c r="L74" s="180">
        <f>'[1]Debt fundamentals'!F74</f>
        <v>0.16645578370845249</v>
      </c>
      <c r="M74" s="180">
        <f>[1]WACC!K85</f>
        <v>0.10670396701953999</v>
      </c>
      <c r="N74" s="181">
        <f>'[1]Cap Ex'!J74</f>
        <v>5.5117475233811613</v>
      </c>
      <c r="O74" s="181">
        <f>[1]PS!E74</f>
        <v>0.81313449985441677</v>
      </c>
      <c r="P74" s="181">
        <f>[1]EVEBITDA!D75</f>
        <v>11.895592388704946</v>
      </c>
      <c r="Q74" s="181">
        <f>[1]EVEBITDA!E75</f>
        <v>19.728979846455509</v>
      </c>
      <c r="R74" s="181">
        <f>[1]PBV!C74</f>
        <v>5.4471986647594894</v>
      </c>
      <c r="S74" s="181">
        <f>[1]PE!E74</f>
        <v>18.550527865353317</v>
      </c>
      <c r="T74" s="180">
        <f>'[1]Working capital'!F74</f>
        <v>2.6165379645365121E-2</v>
      </c>
      <c r="U74" s="180">
        <f>'[1]Summary sheet uValue'!G83</f>
        <v>2.8461865484092286E-2</v>
      </c>
      <c r="V74" s="180">
        <f>'[1]Cap Ex'!H74</f>
        <v>1.2638682392051338E-2</v>
      </c>
      <c r="W74" s="180">
        <f>[1]fundgrEB!D74</f>
        <v>0.98470208721765384</v>
      </c>
      <c r="X74" s="180">
        <f>[1]Fundgr!C74</f>
        <v>0.18290105640630752</v>
      </c>
      <c r="Y74" s="180">
        <f>'[1]Dividend fundamentals'!E74</f>
        <v>0.40597654479383538</v>
      </c>
      <c r="Z74" s="180">
        <f>1-[1]Fundgr!D74</f>
        <v>0.40597654479383538</v>
      </c>
      <c r="AA74" s="182">
        <f>[1]Margins!J75</f>
        <v>4.1215232930581755E-2</v>
      </c>
    </row>
    <row r="75" spans="1:27">
      <c r="A75" s="178" t="str">
        <f>'[1]Master data'!A75</f>
        <v>Retail (Grocery and Food)</v>
      </c>
      <c r="B75" s="179">
        <f>'[1]Master data'!B75</f>
        <v>13</v>
      </c>
      <c r="C75" s="180">
        <f>'[1]Hist Growth'!D75</f>
        <v>4.9611111111111106E-2</v>
      </c>
      <c r="D75" s="180">
        <f>[1]Margins!F76</f>
        <v>3.3229364367785945E-2</v>
      </c>
      <c r="E75" s="180">
        <f>'[1]Return on capital'!H75</f>
        <v>0.12766332763145424</v>
      </c>
      <c r="F75" s="180">
        <f>'[1]Tax rates'!H76</f>
        <v>0.22297163025907965</v>
      </c>
      <c r="G75" s="181">
        <f>[1]Beta!H78</f>
        <v>0.47317490770283238</v>
      </c>
      <c r="H75" s="181">
        <f>[1]Beta!C78</f>
        <v>0.66756973306313983</v>
      </c>
      <c r="I75" s="180">
        <f>[1]WACC!D86</f>
        <v>7.8453642143950508E-2</v>
      </c>
      <c r="J75" s="180">
        <f>[1]optvar!C80</f>
        <v>0.28264661461127033</v>
      </c>
      <c r="K75" s="180">
        <f>[1]WACC!G86</f>
        <v>5.5E-2</v>
      </c>
      <c r="L75" s="180">
        <f>'[1]Debt fundamentals'!F75</f>
        <v>0.39692761226145523</v>
      </c>
      <c r="M75" s="180">
        <f>[1]WACC!K86</f>
        <v>6.3686489300322585E-2</v>
      </c>
      <c r="N75" s="181">
        <f>'[1]Cap Ex'!J75</f>
        <v>5.2344758552729687</v>
      </c>
      <c r="O75" s="181">
        <f>[1]PS!E75</f>
        <v>0.37471973967659333</v>
      </c>
      <c r="P75" s="181">
        <f>[1]EVEBITDA!D76</f>
        <v>5.89476304542662</v>
      </c>
      <c r="Q75" s="181">
        <f>[1]EVEBITDA!E76</f>
        <v>12.820375172626665</v>
      </c>
      <c r="R75" s="181">
        <f>[1]PBV!C75</f>
        <v>2.7461328553855116</v>
      </c>
      <c r="S75" s="181">
        <f>[1]PE!E75</f>
        <v>16.752102075844263</v>
      </c>
      <c r="T75" s="180">
        <f>'[1]Working capital'!F75</f>
        <v>-5.8215488757404205E-3</v>
      </c>
      <c r="U75" s="180">
        <f>'[1]Summary sheet uValue'!G84</f>
        <v>2.1644450260973638E-2</v>
      </c>
      <c r="V75" s="180">
        <f>'[1]Cap Ex'!H75</f>
        <v>2.3337952710874967E-3</v>
      </c>
      <c r="W75" s="180">
        <f>[1]fundgrEB!D75</f>
        <v>0.42410606599951739</v>
      </c>
      <c r="X75" s="180">
        <f>[1]Fundgr!C75</f>
        <v>0.27975167006797569</v>
      </c>
      <c r="Y75" s="180">
        <f>'[1]Dividend fundamentals'!E75</f>
        <v>0.19815214989312624</v>
      </c>
      <c r="Z75" s="180">
        <f>1-[1]Fundgr!D75</f>
        <v>0.19815214989312624</v>
      </c>
      <c r="AA75" s="182">
        <f>[1]Margins!J76</f>
        <v>2.9192633781895124E-2</v>
      </c>
    </row>
    <row r="76" spans="1:27">
      <c r="A76" s="178" t="str">
        <f>'[1]Master data'!A76</f>
        <v>Retail (Online)</v>
      </c>
      <c r="B76" s="179">
        <f>'[1]Master data'!B76</f>
        <v>63</v>
      </c>
      <c r="C76" s="180">
        <f>'[1]Hist Growth'!D76</f>
        <v>0.20712521739130429</v>
      </c>
      <c r="D76" s="180">
        <f>[1]Margins!F77</f>
        <v>2.3028824906177303E-2</v>
      </c>
      <c r="E76" s="180">
        <f>'[1]Return on capital'!H76</f>
        <v>5.0939512756182574E-2</v>
      </c>
      <c r="F76" s="180">
        <f>'[1]Tax rates'!H77</f>
        <v>4.4035702529034602E-3</v>
      </c>
      <c r="G76" s="181">
        <f>[1]Beta!H79</f>
        <v>1.3559898443505161</v>
      </c>
      <c r="H76" s="181">
        <f>[1]Beta!C79</f>
        <v>1.4871300694613425</v>
      </c>
      <c r="I76" s="180">
        <f>[1]WACC!D87</f>
        <v>0.12713552612600376</v>
      </c>
      <c r="J76" s="180">
        <f>[1]optvar!C81</f>
        <v>0.59410388760758681</v>
      </c>
      <c r="K76" s="180">
        <f>[1]WACC!G87</f>
        <v>5.8800000000000005E-2</v>
      </c>
      <c r="L76" s="180">
        <f>'[1]Debt fundamentals'!F76</f>
        <v>0.16089394698680773</v>
      </c>
      <c r="M76" s="180">
        <f>[1]WACC!K87</f>
        <v>0.11377561258746482</v>
      </c>
      <c r="N76" s="181">
        <f>'[1]Cap Ex'!J76</f>
        <v>1.3427580150233107</v>
      </c>
      <c r="O76" s="181">
        <f>[1]PS!E76</f>
        <v>1.8662255983788749</v>
      </c>
      <c r="P76" s="181">
        <f>[1]EVEBITDA!D77</f>
        <v>16.070943107400783</v>
      </c>
      <c r="Q76" s="181">
        <f>[1]EVEBITDA!E77</f>
        <v>98.640738304840809</v>
      </c>
      <c r="R76" s="181">
        <f>[1]PBV!C76</f>
        <v>6.1619844288535095</v>
      </c>
      <c r="S76" s="181">
        <f>[1]PE!E76</f>
        <v>205.21167470141248</v>
      </c>
      <c r="T76" s="180">
        <f>'[1]Working capital'!F76</f>
        <v>-4.2848254664685798E-3</v>
      </c>
      <c r="U76" s="180">
        <f>'[1]Summary sheet uValue'!G85</f>
        <v>0.11698649326936973</v>
      </c>
      <c r="V76" s="180">
        <f>'[1]Cap Ex'!H76</f>
        <v>8.251654433099144E-2</v>
      </c>
      <c r="W76" s="180">
        <f>[1]fundgrEB!D76</f>
        <v>7.0941697703296684</v>
      </c>
      <c r="X76" s="180">
        <f>[1]Fundgr!C76</f>
        <v>2.5424242440325519E-2</v>
      </c>
      <c r="Y76" s="180">
        <f>'[1]Dividend fundamentals'!E76</f>
        <v>0.13918756106739016</v>
      </c>
      <c r="Z76" s="180">
        <f>1-[1]Fundgr!D76</f>
        <v>0.13918756106739016</v>
      </c>
      <c r="AA76" s="182">
        <f>[1]Margins!J77</f>
        <v>3.8689183338772491E-2</v>
      </c>
    </row>
    <row r="77" spans="1:27">
      <c r="A77" s="178" t="str">
        <f>'[1]Master data'!A77</f>
        <v>Retail (Special Lines)</v>
      </c>
      <c r="B77" s="179">
        <f>'[1]Master data'!B77</f>
        <v>78</v>
      </c>
      <c r="C77" s="180">
        <f>'[1]Hist Growth'!D77</f>
        <v>0.13322980769230772</v>
      </c>
      <c r="D77" s="180">
        <f>[1]Margins!F78</f>
        <v>5.4269454417329027E-2</v>
      </c>
      <c r="E77" s="180">
        <f>'[1]Return on capital'!H77</f>
        <v>0.15715843531246571</v>
      </c>
      <c r="F77" s="180">
        <f>'[1]Tax rates'!H78</f>
        <v>0.20574028224664132</v>
      </c>
      <c r="G77" s="181">
        <f>[1]Beta!H80</f>
        <v>1.187876333197214</v>
      </c>
      <c r="H77" s="181">
        <f>[1]Beta!C80</f>
        <v>1.4752073825450458</v>
      </c>
      <c r="I77" s="180">
        <f>[1]WACC!D88</f>
        <v>0.12642731852317574</v>
      </c>
      <c r="J77" s="180">
        <f>[1]optvar!C82</f>
        <v>0.38585905225789641</v>
      </c>
      <c r="K77" s="180">
        <f>[1]WACC!G88</f>
        <v>5.5E-2</v>
      </c>
      <c r="L77" s="180">
        <f>'[1]Debt fundamentals'!F77</f>
        <v>0.28139429989154335</v>
      </c>
      <c r="M77" s="180">
        <f>[1]WACC!K88</f>
        <v>0.10245890661070772</v>
      </c>
      <c r="N77" s="181">
        <f>'[1]Cap Ex'!J77</f>
        <v>3.2211003615831286</v>
      </c>
      <c r="O77" s="181">
        <f>[1]PS!E77</f>
        <v>0.96745501914780907</v>
      </c>
      <c r="P77" s="181">
        <f>[1]EVEBITDA!D78</f>
        <v>8.3999023750456416</v>
      </c>
      <c r="Q77" s="181">
        <f>[1]EVEBITDA!E78</f>
        <v>16.588661331446687</v>
      </c>
      <c r="R77" s="181">
        <f>[1]PBV!C77</f>
        <v>4.4182366416657732</v>
      </c>
      <c r="S77" s="181">
        <f>[1]PE!E77</f>
        <v>19.968362936967932</v>
      </c>
      <c r="T77" s="180">
        <f>'[1]Working capital'!F77</f>
        <v>7.8075689362575099E-2</v>
      </c>
      <c r="U77" s="180">
        <f>'[1]Summary sheet uValue'!G86</f>
        <v>2.5391764038313232E-2</v>
      </c>
      <c r="V77" s="180">
        <f>'[1]Cap Ex'!H77</f>
        <v>1.6007996870033885E-2</v>
      </c>
      <c r="W77" s="180">
        <f>[1]fundgrEB!D77</f>
        <v>0.88986707734601544</v>
      </c>
      <c r="X77" s="180">
        <f>[1]Fundgr!C77</f>
        <v>0.24164994928738759</v>
      </c>
      <c r="Y77" s="180">
        <f>'[1]Dividend fundamentals'!E77</f>
        <v>0.32402204137758905</v>
      </c>
      <c r="Z77" s="180">
        <f>1-[1]Fundgr!D77</f>
        <v>0.32402204137758905</v>
      </c>
      <c r="AA77" s="182">
        <f>[1]Margins!J78</f>
        <v>5.7406007478131293E-2</v>
      </c>
    </row>
    <row r="78" spans="1:27">
      <c r="A78" s="178" t="str">
        <f>'[1]Master data'!A78</f>
        <v>Rubber&amp; Tires</v>
      </c>
      <c r="B78" s="179">
        <f>'[1]Master data'!B78</f>
        <v>3</v>
      </c>
      <c r="C78" s="180">
        <f>'[1]Hist Growth'!D78</f>
        <v>0.12423333333333333</v>
      </c>
      <c r="D78" s="180">
        <f>[1]Margins!F79</f>
        <v>5.5477892133474836E-2</v>
      </c>
      <c r="E78" s="180">
        <f>'[1]Return on capital'!H78</f>
        <v>9.6174544302176548E-2</v>
      </c>
      <c r="F78" s="180">
        <f>'[1]Tax rates'!H79</f>
        <v>0</v>
      </c>
      <c r="G78" s="181">
        <f>[1]Beta!H81</f>
        <v>0.26766554739644599</v>
      </c>
      <c r="H78" s="181">
        <f>[1]Beta!C81</f>
        <v>0.83801497962970528</v>
      </c>
      <c r="I78" s="180">
        <f>[1]WACC!D89</f>
        <v>8.8578089790004505E-2</v>
      </c>
      <c r="J78" s="180">
        <f>[1]optvar!C83</f>
        <v>0.39785998397496214</v>
      </c>
      <c r="K78" s="180">
        <f>[1]WACC!G89</f>
        <v>5.5E-2</v>
      </c>
      <c r="L78" s="180">
        <f>'[1]Debt fundamentals'!F78</f>
        <v>0.76762233709685423</v>
      </c>
      <c r="M78" s="180">
        <f>[1]WACC!K89</f>
        <v>5.2247990895071483E-2</v>
      </c>
      <c r="N78" s="181">
        <f>'[1]Cap Ex'!J78</f>
        <v>1.5914803168514429</v>
      </c>
      <c r="O78" s="181">
        <f>[1]PS!E78</f>
        <v>0.54994654147614319</v>
      </c>
      <c r="P78" s="181">
        <f>[1]EVEBITDA!D79</f>
        <v>4.8112747740259056</v>
      </c>
      <c r="Q78" s="181">
        <f>[1]EVEBITDA!E79</f>
        <v>9.4223053989184908</v>
      </c>
      <c r="R78" s="181">
        <f>[1]PBV!C78</f>
        <v>0.54937207352345419</v>
      </c>
      <c r="S78" s="181">
        <f>[1]PE!E78</f>
        <v>7.086078039072091</v>
      </c>
      <c r="T78" s="180">
        <f>'[1]Working capital'!F78</f>
        <v>0.13332431037672471</v>
      </c>
      <c r="U78" s="180">
        <f>'[1]Summary sheet uValue'!G87</f>
        <v>5.2902454698591055E-2</v>
      </c>
      <c r="V78" s="180">
        <f>'[1]Cap Ex'!H78</f>
        <v>8.5634803945433807E-3</v>
      </c>
      <c r="W78" s="180">
        <f>[1]fundgrEB!D78</f>
        <v>1.0500968085452227</v>
      </c>
      <c r="X78" s="180">
        <f>[1]Fundgr!C78</f>
        <v>0.1980977052337177</v>
      </c>
      <c r="Y78" s="180">
        <f>'[1]Dividend fundamentals'!E78</f>
        <v>0</v>
      </c>
      <c r="Z78" s="180">
        <f>1-[1]Fundgr!D78</f>
        <v>0</v>
      </c>
      <c r="AA78" s="182">
        <f>[1]Margins!J79</f>
        <v>6.0430872618297028E-2</v>
      </c>
    </row>
    <row r="79" spans="1:27">
      <c r="A79" s="178" t="str">
        <f>'[1]Master data'!A79</f>
        <v>Semiconductor</v>
      </c>
      <c r="B79" s="179">
        <f>'[1]Master data'!B79</f>
        <v>68</v>
      </c>
      <c r="C79" s="180">
        <f>'[1]Hist Growth'!D79</f>
        <v>8.8798913043478242E-2</v>
      </c>
      <c r="D79" s="180">
        <f>[1]Margins!F80</f>
        <v>0.25438540035080681</v>
      </c>
      <c r="E79" s="180">
        <f>'[1]Return on capital'!H79</f>
        <v>0.1851707902340006</v>
      </c>
      <c r="F79" s="180">
        <f>'[1]Tax rates'!H80</f>
        <v>0.10212775505839949</v>
      </c>
      <c r="G79" s="181">
        <f>[1]Beta!H82</f>
        <v>1.5342672202060941</v>
      </c>
      <c r="H79" s="181">
        <f>[1]Beta!C82</f>
        <v>1.6077462586340689</v>
      </c>
      <c r="I79" s="180">
        <f>[1]WACC!D90</f>
        <v>0.13430012776286371</v>
      </c>
      <c r="J79" s="180">
        <f>[1]optvar!C84</f>
        <v>0.38404265117692143</v>
      </c>
      <c r="K79" s="180">
        <f>[1]WACC!G90</f>
        <v>5.5E-2</v>
      </c>
      <c r="L79" s="180">
        <f>'[1]Debt fundamentals'!F79</f>
        <v>0.10124985178257215</v>
      </c>
      <c r="M79" s="180">
        <f>[1]WACC!K90</f>
        <v>0.12487881611852436</v>
      </c>
      <c r="N79" s="181">
        <f>'[1]Cap Ex'!J79</f>
        <v>0.72201005886116498</v>
      </c>
      <c r="O79" s="181">
        <f>[1]PS!E79</f>
        <v>4.9757982826069913</v>
      </c>
      <c r="P79" s="181">
        <f>[1]EVEBITDA!D80</f>
        <v>12.655041430895425</v>
      </c>
      <c r="Q79" s="181">
        <f>[1]EVEBITDA!E80</f>
        <v>19.336945230156992</v>
      </c>
      <c r="R79" s="181">
        <f>[1]PBV!C79</f>
        <v>3.7932462671985561</v>
      </c>
      <c r="S79" s="181">
        <f>[1]PE!E79</f>
        <v>29.657290214296978</v>
      </c>
      <c r="T79" s="180">
        <f>'[1]Working capital'!F79</f>
        <v>0.2033162539524809</v>
      </c>
      <c r="U79" s="180">
        <f>'[1]Summary sheet uValue'!G88</f>
        <v>0.16832492397226165</v>
      </c>
      <c r="V79" s="180">
        <f>'[1]Cap Ex'!H79</f>
        <v>9.4211405166161985E-2</v>
      </c>
      <c r="W79" s="180">
        <f>[1]fundgrEB!D79</f>
        <v>0.68561846994152498</v>
      </c>
      <c r="X79" s="180">
        <f>[1]Fundgr!C79</f>
        <v>0.22766391058991867</v>
      </c>
      <c r="Y79" s="180">
        <f>'[1]Dividend fundamentals'!E79</f>
        <v>0.32844198803414559</v>
      </c>
      <c r="Z79" s="180">
        <f>1-[1]Fundgr!D79</f>
        <v>0.32844198803414559</v>
      </c>
      <c r="AA79" s="182">
        <f>[1]Margins!J80</f>
        <v>0.27728175935892962</v>
      </c>
    </row>
    <row r="80" spans="1:27">
      <c r="A80" s="178" t="str">
        <f>'[1]Master data'!A80</f>
        <v>Semiconductor Equip</v>
      </c>
      <c r="B80" s="179">
        <f>'[1]Master data'!B80</f>
        <v>30</v>
      </c>
      <c r="C80" s="180">
        <f>'[1]Hist Growth'!D80</f>
        <v>0.15696923076923081</v>
      </c>
      <c r="D80" s="180">
        <f>[1]Margins!F81</f>
        <v>0.27299636853201725</v>
      </c>
      <c r="E80" s="180">
        <f>'[1]Return on capital'!H80</f>
        <v>0.38166166267508272</v>
      </c>
      <c r="F80" s="180">
        <f>'[1]Tax rates'!H81</f>
        <v>0.13503787754453553</v>
      </c>
      <c r="G80" s="181">
        <f>[1]Beta!H83</f>
        <v>1.6892473610771204</v>
      </c>
      <c r="H80" s="181">
        <f>[1]Beta!C83</f>
        <v>1.757142721715889</v>
      </c>
      <c r="I80" s="180">
        <f>[1]WACC!D91</f>
        <v>0.1431742776699238</v>
      </c>
      <c r="J80" s="180">
        <f>[1]optvar!C85</f>
        <v>0.41568723029676519</v>
      </c>
      <c r="K80" s="180">
        <f>[1]WACC!G91</f>
        <v>5.5E-2</v>
      </c>
      <c r="L80" s="180">
        <f>'[1]Debt fundamentals'!F80</f>
        <v>0.10544019640189742</v>
      </c>
      <c r="M80" s="180">
        <f>[1]WACC!K91</f>
        <v>0.13242736181428552</v>
      </c>
      <c r="N80" s="181">
        <f>'[1]Cap Ex'!J80</f>
        <v>1.5108753291051042</v>
      </c>
      <c r="O80" s="181">
        <f>[1]PS!E80</f>
        <v>3.6641302435732546</v>
      </c>
      <c r="P80" s="181">
        <f>[1]EVEBITDA!D81</f>
        <v>11.777235010380455</v>
      </c>
      <c r="Q80" s="181">
        <f>[1]EVEBITDA!E81</f>
        <v>13.342294844275649</v>
      </c>
      <c r="R80" s="181">
        <f>[1]PBV!C80</f>
        <v>6.3977805113469159</v>
      </c>
      <c r="S80" s="181">
        <f>[1]PE!E80</f>
        <v>20.068843491664495</v>
      </c>
      <c r="T80" s="180">
        <f>'[1]Working capital'!F80</f>
        <v>0.3428701992540078</v>
      </c>
      <c r="U80" s="180">
        <f>'[1]Summary sheet uValue'!G89</f>
        <v>4.4924997757117648E-2</v>
      </c>
      <c r="V80" s="180">
        <f>'[1]Cap Ex'!H80</f>
        <v>0.15241894968668626</v>
      </c>
      <c r="W80" s="180">
        <f>[1]fundgrEB!D80</f>
        <v>1.0589803717525832</v>
      </c>
      <c r="X80" s="180">
        <f>[1]Fundgr!C80</f>
        <v>0.46515933713298008</v>
      </c>
      <c r="Y80" s="180">
        <f>'[1]Dividend fundamentals'!E80</f>
        <v>0.14247023533039754</v>
      </c>
      <c r="Z80" s="180">
        <f>1-[1]Fundgr!D80</f>
        <v>0.14247023533039749</v>
      </c>
      <c r="AA80" s="182">
        <f>[1]Margins!J81</f>
        <v>0.28261961491576909</v>
      </c>
    </row>
    <row r="81" spans="1:27">
      <c r="A81" s="178" t="str">
        <f>'[1]Master data'!A81</f>
        <v>Shipbuilding &amp; Marine</v>
      </c>
      <c r="B81" s="179">
        <f>'[1]Master data'!B81</f>
        <v>8</v>
      </c>
      <c r="C81" s="180">
        <f>'[1]Hist Growth'!D81</f>
        <v>0.15536666666666668</v>
      </c>
      <c r="D81" s="180">
        <f>[1]Margins!F82</f>
        <v>0.25504298331125996</v>
      </c>
      <c r="E81" s="180">
        <f>'[1]Return on capital'!H81</f>
        <v>0.2879125341055872</v>
      </c>
      <c r="F81" s="180">
        <f>'[1]Tax rates'!H82</f>
        <v>0.15555189720939572</v>
      </c>
      <c r="G81" s="181">
        <f>[1]Beta!H84</f>
        <v>0.78033395563769492</v>
      </c>
      <c r="H81" s="181">
        <f>[1]Beta!C84</f>
        <v>0.94373863184759688</v>
      </c>
      <c r="I81" s="180">
        <f>[1]WACC!D92</f>
        <v>9.4858074731747261E-2</v>
      </c>
      <c r="J81" s="180">
        <f>[1]optvar!C86</f>
        <v>0.4116087861322939</v>
      </c>
      <c r="K81" s="180">
        <f>[1]WACC!G92</f>
        <v>5.5E-2</v>
      </c>
      <c r="L81" s="180">
        <f>'[1]Debt fundamentals'!F81</f>
        <v>0.28067166925935105</v>
      </c>
      <c r="M81" s="180">
        <f>[1]WACC!K92</f>
        <v>7.9811806911007713E-2</v>
      </c>
      <c r="N81" s="181">
        <f>'[1]Cap Ex'!J81</f>
        <v>1.1661301455364754</v>
      </c>
      <c r="O81" s="181">
        <f>[1]PS!E81</f>
        <v>1.072671629219107</v>
      </c>
      <c r="P81" s="181">
        <f>[1]EVEBITDA!D82</f>
        <v>3.2815362092121219</v>
      </c>
      <c r="Q81" s="181">
        <f>[1]EVEBITDA!E82</f>
        <v>4.0638748800590418</v>
      </c>
      <c r="R81" s="181">
        <f>[1]PBV!C81</f>
        <v>1.0608776649134781</v>
      </c>
      <c r="S81" s="181">
        <f>[1]PE!E81</f>
        <v>10.015502901810539</v>
      </c>
      <c r="T81" s="180">
        <f>'[1]Working capital'!F81</f>
        <v>9.3958615753230112E-2</v>
      </c>
      <c r="U81" s="180">
        <f>'[1]Summary sheet uValue'!G90</f>
        <v>5.1803655272075054E-2</v>
      </c>
      <c r="V81" s="180">
        <f>'[1]Cap Ex'!H81</f>
        <v>1.5116725465492238E-3</v>
      </c>
      <c r="W81" s="180">
        <f>[1]fundgrEB!D81</f>
        <v>5.9835331655272899E-3</v>
      </c>
      <c r="X81" s="180">
        <f>[1]Fundgr!C81</f>
        <v>0.352900093688783</v>
      </c>
      <c r="Y81" s="180">
        <f>'[1]Dividend fundamentals'!E81</f>
        <v>0.12371482357484191</v>
      </c>
      <c r="Z81" s="180">
        <f>1-[1]Fundgr!D81</f>
        <v>0.12371482357484187</v>
      </c>
      <c r="AA81" s="182">
        <f>[1]Margins!J82</f>
        <v>0.2633054493508078</v>
      </c>
    </row>
    <row r="82" spans="1:27">
      <c r="A82" s="178" t="str">
        <f>'[1]Master data'!A82</f>
        <v>Shoe</v>
      </c>
      <c r="B82" s="179">
        <f>'[1]Master data'!B82</f>
        <v>13</v>
      </c>
      <c r="C82" s="180">
        <f>'[1]Hist Growth'!D82</f>
        <v>0.11900000000000001</v>
      </c>
      <c r="D82" s="180">
        <f>[1]Margins!F83</f>
        <v>0.12855202477384006</v>
      </c>
      <c r="E82" s="180">
        <f>'[1]Return on capital'!H82</f>
        <v>0.3342396344576759</v>
      </c>
      <c r="F82" s="180">
        <f>'[1]Tax rates'!H83</f>
        <v>0.14205695165101007</v>
      </c>
      <c r="G82" s="181">
        <f>[1]Beta!H85</f>
        <v>1.2886673829152329</v>
      </c>
      <c r="H82" s="181">
        <f>[1]Beta!C85</f>
        <v>1.3276925338648697</v>
      </c>
      <c r="I82" s="180">
        <f>[1]WACC!D93</f>
        <v>0.11766493651157327</v>
      </c>
      <c r="J82" s="180">
        <f>[1]optvar!C87</f>
        <v>0.39374185918980237</v>
      </c>
      <c r="K82" s="180">
        <f>[1]WACC!G93</f>
        <v>5.5E-2</v>
      </c>
      <c r="L82" s="180">
        <f>'[1]Debt fundamentals'!F82</f>
        <v>8.2687179007953762E-2</v>
      </c>
      <c r="M82" s="180">
        <f>[1]WACC!K93</f>
        <v>0.11134640097735939</v>
      </c>
      <c r="N82" s="181">
        <f>'[1]Cap Ex'!J82</f>
        <v>2.9142709053503486</v>
      </c>
      <c r="O82" s="181">
        <f>[1]PS!E82</f>
        <v>3.2197253108411452</v>
      </c>
      <c r="P82" s="181">
        <f>[1]EVEBITDA!D83</f>
        <v>20.228666883751565</v>
      </c>
      <c r="Q82" s="181">
        <f>[1]EVEBITDA!E83</f>
        <v>25.052228696194703</v>
      </c>
      <c r="R82" s="181">
        <f>[1]PBV!C82</f>
        <v>9.0441903847060985</v>
      </c>
      <c r="S82" s="181">
        <f>[1]PE!E82</f>
        <v>13.494158283376812</v>
      </c>
      <c r="T82" s="180">
        <f>'[1]Working capital'!F82</f>
        <v>0.24978584094939296</v>
      </c>
      <c r="U82" s="180">
        <f>'[1]Summary sheet uValue'!G91</f>
        <v>8.4552047992059367E-3</v>
      </c>
      <c r="V82" s="180">
        <f>'[1]Cap Ex'!H82</f>
        <v>2.2399777105094363E-2</v>
      </c>
      <c r="W82" s="180">
        <f>[1]fundgrEB!D82</f>
        <v>0.48818130917890407</v>
      </c>
      <c r="X82" s="180">
        <f>[1]Fundgr!C82</f>
        <v>0.36283302620850871</v>
      </c>
      <c r="Y82" s="180">
        <f>'[1]Dividend fundamentals'!E82</f>
        <v>0.26914232272981153</v>
      </c>
      <c r="Z82" s="180">
        <f>1-[1]Fundgr!D82</f>
        <v>0.26914232272981153</v>
      </c>
      <c r="AA82" s="182">
        <f>[1]Margins!J83</f>
        <v>0.12841863962857086</v>
      </c>
    </row>
    <row r="83" spans="1:27">
      <c r="A83" s="178" t="str">
        <f>'[1]Master data'!A83</f>
        <v>Software (Entertainment)</v>
      </c>
      <c r="B83" s="179">
        <f>'[1]Master data'!B83</f>
        <v>91</v>
      </c>
      <c r="C83" s="180">
        <f>'[1]Hist Growth'!D83</f>
        <v>0.30379758620689651</v>
      </c>
      <c r="D83" s="180">
        <f>[1]Margins!F84</f>
        <v>0.25914280028922959</v>
      </c>
      <c r="E83" s="180">
        <f>'[1]Return on capital'!H83</f>
        <v>0.21872362118463728</v>
      </c>
      <c r="F83" s="180">
        <f>'[1]Tax rates'!H84</f>
        <v>0.15916868395647554</v>
      </c>
      <c r="G83" s="181">
        <f>[1]Beta!H86</f>
        <v>1.3578802103729628</v>
      </c>
      <c r="H83" s="181">
        <f>[1]Beta!C86</f>
        <v>1.363575730964357</v>
      </c>
      <c r="I83" s="180">
        <f>[1]WACC!D94</f>
        <v>0.11979639841928282</v>
      </c>
      <c r="J83" s="180">
        <f>[1]optvar!C88</f>
        <v>0.58709543871584413</v>
      </c>
      <c r="K83" s="180">
        <f>[1]WACC!G94</f>
        <v>5.8800000000000005E-2</v>
      </c>
      <c r="L83" s="180">
        <f>'[1]Debt fundamentals'!F83</f>
        <v>4.5824628286418652E-2</v>
      </c>
      <c r="M83" s="180">
        <f>[1]WACC!K94</f>
        <v>0.11632763909909853</v>
      </c>
      <c r="N83" s="181">
        <f>'[1]Cap Ex'!J83</f>
        <v>0.78139743738989276</v>
      </c>
      <c r="O83" s="181">
        <f>[1]PS!E83</f>
        <v>3.5922880547988676</v>
      </c>
      <c r="P83" s="181">
        <f>[1]EVEBITDA!D84</f>
        <v>10.654085080406665</v>
      </c>
      <c r="Q83" s="181">
        <f>[1]EVEBITDA!E84</f>
        <v>13.78633819467794</v>
      </c>
      <c r="R83" s="181">
        <f>[1]PBV!C83</f>
        <v>3.7956325817017307</v>
      </c>
      <c r="S83" s="181">
        <f>[1]PE!E83</f>
        <v>105.43298269537888</v>
      </c>
      <c r="T83" s="180">
        <f>'[1]Working capital'!F83</f>
        <v>6.6824362083113348E-2</v>
      </c>
      <c r="U83" s="180">
        <f>'[1]Summary sheet uValue'!G92</f>
        <v>0.13448757972934877</v>
      </c>
      <c r="V83" s="180">
        <f>'[1]Cap Ex'!H83</f>
        <v>0.14039023756413552</v>
      </c>
      <c r="W83" s="180">
        <f>[1]fundgrEB!D83</f>
        <v>0.67179783899472612</v>
      </c>
      <c r="X83" s="180">
        <f>[1]Fundgr!C83</f>
        <v>0.22766341753018665</v>
      </c>
      <c r="Y83" s="180">
        <f>'[1]Dividend fundamentals'!E83</f>
        <v>6.5514772970139145E-4</v>
      </c>
      <c r="Z83" s="180">
        <f>1-[1]Fundgr!D83</f>
        <v>6.5514772970143298E-4</v>
      </c>
      <c r="AA83" s="182">
        <f>[1]Margins!J84</f>
        <v>0.28970111829722173</v>
      </c>
    </row>
    <row r="84" spans="1:27">
      <c r="A84" s="178" t="str">
        <f>'[1]Master data'!A84</f>
        <v>Software (Internet)</v>
      </c>
      <c r="B84" s="179">
        <f>'[1]Master data'!B84</f>
        <v>33</v>
      </c>
      <c r="C84" s="180">
        <f>'[1]Hist Growth'!D84</f>
        <v>0.25942999999999999</v>
      </c>
      <c r="D84" s="180">
        <f>[1]Margins!F85</f>
        <v>-5.8531732843739352E-2</v>
      </c>
      <c r="E84" s="180">
        <f>'[1]Return on capital'!H84</f>
        <v>-1.0250823148619595E-2</v>
      </c>
      <c r="F84" s="180">
        <f>'[1]Tax rates'!H85</f>
        <v>0.19106183121096207</v>
      </c>
      <c r="G84" s="181">
        <f>[1]Beta!H87</f>
        <v>1.416511407810549</v>
      </c>
      <c r="H84" s="181">
        <f>[1]Beta!C87</f>
        <v>1.5513058877107246</v>
      </c>
      <c r="I84" s="180">
        <f>[1]WACC!D95</f>
        <v>0.13094756973001703</v>
      </c>
      <c r="J84" s="180">
        <f>[1]optvar!C89</f>
        <v>0.55243837546789154</v>
      </c>
      <c r="K84" s="180">
        <f>[1]WACC!G95</f>
        <v>5.8800000000000005E-2</v>
      </c>
      <c r="L84" s="180">
        <f>'[1]Debt fundamentals'!F84</f>
        <v>0.15006072569661108</v>
      </c>
      <c r="M84" s="180">
        <f>[1]WACC!K95</f>
        <v>0.11791516039134364</v>
      </c>
      <c r="N84" s="181">
        <f>'[1]Cap Ex'!J84</f>
        <v>0.66506973987158913</v>
      </c>
      <c r="O84" s="181">
        <f>[1]PS!E84</f>
        <v>6.3326128080935904</v>
      </c>
      <c r="P84" s="181">
        <f>[1]EVEBITDA!D85</f>
        <v>14.835872625839691</v>
      </c>
      <c r="Q84" s="181" t="str">
        <f>[1]EVEBITDA!E85</f>
        <v>NA</v>
      </c>
      <c r="R84" s="181">
        <f>[1]PBV!C84</f>
        <v>5.2093469544507194</v>
      </c>
      <c r="S84" s="181">
        <f>[1]PE!E84</f>
        <v>28.698253036649461</v>
      </c>
      <c r="T84" s="180">
        <f>'[1]Working capital'!F84</f>
        <v>0.11330412713427597</v>
      </c>
      <c r="U84" s="180">
        <f>'[1]Summary sheet uValue'!G93</f>
        <v>6.4780861262625E-2</v>
      </c>
      <c r="V84" s="180">
        <f>'[1]Cap Ex'!H84</f>
        <v>0.11033018097918079</v>
      </c>
      <c r="W84" s="180" t="str">
        <f>[1]fundgrEB!D84</f>
        <v>NA</v>
      </c>
      <c r="X84" s="180">
        <f>[1]Fundgr!C84</f>
        <v>-0.15730842666696312</v>
      </c>
      <c r="Y84" s="180">
        <f>'[1]Dividend fundamentals'!E84</f>
        <v>0</v>
      </c>
      <c r="Z84" s="180">
        <f>1-[1]Fundgr!D84</f>
        <v>0</v>
      </c>
      <c r="AA84" s="182">
        <f>[1]Margins!J85</f>
        <v>-1.670941277525544E-2</v>
      </c>
    </row>
    <row r="85" spans="1:27">
      <c r="A85" s="178" t="str">
        <f>'[1]Master data'!A85</f>
        <v>Software (System &amp; Application)</v>
      </c>
      <c r="B85" s="179">
        <f>'[1]Master data'!B85</f>
        <v>390</v>
      </c>
      <c r="C85" s="180">
        <f>'[1]Hist Growth'!D85</f>
        <v>0.201011923076923</v>
      </c>
      <c r="D85" s="180">
        <f>[1]Margins!F86</f>
        <v>0.21806980176649746</v>
      </c>
      <c r="E85" s="180">
        <f>'[1]Return on capital'!H85</f>
        <v>0.22470721283664671</v>
      </c>
      <c r="F85" s="180">
        <f>'[1]Tax rates'!H86</f>
        <v>0.17780321331389323</v>
      </c>
      <c r="G85" s="181">
        <f>[1]Beta!H88</f>
        <v>1.4129709426977197</v>
      </c>
      <c r="H85" s="181">
        <f>[1]Beta!C88</f>
        <v>1.4697712402478267</v>
      </c>
      <c r="I85" s="180">
        <f>[1]WACC!D96</f>
        <v>0.1261044116707209</v>
      </c>
      <c r="J85" s="180">
        <f>[1]optvar!C90</f>
        <v>0.52111210183577161</v>
      </c>
      <c r="K85" s="180">
        <f>[1]WACC!G96</f>
        <v>5.8800000000000005E-2</v>
      </c>
      <c r="L85" s="180">
        <f>'[1]Debt fundamentals'!F85</f>
        <v>8.562961432885291E-2</v>
      </c>
      <c r="M85" s="180">
        <f>[1]WACC!K96</f>
        <v>0.11908240552609259</v>
      </c>
      <c r="N85" s="181">
        <f>'[1]Cap Ex'!J85</f>
        <v>0.95920716659429495</v>
      </c>
      <c r="O85" s="181">
        <f>[1]PS!E85</f>
        <v>7.587550224240557</v>
      </c>
      <c r="P85" s="181">
        <f>[1]EVEBITDA!D86</f>
        <v>21.327869033251581</v>
      </c>
      <c r="Q85" s="181">
        <f>[1]EVEBITDA!E86</f>
        <v>31.832828872759528</v>
      </c>
      <c r="R85" s="181">
        <f>[1]PBV!C85</f>
        <v>8.3878140324533863</v>
      </c>
      <c r="S85" s="181">
        <f>[1]PE!E85</f>
        <v>103.73573705984646</v>
      </c>
      <c r="T85" s="180">
        <f>'[1]Working capital'!F85</f>
        <v>0.13026992114930669</v>
      </c>
      <c r="U85" s="180">
        <f>'[1]Summary sheet uValue'!G94</f>
        <v>8.1722212196603083E-2</v>
      </c>
      <c r="V85" s="180">
        <f>'[1]Cap Ex'!H85</f>
        <v>0.21305367709810255</v>
      </c>
      <c r="W85" s="180">
        <f>[1]fundgrEB!D85</f>
        <v>1.3763945807748532</v>
      </c>
      <c r="X85" s="180">
        <f>[1]Fundgr!C85</f>
        <v>0.19683264162210642</v>
      </c>
      <c r="Y85" s="180">
        <f>'[1]Dividend fundamentals'!E85</f>
        <v>0.34011176822892464</v>
      </c>
      <c r="Z85" s="180">
        <f>1-[1]Fundgr!D85</f>
        <v>0.34011176822892464</v>
      </c>
      <c r="AA85" s="182">
        <f>[1]Margins!J86</f>
        <v>0.24169896674237901</v>
      </c>
    </row>
    <row r="86" spans="1:27">
      <c r="A86" s="178" t="str">
        <f>'[1]Master data'!A86</f>
        <v>Steel</v>
      </c>
      <c r="B86" s="179">
        <f>'[1]Master data'!B86</f>
        <v>28</v>
      </c>
      <c r="C86" s="180">
        <f>'[1]Hist Growth'!D86</f>
        <v>0.1520936</v>
      </c>
      <c r="D86" s="180">
        <f>[1]Margins!F87</f>
        <v>0.19837279405275304</v>
      </c>
      <c r="E86" s="180">
        <f>'[1]Return on capital'!H86</f>
        <v>0.48631538851966338</v>
      </c>
      <c r="F86" s="180">
        <f>'[1]Tax rates'!H87</f>
        <v>0.20626448312357859</v>
      </c>
      <c r="G86" s="181">
        <f>[1]Beta!H89</f>
        <v>1.2125474928571525</v>
      </c>
      <c r="H86" s="181">
        <f>[1]Beta!C89</f>
        <v>1.3424843767995962</v>
      </c>
      <c r="I86" s="180">
        <f>[1]WACC!D97</f>
        <v>0.11854357198189602</v>
      </c>
      <c r="J86" s="180">
        <f>[1]optvar!C91</f>
        <v>0.38298957011173351</v>
      </c>
      <c r="K86" s="180">
        <f>[1]WACC!G97</f>
        <v>5.5E-2</v>
      </c>
      <c r="L86" s="180">
        <f>'[1]Debt fundamentals'!F86</f>
        <v>0.22236540864885215</v>
      </c>
      <c r="M86" s="180">
        <f>[1]WACC!K97</f>
        <v>0.10135615526221226</v>
      </c>
      <c r="N86" s="181">
        <f>'[1]Cap Ex'!J86</f>
        <v>2.8748481776829053</v>
      </c>
      <c r="O86" s="181">
        <f>[1]PS!E86</f>
        <v>0.67632769160090278</v>
      </c>
      <c r="P86" s="181">
        <f>[1]EVEBITDA!D87</f>
        <v>2.9604690976503054</v>
      </c>
      <c r="Q86" s="181">
        <f>[1]EVEBITDA!E87</f>
        <v>3.3903648016728862</v>
      </c>
      <c r="R86" s="181">
        <f>[1]PBV!C86</f>
        <v>1.5077570630625767</v>
      </c>
      <c r="S86" s="181">
        <f>[1]PE!E86</f>
        <v>12.795287192941224</v>
      </c>
      <c r="T86" s="180">
        <f>'[1]Working capital'!F86</f>
        <v>0.19440238903246351</v>
      </c>
      <c r="U86" s="180">
        <f>'[1]Summary sheet uValue'!G95</f>
        <v>4.0528385149315387E-2</v>
      </c>
      <c r="V86" s="180">
        <f>'[1]Cap Ex'!H86</f>
        <v>5.1297962917674897E-2</v>
      </c>
      <c r="W86" s="180">
        <f>[1]fundgrEB!D86</f>
        <v>0.48702789906679572</v>
      </c>
      <c r="X86" s="180">
        <f>[1]Fundgr!C86</f>
        <v>0.53748067941265398</v>
      </c>
      <c r="Y86" s="180">
        <f>'[1]Dividend fundamentals'!E86</f>
        <v>5.2465192388391764E-2</v>
      </c>
      <c r="Z86" s="180">
        <f>1-[1]Fundgr!D86</f>
        <v>5.2465192388391757E-2</v>
      </c>
      <c r="AA86" s="182">
        <f>[1]Margins!J87</f>
        <v>0.19890523188577286</v>
      </c>
    </row>
    <row r="87" spans="1:27">
      <c r="A87" s="178" t="str">
        <f>'[1]Master data'!A87</f>
        <v>Telecom (Wireless)</v>
      </c>
      <c r="B87" s="179">
        <f>'[1]Master data'!B87</f>
        <v>16</v>
      </c>
      <c r="C87" s="180">
        <f>'[1]Hist Growth'!D87</f>
        <v>0.1849777777777778</v>
      </c>
      <c r="D87" s="180">
        <f>[1]Margins!F88</f>
        <v>0.14045963573882486</v>
      </c>
      <c r="E87" s="180">
        <f>'[1]Return on capital'!H87</f>
        <v>6.1518831942779746E-2</v>
      </c>
      <c r="F87" s="180">
        <f>'[1]Tax rates'!H88</f>
        <v>4.7446371619555242E-2</v>
      </c>
      <c r="G87" s="181">
        <f>[1]Beta!H90</f>
        <v>0.71135842360803681</v>
      </c>
      <c r="H87" s="181">
        <f>[1]Beta!C90</f>
        <v>1.0309737102652559</v>
      </c>
      <c r="I87" s="180">
        <f>[1]WACC!D98</f>
        <v>0.10003983838975619</v>
      </c>
      <c r="J87" s="180">
        <f>[1]optvar!C92</f>
        <v>0.51921047688999544</v>
      </c>
      <c r="K87" s="180">
        <f>[1]WACC!G98</f>
        <v>5.8800000000000005E-2</v>
      </c>
      <c r="L87" s="180">
        <f>'[1]Debt fundamentals'!F87</f>
        <v>0.39450630773069012</v>
      </c>
      <c r="M87" s="180">
        <f>[1]WACC!K98</f>
        <v>7.7971219291561963E-2</v>
      </c>
      <c r="N87" s="181">
        <f>'[1]Cap Ex'!J87</f>
        <v>0.52145758522578434</v>
      </c>
      <c r="O87" s="181">
        <f>[1]PS!E87</f>
        <v>3.1769575920264543</v>
      </c>
      <c r="P87" s="181">
        <f>[1]EVEBITDA!D88</f>
        <v>8.7408928619052606</v>
      </c>
      <c r="Q87" s="181">
        <f>[1]EVEBITDA!E88</f>
        <v>25.662492041051511</v>
      </c>
      <c r="R87" s="181">
        <f>[1]PBV!C87</f>
        <v>2.1879318941731314</v>
      </c>
      <c r="S87" s="181">
        <f>[1]PE!E87</f>
        <v>30.246217685474839</v>
      </c>
      <c r="T87" s="180">
        <f>'[1]Working capital'!F87</f>
        <v>6.1437877786718699E-2</v>
      </c>
      <c r="U87" s="180">
        <f>'[1]Summary sheet uValue'!G96</f>
        <v>0.17161754624729897</v>
      </c>
      <c r="V87" s="180">
        <f>'[1]Cap Ex'!H87</f>
        <v>1.0400480070954753E-2</v>
      </c>
      <c r="W87" s="180">
        <f>[1]fundgrEB!D87</f>
        <v>0.62186778246157948</v>
      </c>
      <c r="X87" s="180">
        <f>[1]Fundgr!C87</f>
        <v>2.9708054224260538E-2</v>
      </c>
      <c r="Y87" s="180">
        <f>'[1]Dividend fundamentals'!E87</f>
        <v>6.2773294962541096E-2</v>
      </c>
      <c r="Z87" s="180">
        <f>1-[1]Fundgr!D87</f>
        <v>6.2773294962541137E-2</v>
      </c>
      <c r="AA87" s="182">
        <f>[1]Margins!J88</f>
        <v>0.1227109614976522</v>
      </c>
    </row>
    <row r="88" spans="1:27">
      <c r="A88" s="178" t="str">
        <f>'[1]Master data'!A88</f>
        <v>Telecom. Equipment</v>
      </c>
      <c r="B88" s="179">
        <f>'[1]Master data'!B88</f>
        <v>79</v>
      </c>
      <c r="C88" s="180">
        <f>'[1]Hist Growth'!D88</f>
        <v>3.5115849056603768E-2</v>
      </c>
      <c r="D88" s="180">
        <f>[1]Margins!F89</f>
        <v>0.18340619780161901</v>
      </c>
      <c r="E88" s="180">
        <f>'[1]Return on capital'!H88</f>
        <v>0.25986621816079664</v>
      </c>
      <c r="F88" s="180">
        <f>'[1]Tax rates'!H89</f>
        <v>0.18446632886124401</v>
      </c>
      <c r="G88" s="181">
        <f>[1]Beta!H91</f>
        <v>1.1784895771242725</v>
      </c>
      <c r="H88" s="181">
        <f>[1]Beta!C91</f>
        <v>1.2331194872073334</v>
      </c>
      <c r="I88" s="180">
        <f>[1]WACC!D99</f>
        <v>0.11204729754011561</v>
      </c>
      <c r="J88" s="180">
        <f>[1]optvar!C93</f>
        <v>0.41348753948301459</v>
      </c>
      <c r="K88" s="180">
        <f>[1]WACC!G99</f>
        <v>5.5E-2</v>
      </c>
      <c r="L88" s="180">
        <f>'[1]Debt fundamentals'!F88</f>
        <v>0.10457107348559717</v>
      </c>
      <c r="M88" s="180">
        <f>[1]WACC!K99</f>
        <v>0.10464394813646649</v>
      </c>
      <c r="N88" s="181">
        <f>'[1]Cap Ex'!J88</f>
        <v>1.4179419448565018</v>
      </c>
      <c r="O88" s="181">
        <f>[1]PS!E88</f>
        <v>3.5614434610706187</v>
      </c>
      <c r="P88" s="181">
        <f>[1]EVEBITDA!D89</f>
        <v>14.699355157441362</v>
      </c>
      <c r="Q88" s="181">
        <f>[1]EVEBITDA!E89</f>
        <v>19.000536879308321</v>
      </c>
      <c r="R88" s="181">
        <f>[1]PBV!C88</f>
        <v>5.2013339028049375</v>
      </c>
      <c r="S88" s="181">
        <f>[1]PE!E88</f>
        <v>36.727247846578237</v>
      </c>
      <c r="T88" s="180">
        <f>'[1]Working capital'!F88</f>
        <v>0.23107855060632893</v>
      </c>
      <c r="U88" s="180">
        <f>'[1]Summary sheet uValue'!G97</f>
        <v>2.4601984851124619E-2</v>
      </c>
      <c r="V88" s="180">
        <f>'[1]Cap Ex'!H88</f>
        <v>3.5153674659288023E-2</v>
      </c>
      <c r="W88" s="180">
        <f>[1]fundgrEB!D88</f>
        <v>0.49937335390514059</v>
      </c>
      <c r="X88" s="180">
        <f>[1]Fundgr!C88</f>
        <v>0.20129140471295251</v>
      </c>
      <c r="Y88" s="180">
        <f>'[1]Dividend fundamentals'!E88</f>
        <v>0.51065304447136584</v>
      </c>
      <c r="Z88" s="180">
        <f>1-[1]Fundgr!D88</f>
        <v>0.51065304447136584</v>
      </c>
      <c r="AA88" s="182">
        <f>[1]Margins!J89</f>
        <v>0.19082942960445631</v>
      </c>
    </row>
    <row r="89" spans="1:27">
      <c r="A89" s="178" t="str">
        <f>'[1]Master data'!A89</f>
        <v>Telecom. Services</v>
      </c>
      <c r="B89" s="179">
        <f>'[1]Master data'!B89</f>
        <v>49</v>
      </c>
      <c r="C89" s="180">
        <f>'[1]Hist Growth'!D89</f>
        <v>0.1681304347826087</v>
      </c>
      <c r="D89" s="180">
        <f>[1]Margins!F90</f>
        <v>0.19983455140225229</v>
      </c>
      <c r="E89" s="180">
        <f>'[1]Return on capital'!H89</f>
        <v>0.12376739217567063</v>
      </c>
      <c r="F89" s="180">
        <f>'[1]Tax rates'!H90</f>
        <v>0.22104818421663627</v>
      </c>
      <c r="G89" s="181">
        <f>[1]Beta!H92</f>
        <v>0.47390612503545576</v>
      </c>
      <c r="H89" s="181">
        <f>[1]Beta!C92</f>
        <v>0.88226816528565966</v>
      </c>
      <c r="I89" s="180">
        <f>[1]WACC!D100</f>
        <v>9.1206729017968183E-2</v>
      </c>
      <c r="J89" s="180">
        <f>[1]optvar!C94</f>
        <v>0.55371695621592376</v>
      </c>
      <c r="K89" s="180">
        <f>[1]WACC!G100</f>
        <v>5.8800000000000005E-2</v>
      </c>
      <c r="L89" s="180">
        <f>'[1]Debt fundamentals'!F89</f>
        <v>0.5406894051251091</v>
      </c>
      <c r="M89" s="180">
        <f>[1]WACC!K100</f>
        <v>6.5736619727853246E-2</v>
      </c>
      <c r="N89" s="181">
        <f>'[1]Cap Ex'!J89</f>
        <v>0.66172943264450124</v>
      </c>
      <c r="O89" s="181">
        <f>[1]PS!E89</f>
        <v>2.1752246611284507</v>
      </c>
      <c r="P89" s="181">
        <f>[1]EVEBITDA!D90</f>
        <v>5.9843541152342832</v>
      </c>
      <c r="Q89" s="181">
        <f>[1]EVEBITDA!E90</f>
        <v>10.877670675991812</v>
      </c>
      <c r="R89" s="181">
        <f>[1]PBV!C89</f>
        <v>1.2872958829659149</v>
      </c>
      <c r="S89" s="181">
        <f>[1]PE!E89</f>
        <v>145.85411391978104</v>
      </c>
      <c r="T89" s="180">
        <f>'[1]Working capital'!F89</f>
        <v>3.6739098538658686E-3</v>
      </c>
      <c r="U89" s="180">
        <f>'[1]Summary sheet uValue'!G98</f>
        <v>0.15170847980907021</v>
      </c>
      <c r="V89" s="180">
        <f>'[1]Cap Ex'!H89</f>
        <v>5.7617506731433427E-2</v>
      </c>
      <c r="W89" s="180">
        <f>[1]fundgrEB!D89</f>
        <v>0.36159994195800516</v>
      </c>
      <c r="X89" s="180">
        <f>[1]Fundgr!C89</f>
        <v>0.15757991803815463</v>
      </c>
      <c r="Y89" s="180">
        <f>'[1]Dividend fundamentals'!E89</f>
        <v>0.51908621139657796</v>
      </c>
      <c r="Z89" s="180">
        <f>1-[1]Fundgr!D89</f>
        <v>0.51908621139657796</v>
      </c>
      <c r="AA89" s="182">
        <f>[1]Margins!J90</f>
        <v>0.20007496687469906</v>
      </c>
    </row>
    <row r="90" spans="1:27">
      <c r="A90" s="178" t="str">
        <f>'[1]Master data'!A90</f>
        <v>Tobacco</v>
      </c>
      <c r="B90" s="179">
        <f>'[1]Master data'!B90</f>
        <v>15</v>
      </c>
      <c r="C90" s="180">
        <f>'[1]Hist Growth'!D90</f>
        <v>5.765E-2</v>
      </c>
      <c r="D90" s="180">
        <f>[1]Margins!F91</f>
        <v>0.43764657386660305</v>
      </c>
      <c r="E90" s="180">
        <f>'[1]Return on capital'!H90</f>
        <v>0.70880191137676474</v>
      </c>
      <c r="F90" s="180">
        <f>'[1]Tax rates'!H91</f>
        <v>0.25215257842606509</v>
      </c>
      <c r="G90" s="181">
        <f>[1]Beta!H93</f>
        <v>1.7442504521558875</v>
      </c>
      <c r="H90" s="181">
        <f>[1]Beta!C93</f>
        <v>2.0004565028386407</v>
      </c>
      <c r="I90" s="180">
        <f>[1]WACC!D101</f>
        <v>0.15762711626861525</v>
      </c>
      <c r="J90" s="180">
        <f>[1]optvar!C95</f>
        <v>0.44059235658259677</v>
      </c>
      <c r="K90" s="180">
        <f>[1]WACC!G101</f>
        <v>5.5E-2</v>
      </c>
      <c r="L90" s="180">
        <f>'[1]Debt fundamentals'!F90</f>
        <v>0.19390853485149315</v>
      </c>
      <c r="M90" s="180">
        <f>[1]WACC!K101</f>
        <v>0.1350606001627262</v>
      </c>
      <c r="N90" s="181">
        <f>'[1]Cap Ex'!J90</f>
        <v>1.7836862713219102</v>
      </c>
      <c r="O90" s="181">
        <f>[1]PS!E90</f>
        <v>5.0465098709256733</v>
      </c>
      <c r="P90" s="181">
        <f>[1]EVEBITDA!D91</f>
        <v>10.761389721102821</v>
      </c>
      <c r="Q90" s="181">
        <f>[1]EVEBITDA!E91</f>
        <v>11.467667597500895</v>
      </c>
      <c r="R90" s="181" t="str">
        <f>[1]PBV!C90</f>
        <v>NA</v>
      </c>
      <c r="S90" s="181">
        <f>[1]PE!E90</f>
        <v>13.550731442270219</v>
      </c>
      <c r="T90" s="180">
        <f>'[1]Working capital'!F90</f>
        <v>0.11365806683826973</v>
      </c>
      <c r="U90" s="180">
        <f>'[1]Summary sheet uValue'!G99</f>
        <v>2.2929900257818856E-2</v>
      </c>
      <c r="V90" s="180">
        <f>'[1]Cap Ex'!H90</f>
        <v>2.1105974212593085E-2</v>
      </c>
      <c r="W90" s="180">
        <f>[1]fundgrEB!D90</f>
        <v>7.8906399841948902E-2</v>
      </c>
      <c r="X90" s="180" t="str">
        <f>[1]Fundgr!C90</f>
        <v>NA</v>
      </c>
      <c r="Y90" s="180">
        <f>'[1]Dividend fundamentals'!E90</f>
        <v>1.0717329039722374</v>
      </c>
      <c r="Z90" s="180">
        <f>1-[1]Fundgr!D90</f>
        <v>1.0717329039722374</v>
      </c>
      <c r="AA90" s="182">
        <f>[1]Margins!J91</f>
        <v>0.44061190099685843</v>
      </c>
    </row>
    <row r="91" spans="1:27">
      <c r="A91" s="178" t="str">
        <f>'[1]Master data'!A91</f>
        <v>Transportation</v>
      </c>
      <c r="B91" s="179">
        <f>'[1]Master data'!B91</f>
        <v>18</v>
      </c>
      <c r="C91" s="180">
        <f>'[1]Hist Growth'!D91</f>
        <v>0.14991818181818178</v>
      </c>
      <c r="D91" s="180">
        <f>[1]Margins!F92</f>
        <v>9.3520310959021982E-2</v>
      </c>
      <c r="E91" s="180">
        <f>'[1]Return on capital'!H91</f>
        <v>0.24195399230782733</v>
      </c>
      <c r="F91" s="180">
        <f>'[1]Tax rates'!H92</f>
        <v>0.22166954631975314</v>
      </c>
      <c r="G91" s="181">
        <f>[1]Beta!H94</f>
        <v>0.92459381899211512</v>
      </c>
      <c r="H91" s="181">
        <f>[1]Beta!C94</f>
        <v>1.058265749430396</v>
      </c>
      <c r="I91" s="180">
        <f>[1]WACC!D102</f>
        <v>0.10166098551616552</v>
      </c>
      <c r="J91" s="180">
        <f>[1]optvar!C96</f>
        <v>0.28046286808958065</v>
      </c>
      <c r="K91" s="180">
        <f>[1]WACC!G102</f>
        <v>5.5E-2</v>
      </c>
      <c r="L91" s="180">
        <f>'[1]Debt fundamentals'!F91</f>
        <v>0.22785975576835596</v>
      </c>
      <c r="M91" s="180">
        <f>[1]WACC!K102</f>
        <v>8.7895753110726366E-2</v>
      </c>
      <c r="N91" s="181">
        <f>'[1]Cap Ex'!J91</f>
        <v>3.0857818119673657</v>
      </c>
      <c r="O91" s="181">
        <f>[1]PS!E91</f>
        <v>1.0825416705307049</v>
      </c>
      <c r="P91" s="181">
        <f>[1]EVEBITDA!D92</f>
        <v>7.6537113434500652</v>
      </c>
      <c r="Q91" s="181">
        <f>[1]EVEBITDA!E92</f>
        <v>11.544187954700289</v>
      </c>
      <c r="R91" s="181">
        <f>[1]PBV!C91</f>
        <v>4.2524702951679947</v>
      </c>
      <c r="S91" s="181">
        <f>[1]PE!E91</f>
        <v>23.851971943925097</v>
      </c>
      <c r="T91" s="180">
        <f>'[1]Working capital'!F91</f>
        <v>7.2192914926226481E-2</v>
      </c>
      <c r="U91" s="180">
        <f>'[1]Summary sheet uValue'!G100</f>
        <v>4.7303289099368033E-2</v>
      </c>
      <c r="V91" s="180">
        <f>'[1]Cap Ex'!H91</f>
        <v>2.3385069645266855E-2</v>
      </c>
      <c r="W91" s="180">
        <f>[1]fundgrEB!D91</f>
        <v>0.50479787757270056</v>
      </c>
      <c r="X91" s="180">
        <f>[1]Fundgr!C91</f>
        <v>0.36781742659330763</v>
      </c>
      <c r="Y91" s="180">
        <f>'[1]Dividend fundamentals'!E91</f>
        <v>0.3344890410678481</v>
      </c>
      <c r="Z91" s="180">
        <f>1-[1]Fundgr!D91</f>
        <v>0.33448904106784805</v>
      </c>
      <c r="AA91" s="182">
        <f>[1]Margins!J92</f>
        <v>9.3773219525382645E-2</v>
      </c>
    </row>
    <row r="92" spans="1:27">
      <c r="A92" s="178" t="str">
        <f>'[1]Master data'!A92</f>
        <v>Transportation (Railroads)</v>
      </c>
      <c r="B92" s="179">
        <f>'[1]Master data'!B92</f>
        <v>4</v>
      </c>
      <c r="C92" s="180">
        <f>'[1]Hist Growth'!D92</f>
        <v>3.783333333333333E-2</v>
      </c>
      <c r="D92" s="180">
        <f>[1]Margins!F93</f>
        <v>0.40063130015646781</v>
      </c>
      <c r="E92" s="180">
        <f>'[1]Return on capital'!H92</f>
        <v>0.16937779933759034</v>
      </c>
      <c r="F92" s="180">
        <f>'[1]Tax rates'!H93</f>
        <v>0.2228821337940716</v>
      </c>
      <c r="G92" s="181">
        <f>[1]Beta!H95</f>
        <v>0.93238153388768741</v>
      </c>
      <c r="H92" s="181">
        <f>[1]Beta!C95</f>
        <v>1.1078308621714459</v>
      </c>
      <c r="I92" s="180">
        <f>[1]WACC!D103</f>
        <v>0.10460515321298389</v>
      </c>
      <c r="J92" s="180">
        <f>[1]optvar!C97</f>
        <v>0.16341269092106181</v>
      </c>
      <c r="K92" s="180">
        <f>[1]WACC!G103</f>
        <v>4.7300000000000002E-2</v>
      </c>
      <c r="L92" s="180">
        <f>'[1]Debt fundamentals'!F92</f>
        <v>0.21538599902572655</v>
      </c>
      <c r="M92" s="180">
        <f>[1]WACC!K103</f>
        <v>8.9715486100403807E-2</v>
      </c>
      <c r="N92" s="181">
        <f>'[1]Cap Ex'!J92</f>
        <v>0.50933785320283187</v>
      </c>
      <c r="O92" s="181">
        <f>[1]PS!E92</f>
        <v>6.3236145780689155</v>
      </c>
      <c r="P92" s="181">
        <f>[1]EVEBITDA!D93</f>
        <v>12.476631341363998</v>
      </c>
      <c r="Q92" s="181">
        <f>[1]EVEBITDA!E93</f>
        <v>15.865279366688831</v>
      </c>
      <c r="R92" s="181">
        <f>[1]PBV!C92</f>
        <v>6.7532256135296347</v>
      </c>
      <c r="S92" s="181">
        <f>[1]PE!E92</f>
        <v>17.861577963998506</v>
      </c>
      <c r="T92" s="180">
        <f>'[1]Working capital'!F92</f>
        <v>1.3241792225468774E-2</v>
      </c>
      <c r="U92" s="180">
        <f>'[1]Summary sheet uValue'!G101</f>
        <v>0.14796776026105116</v>
      </c>
      <c r="V92" s="180">
        <f>'[1]Cap Ex'!H92</f>
        <v>5.5810927929796944E-2</v>
      </c>
      <c r="W92" s="180">
        <f>[1]fundgrEB!D92</f>
        <v>0.18857241896280746</v>
      </c>
      <c r="X92" s="180">
        <f>[1]Fundgr!C92</f>
        <v>0.33555328592204903</v>
      </c>
      <c r="Y92" s="180">
        <f>'[1]Dividend fundamentals'!E92</f>
        <v>0.35879470923219348</v>
      </c>
      <c r="Z92" s="180">
        <f>1-[1]Fundgr!D92</f>
        <v>0.35879470923219348</v>
      </c>
      <c r="AA92" s="182">
        <f>[1]Margins!J93</f>
        <v>0.39858198723850696</v>
      </c>
    </row>
    <row r="93" spans="1:27">
      <c r="A93" s="178" t="str">
        <f>'[1]Master data'!A93</f>
        <v>Trucking</v>
      </c>
      <c r="B93" s="179">
        <f>'[1]Master data'!B93</f>
        <v>35</v>
      </c>
      <c r="C93" s="180">
        <f>'[1]Hist Growth'!D93</f>
        <v>0.14159818181818185</v>
      </c>
      <c r="D93" s="180">
        <f>[1]Margins!F94</f>
        <v>8.9289086406886917E-2</v>
      </c>
      <c r="E93" s="180">
        <f>'[1]Return on capital'!H93</f>
        <v>0.13529236520773816</v>
      </c>
      <c r="F93" s="180">
        <f>'[1]Tax rates'!H94</f>
        <v>0.24436980579597808</v>
      </c>
      <c r="G93" s="181">
        <f>[1]Beta!H96</f>
        <v>1.232855746839977</v>
      </c>
      <c r="H93" s="181">
        <f>[1]Beta!C96</f>
        <v>1.5451244708853058</v>
      </c>
      <c r="I93" s="180">
        <f>[1]WACC!D104</f>
        <v>0.13058039357058715</v>
      </c>
      <c r="J93" s="180">
        <f>[1]optvar!C98</f>
        <v>0.41171324567018758</v>
      </c>
      <c r="K93" s="180">
        <f>[1]WACC!G104</f>
        <v>5.5E-2</v>
      </c>
      <c r="L93" s="180">
        <f>'[1]Debt fundamentals'!F93</f>
        <v>0.30513857374628695</v>
      </c>
      <c r="M93" s="180">
        <f>[1]WACC!K104</f>
        <v>0.10332224468426371</v>
      </c>
      <c r="N93" s="181">
        <f>'[1]Cap Ex'!J93</f>
        <v>1.6609808041341676</v>
      </c>
      <c r="O93" s="181">
        <f>[1]PS!E93</f>
        <v>1.4513374895378339</v>
      </c>
      <c r="P93" s="181">
        <f>[1]EVEBITDA!D94</f>
        <v>6.3383734793169006</v>
      </c>
      <c r="Q93" s="181">
        <f>[1]EVEBITDA!E94</f>
        <v>11.6361932152168</v>
      </c>
      <c r="R93" s="181">
        <f>[1]PBV!C93</f>
        <v>3.5261511856041166</v>
      </c>
      <c r="S93" s="181">
        <f>[1]PE!E93</f>
        <v>10.280924299605571</v>
      </c>
      <c r="T93" s="180">
        <f>'[1]Working capital'!F93</f>
        <v>5.4419109231104372E-2</v>
      </c>
      <c r="U93" s="180">
        <f>'[1]Summary sheet uValue'!G102</f>
        <v>0.12294170091825792</v>
      </c>
      <c r="V93" s="180">
        <f>'[1]Cap Ex'!H93</f>
        <v>0.11041328797291604</v>
      </c>
      <c r="W93" s="180">
        <f>[1]fundgrEB!D93</f>
        <v>1.9266562984152134</v>
      </c>
      <c r="X93" s="180">
        <f>[1]Fundgr!C93</f>
        <v>4.05361647492955E-2</v>
      </c>
      <c r="Y93" s="180">
        <f>'[1]Dividend fundamentals'!E93</f>
        <v>0.35595744670464841</v>
      </c>
      <c r="Z93" s="180">
        <f>1-[1]Fundgr!D93</f>
        <v>0.35595744670464846</v>
      </c>
      <c r="AA93" s="182">
        <f>[1]Margins!J94</f>
        <v>9.5020379305350858E-2</v>
      </c>
    </row>
    <row r="94" spans="1:27">
      <c r="A94" s="178" t="str">
        <f>'[1]Master data'!A94</f>
        <v>Utility (General)</v>
      </c>
      <c r="B94" s="179">
        <f>'[1]Master data'!B94</f>
        <v>15</v>
      </c>
      <c r="C94" s="180">
        <f>'[1]Hist Growth'!D94</f>
        <v>4.0473333333333326E-2</v>
      </c>
      <c r="D94" s="180">
        <f>[1]Margins!F95</f>
        <v>0.18191380915780603</v>
      </c>
      <c r="E94" s="180">
        <f>'[1]Return on capital'!H94</f>
        <v>5.8204550746344036E-2</v>
      </c>
      <c r="F94" s="180">
        <f>'[1]Tax rates'!H95</f>
        <v>0.16649618768328447</v>
      </c>
      <c r="G94" s="181">
        <f>[1]Beta!H97</f>
        <v>0.40946178198765182</v>
      </c>
      <c r="H94" s="181">
        <f>[1]Beta!C97</f>
        <v>0.63513941960164833</v>
      </c>
      <c r="I94" s="180">
        <f>[1]WACC!D105</f>
        <v>7.6527281524337909E-2</v>
      </c>
      <c r="J94" s="180">
        <f>[1]optvar!C99</f>
        <v>0.1497076220101746</v>
      </c>
      <c r="K94" s="180">
        <f>[1]WACC!G105</f>
        <v>4.7300000000000002E-2</v>
      </c>
      <c r="L94" s="180">
        <f>'[1]Debt fundamentals'!F94</f>
        <v>0.42586480270208965</v>
      </c>
      <c r="M94" s="180">
        <f>[1]WACC!K105</f>
        <v>5.9044559752505103E-2</v>
      </c>
      <c r="N94" s="181">
        <f>'[1]Cap Ex'!J94</f>
        <v>0.37229545825458882</v>
      </c>
      <c r="O94" s="181">
        <f>[1]PS!E94</f>
        <v>4.283399946079026</v>
      </c>
      <c r="P94" s="181">
        <f>[1]EVEBITDA!D95</f>
        <v>13.745257053013487</v>
      </c>
      <c r="Q94" s="181">
        <f>[1]EVEBITDA!E95</f>
        <v>23.7623070921024</v>
      </c>
      <c r="R94" s="181">
        <f>[1]PBV!C94</f>
        <v>1.9179993201105874</v>
      </c>
      <c r="S94" s="181">
        <f>[1]PE!E94</f>
        <v>20.529372149088115</v>
      </c>
      <c r="T94" s="180">
        <f>'[1]Working capital'!F94</f>
        <v>8.922966654204853E-2</v>
      </c>
      <c r="U94" s="180">
        <f>'[1]Summary sheet uValue'!G103</f>
        <v>0.32903516939936395</v>
      </c>
      <c r="V94" s="180">
        <f>'[1]Cap Ex'!H94</f>
        <v>0.19971639703486291</v>
      </c>
      <c r="W94" s="180">
        <f>[1]fundgrEB!D94</f>
        <v>1.5034787791370685</v>
      </c>
      <c r="X94" s="180">
        <f>[1]Fundgr!C94</f>
        <v>0.11241118642718625</v>
      </c>
      <c r="Y94" s="180">
        <f>'[1]Dividend fundamentals'!E94</f>
        <v>0.59281009443694932</v>
      </c>
      <c r="Z94" s="180">
        <f>1-[1]Fundgr!D94</f>
        <v>0.59281009443694932</v>
      </c>
      <c r="AA94" s="182">
        <f>[1]Margins!J95</f>
        <v>0.18013952427816951</v>
      </c>
    </row>
    <row r="95" spans="1:27">
      <c r="A95" s="178" t="str">
        <f>'[1]Master data'!A95</f>
        <v>Utility (Water)</v>
      </c>
      <c r="B95" s="179">
        <f>'[1]Master data'!B95</f>
        <v>16</v>
      </c>
      <c r="C95" s="180">
        <f>'[1]Hist Growth'!D95</f>
        <v>0.14351818181818179</v>
      </c>
      <c r="D95" s="180">
        <f>[1]Margins!F96</f>
        <v>0.29510813036713346</v>
      </c>
      <c r="E95" s="180">
        <f>'[1]Return on capital'!H95</f>
        <v>6.9067801827997419E-2</v>
      </c>
      <c r="F95" s="180">
        <f>'[1]Tax rates'!H96</f>
        <v>0.18061405935116764</v>
      </c>
      <c r="G95" s="181">
        <f>[1]Beta!H98</f>
        <v>0.87252087534243938</v>
      </c>
      <c r="H95" s="181">
        <f>[1]Beta!C98</f>
        <v>1.1524153536245123</v>
      </c>
      <c r="I95" s="180">
        <f>[1]WACC!D106</f>
        <v>0.10725347200529603</v>
      </c>
      <c r="J95" s="180">
        <f>[1]optvar!C100</f>
        <v>0.27961318235637356</v>
      </c>
      <c r="K95" s="180">
        <f>[1]WACC!G106</f>
        <v>5.5E-2</v>
      </c>
      <c r="L95" s="180">
        <f>'[1]Debt fundamentals'!F95</f>
        <v>0.30263279217507999</v>
      </c>
      <c r="M95" s="180">
        <f>[1]WACC!K106</f>
        <v>8.7278656979083574E-2</v>
      </c>
      <c r="N95" s="181">
        <f>'[1]Cap Ex'!J95</f>
        <v>0.25686429661316262</v>
      </c>
      <c r="O95" s="181">
        <f>[1]PS!E95</f>
        <v>9.1829445772175315</v>
      </c>
      <c r="P95" s="181">
        <f>[1]EVEBITDA!D96</f>
        <v>20.002976875109358</v>
      </c>
      <c r="Q95" s="181">
        <f>[1]EVEBITDA!E96</f>
        <v>31.139459378884858</v>
      </c>
      <c r="R95" s="181">
        <f>[1]PBV!C95</f>
        <v>3.0872029616902905</v>
      </c>
      <c r="S95" s="181">
        <f>[1]PE!E95</f>
        <v>35.131453767610019</v>
      </c>
      <c r="T95" s="180">
        <f>'[1]Working capital'!F95</f>
        <v>0.11821847966647889</v>
      </c>
      <c r="U95" s="180">
        <f>'[1]Summary sheet uValue'!G104</f>
        <v>0.50557117431877918</v>
      </c>
      <c r="V95" s="180">
        <f>'[1]Cap Ex'!H95</f>
        <v>0.40921399435778089</v>
      </c>
      <c r="W95" s="180">
        <f>[1]fundgrEB!D95</f>
        <v>1.7868875303324088</v>
      </c>
      <c r="X95" s="180">
        <f>[1]Fundgr!C95</f>
        <v>0.16474700015176275</v>
      </c>
      <c r="Y95" s="180">
        <f>'[1]Dividend fundamentals'!E95</f>
        <v>0.45388865484163082</v>
      </c>
      <c r="Z95" s="180">
        <f>1-[1]Fundgr!D95</f>
        <v>0.34685422173962976</v>
      </c>
      <c r="AA95" s="182">
        <f>[1]Margins!J96</f>
        <v>0.2936978061206455</v>
      </c>
    </row>
  </sheetData>
  <phoneticPr fontId="22"/>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95"/>
  <sheetViews>
    <sheetView tabSelected="1" workbookViewId="0">
      <selection sqref="A1:XFD95"/>
    </sheetView>
  </sheetViews>
  <sheetFormatPr baseColWidth="10" defaultRowHeight="14"/>
  <cols>
    <col min="1" max="1" width="17.42578125" bestFit="1" customWidth="1"/>
    <col min="2" max="2" width="9.85546875" bestFit="1" customWidth="1"/>
    <col min="3" max="3" width="8.140625" bestFit="1" customWidth="1"/>
    <col min="4" max="4" width="10.140625" bestFit="1" customWidth="1"/>
    <col min="6" max="6" width="9" bestFit="1" customWidth="1"/>
    <col min="7" max="7" width="9.85546875" bestFit="1" customWidth="1"/>
    <col min="8" max="8" width="19.28515625" bestFit="1" customWidth="1"/>
  </cols>
  <sheetData>
    <row r="1" spans="1:27" s="258" customFormat="1" ht="84">
      <c r="A1" s="235" t="s">
        <v>170</v>
      </c>
      <c r="B1" s="124" t="s">
        <v>69</v>
      </c>
      <c r="C1" s="236" t="s">
        <v>445</v>
      </c>
      <c r="D1" s="236" t="s">
        <v>747</v>
      </c>
      <c r="E1" s="236" t="s">
        <v>446</v>
      </c>
      <c r="F1" s="124" t="s">
        <v>447</v>
      </c>
      <c r="G1" s="124" t="s">
        <v>343</v>
      </c>
      <c r="H1" s="124" t="s">
        <v>448</v>
      </c>
      <c r="I1" s="124" t="s">
        <v>449</v>
      </c>
      <c r="J1" s="124" t="s">
        <v>450</v>
      </c>
      <c r="K1" s="124" t="s">
        <v>451</v>
      </c>
      <c r="L1" s="124" t="s">
        <v>122</v>
      </c>
      <c r="M1" s="124" t="s">
        <v>452</v>
      </c>
      <c r="N1" s="237" t="s">
        <v>132</v>
      </c>
      <c r="O1" s="124" t="s">
        <v>332</v>
      </c>
      <c r="P1" s="124" t="s">
        <v>453</v>
      </c>
      <c r="Q1" s="124" t="s">
        <v>454</v>
      </c>
      <c r="R1" s="124" t="s">
        <v>455</v>
      </c>
      <c r="S1" s="124" t="s">
        <v>456</v>
      </c>
      <c r="T1" s="124" t="s">
        <v>625</v>
      </c>
      <c r="U1" s="124" t="s">
        <v>626</v>
      </c>
      <c r="V1" s="124" t="s">
        <v>627</v>
      </c>
      <c r="W1" s="124" t="s">
        <v>27</v>
      </c>
      <c r="X1" s="235" t="s">
        <v>628</v>
      </c>
      <c r="Y1" s="235" t="s">
        <v>629</v>
      </c>
      <c r="Z1" s="235" t="s">
        <v>630</v>
      </c>
      <c r="AA1" s="124" t="s">
        <v>774</v>
      </c>
    </row>
    <row r="2" spans="1:27" s="151" customFormat="1" ht="13">
      <c r="A2" s="178" t="s">
        <v>171</v>
      </c>
      <c r="B2" s="179">
        <f>'[2]Summary Sheet for valn'!B2</f>
        <v>362</v>
      </c>
      <c r="C2" s="180">
        <f>'[2]Summary sheet uValue'!C11</f>
        <v>7.349679425837323E-2</v>
      </c>
      <c r="D2" s="180">
        <f>[2]Margins!F3</f>
        <v>9.0308890940185002E-2</v>
      </c>
      <c r="E2" s="180">
        <f>'[2]Return on capital'!H2</f>
        <v>0.21338723126336392</v>
      </c>
      <c r="F2" s="180">
        <f>'[2]Tax rates'!H3</f>
        <v>0.25072105287374769</v>
      </c>
      <c r="G2" s="181">
        <f>[2]Beta!H5</f>
        <v>1.1743473424289956</v>
      </c>
      <c r="H2" s="181">
        <f>[2]Beta!C5</f>
        <v>1.2935834925393561</v>
      </c>
      <c r="I2" s="180">
        <f>[2]WACC!D13</f>
        <v>0.14202796270464063</v>
      </c>
      <c r="J2" s="180">
        <f>[2]optvar!C7</f>
        <v>0.39695739619251297</v>
      </c>
      <c r="K2" s="180">
        <f>[2]WACC!G13</f>
        <v>6.9500000000000006E-2</v>
      </c>
      <c r="L2" s="180">
        <f>'[2]Debt fundamentals'!F2</f>
        <v>0.26559116619465917</v>
      </c>
      <c r="M2" s="180">
        <f>[2]WACC!K13</f>
        <v>0.11821144332952692</v>
      </c>
      <c r="N2" s="181">
        <f>'[2]Cap Ex'!J2</f>
        <v>2.7111386724556512</v>
      </c>
      <c r="O2" s="181">
        <f>[2]PS!E2</f>
        <v>1.5118171161470773</v>
      </c>
      <c r="P2" s="181">
        <f>[2]EVEBITDA!D3</f>
        <v>10.549458319666552</v>
      </c>
      <c r="Q2" s="181">
        <f>[2]EVEBITDA!E3</f>
        <v>15.504367980070299</v>
      </c>
      <c r="R2" s="181">
        <f>[2]PBV!C2</f>
        <v>2.3354620711493479</v>
      </c>
      <c r="S2" s="181">
        <f>[2]PE!E2</f>
        <v>39.759159058984224</v>
      </c>
      <c r="T2" s="180">
        <f>'[2]Working capital'!F2</f>
        <v>-2.6059629574481019E-2</v>
      </c>
      <c r="U2" s="180">
        <f>'[2]Summary sheet uValue'!G11</f>
        <v>2.1484748482409471E-2</v>
      </c>
      <c r="V2" s="180">
        <f>'[2]Cap Ex'!H2</f>
        <v>7.2159828874774857E-3</v>
      </c>
      <c r="W2" s="180">
        <f>[2]fundgrEB!D2</f>
        <v>0.27774109940881886</v>
      </c>
      <c r="X2" s="180">
        <f>[2]Fundgr!C2</f>
        <v>0.10200864604262225</v>
      </c>
      <c r="Y2" s="180">
        <f>'[2]Dividend fundamentals'!E2</f>
        <v>0.44451143385934094</v>
      </c>
      <c r="Z2" s="180">
        <f>1-[2]Fundgr!D2</f>
        <v>0.444511433859341</v>
      </c>
      <c r="AA2" s="182">
        <f>[2]Margins!J3</f>
        <v>9.2224502832059602E-2</v>
      </c>
    </row>
    <row r="3" spans="1:27" s="151" customFormat="1" ht="13">
      <c r="A3" s="178" t="str">
        <f>'[2]Master data'!A3</f>
        <v>Aerospace/Defense</v>
      </c>
      <c r="B3" s="179">
        <f>'[2]Master data'!B3</f>
        <v>278</v>
      </c>
      <c r="C3" s="180">
        <f>'[2]Hist Growth'!D3</f>
        <v>7.3714201183431957E-2</v>
      </c>
      <c r="D3" s="180">
        <f>[2]Margins!F4</f>
        <v>8.0244040953254395E-2</v>
      </c>
      <c r="E3" s="180">
        <f>'[2]Return on capital'!H3</f>
        <v>0.12143702063274998</v>
      </c>
      <c r="F3" s="180">
        <f>'[2]Tax rates'!H4</f>
        <v>0.16363578286229677</v>
      </c>
      <c r="G3" s="181">
        <f>[2]Beta!H6</f>
        <v>1.0573692747052328</v>
      </c>
      <c r="H3" s="181">
        <f>[2]Beta!C6</f>
        <v>1.1580552633554024</v>
      </c>
      <c r="I3" s="180">
        <f>[2]WACC!D14</f>
        <v>0.13121281001576113</v>
      </c>
      <c r="J3" s="180">
        <f>[2]optvar!C8</f>
        <v>0.36229340257411924</v>
      </c>
      <c r="K3" s="180">
        <f>[2]WACC!G14</f>
        <v>6.9500000000000006E-2</v>
      </c>
      <c r="L3" s="180">
        <f>'[2]Debt fundamentals'!F3</f>
        <v>0.18855316790308613</v>
      </c>
      <c r="M3" s="180">
        <f>[2]WACC!K14</f>
        <v>0.11634379756383052</v>
      </c>
      <c r="N3" s="181">
        <f>'[2]Cap Ex'!J3</f>
        <v>1.6921275153858071</v>
      </c>
      <c r="O3" s="181">
        <f>[2]PS!E3</f>
        <v>2.2626356260667349</v>
      </c>
      <c r="P3" s="181">
        <f>[2]EVEBITDA!D4</f>
        <v>15.266315053274221</v>
      </c>
      <c r="Q3" s="181">
        <f>[2]EVEBITDA!E4</f>
        <v>24.545448469832731</v>
      </c>
      <c r="R3" s="181">
        <f>[2]PBV!C3</f>
        <v>4.3573233797524988</v>
      </c>
      <c r="S3" s="181">
        <f>[2]PE!E3</f>
        <v>69.873885510145371</v>
      </c>
      <c r="T3" s="180">
        <f>'[2]Working capital'!F3</f>
        <v>0.42343101384561821</v>
      </c>
      <c r="U3" s="180">
        <f>'[2]Summary sheet uValue'!G12</f>
        <v>3.3915170439337512E-2</v>
      </c>
      <c r="V3" s="180">
        <f>'[2]Cap Ex'!H3</f>
        <v>9.3530759960407574E-3</v>
      </c>
      <c r="W3" s="180">
        <f>[2]fundgrEB!D3</f>
        <v>0.41378426559560244</v>
      </c>
      <c r="X3" s="180">
        <f>[2]Fundgr!C3</f>
        <v>8.0355181939871512E-2</v>
      </c>
      <c r="Y3" s="180">
        <f>'[2]Dividend fundamentals'!E3</f>
        <v>0.72951493462206618</v>
      </c>
      <c r="Z3" s="180">
        <f>1-[2]Fundgr!D3</f>
        <v>0.72951493462206618</v>
      </c>
      <c r="AA3" s="182">
        <f>[2]Margins!J4</f>
        <v>7.9981930247242136E-2</v>
      </c>
    </row>
    <row r="4" spans="1:27" s="151" customFormat="1" ht="13">
      <c r="A4" s="178" t="str">
        <f>'[2]Master data'!A4</f>
        <v>Air Transport</v>
      </c>
      <c r="B4" s="179">
        <f>'[2]Master data'!B4</f>
        <v>155</v>
      </c>
      <c r="C4" s="180">
        <f>'[2]Hist Growth'!D4</f>
        <v>-2.4202561983471073E-2</v>
      </c>
      <c r="D4" s="180">
        <f>[2]Margins!F5</f>
        <v>1.2353378911390047E-2</v>
      </c>
      <c r="E4" s="180">
        <f>'[2]Return on capital'!H4</f>
        <v>9.0355252665947575E-3</v>
      </c>
      <c r="F4" s="180">
        <f>'[2]Tax rates'!H5</f>
        <v>0.1308370077254517</v>
      </c>
      <c r="G4" s="181">
        <f>[2]Beta!H7</f>
        <v>0.76161422717292737</v>
      </c>
      <c r="H4" s="181">
        <f>[2]Beta!C7</f>
        <v>1.2354206917515256</v>
      </c>
      <c r="I4" s="180">
        <f>[2]WACC!D15</f>
        <v>0.13738657120177172</v>
      </c>
      <c r="J4" s="180">
        <f>[2]optvar!C9</f>
        <v>0.30863311861967929</v>
      </c>
      <c r="K4" s="180">
        <f>[2]WACC!G15</f>
        <v>6.9500000000000006E-2</v>
      </c>
      <c r="L4" s="180">
        <f>'[2]Debt fundamentals'!F4</f>
        <v>0.52376822281143809</v>
      </c>
      <c r="M4" s="180">
        <f>[2]WACC!K15</f>
        <v>9.2849395821210656E-2</v>
      </c>
      <c r="N4" s="181">
        <f>'[2]Cap Ex'!J4</f>
        <v>0.80542277986245103</v>
      </c>
      <c r="O4" s="181">
        <f>[2]PS!E4</f>
        <v>1.9367510184926524</v>
      </c>
      <c r="P4" s="181">
        <f>[2]EVEBITDA!D5</f>
        <v>10.980475195113629</v>
      </c>
      <c r="Q4" s="181">
        <f>[2]EVEBITDA!E5</f>
        <v>106.6657342055652</v>
      </c>
      <c r="R4" s="181">
        <f>[2]PBV!C4</f>
        <v>2.9382894788056628</v>
      </c>
      <c r="S4" s="181">
        <f>[2]PE!E4</f>
        <v>75.856092154903067</v>
      </c>
      <c r="T4" s="180">
        <f>'[2]Working capital'!F4</f>
        <v>-3.5817592352555154E-2</v>
      </c>
      <c r="U4" s="180">
        <f>'[2]Summary sheet uValue'!G13</f>
        <v>9.6693065490875751E-2</v>
      </c>
      <c r="V4" s="180">
        <f>'[2]Cap Ex'!H4</f>
        <v>3.2559147510088392E-2</v>
      </c>
      <c r="W4" s="180">
        <f>[2]fundgrEB!D4</f>
        <v>9.5547125985183889</v>
      </c>
      <c r="X4" s="180">
        <f>[2]Fundgr!C4</f>
        <v>-9.3242946827625517E-2</v>
      </c>
      <c r="Y4" s="180">
        <f>'[2]Dividend fundamentals'!E4</f>
        <v>4.4191751889956421E-3</v>
      </c>
      <c r="Z4" s="180">
        <f>1-[2]Fundgr!D4</f>
        <v>4.4191751889955944E-3</v>
      </c>
      <c r="AA4" s="182">
        <f>[2]Margins!J5</f>
        <v>1.2274593703366197E-2</v>
      </c>
    </row>
    <row r="5" spans="1:27" s="151" customFormat="1" ht="13">
      <c r="A5" s="178" t="str">
        <f>'[2]Master data'!A5</f>
        <v>Apparel</v>
      </c>
      <c r="B5" s="179">
        <f>'[2]Master data'!B5</f>
        <v>1146</v>
      </c>
      <c r="C5" s="180">
        <f>'[2]Hist Growth'!D5</f>
        <v>4.6189893238434081E-2</v>
      </c>
      <c r="D5" s="180">
        <f>[2]Margins!F6</f>
        <v>0.14743627276755109</v>
      </c>
      <c r="E5" s="180">
        <f>'[2]Return on capital'!H5</f>
        <v>0.20093422274465472</v>
      </c>
      <c r="F5" s="180">
        <f>'[2]Tax rates'!H6</f>
        <v>0.23781863623580107</v>
      </c>
      <c r="G5" s="181">
        <f>[2]Beta!H8</f>
        <v>0.84193602052433447</v>
      </c>
      <c r="H5" s="181">
        <f>[2]Beta!C8</f>
        <v>0.90237888995411852</v>
      </c>
      <c r="I5" s="180">
        <f>[2]WACC!D16</f>
        <v>0.11080983541833865</v>
      </c>
      <c r="J5" s="180">
        <f>[2]optvar!C10</f>
        <v>0.34781354412233134</v>
      </c>
      <c r="K5" s="180">
        <f>[2]WACC!G16</f>
        <v>6.9500000000000006E-2</v>
      </c>
      <c r="L5" s="180">
        <f>'[2]Debt fundamentals'!F5</f>
        <v>0.15361852401854517</v>
      </c>
      <c r="M5" s="180">
        <f>[2]WACC!K16</f>
        <v>0.10182999002758587</v>
      </c>
      <c r="N5" s="181">
        <f>'[2]Cap Ex'!J5</f>
        <v>1.5806190152148958</v>
      </c>
      <c r="O5" s="181">
        <f>[2]PS!E5</f>
        <v>2.3572313228368644</v>
      </c>
      <c r="P5" s="181">
        <f>[2]EVEBITDA!D6</f>
        <v>12.584665934703455</v>
      </c>
      <c r="Q5" s="181">
        <f>[2]EVEBITDA!E6</f>
        <v>15.486602949046972</v>
      </c>
      <c r="R5" s="181">
        <f>[2]PBV!C5</f>
        <v>3.6309023837854668</v>
      </c>
      <c r="S5" s="181">
        <f>[2]PE!E5</f>
        <v>73.56324390422597</v>
      </c>
      <c r="T5" s="180">
        <f>'[2]Working capital'!F5</f>
        <v>0.21493944316933722</v>
      </c>
      <c r="U5" s="180">
        <f>'[2]Summary sheet uValue'!G14</f>
        <v>3.6609584078790343E-2</v>
      </c>
      <c r="V5" s="180">
        <f>'[2]Cap Ex'!H5</f>
        <v>1.6666737691856361E-2</v>
      </c>
      <c r="W5" s="180">
        <f>[2]fundgrEB!D5</f>
        <v>0.4898760232758958</v>
      </c>
      <c r="X5" s="180">
        <f>[2]Fundgr!C5</f>
        <v>0.15307722601657631</v>
      </c>
      <c r="Y5" s="180">
        <f>'[2]Dividend fundamentals'!E5</f>
        <v>0.4288308576857397</v>
      </c>
      <c r="Z5" s="180">
        <f>1-[2]Fundgr!D5</f>
        <v>0.4288308576857397</v>
      </c>
      <c r="AA5" s="182">
        <f>[2]Margins!J6</f>
        <v>0.14943657631895677</v>
      </c>
    </row>
    <row r="6" spans="1:27" s="151" customFormat="1" ht="13">
      <c r="A6" s="178" t="str">
        <f>'[2]Master data'!A6</f>
        <v>Auto &amp; Truck</v>
      </c>
      <c r="B6" s="179">
        <f>'[2]Master data'!B6</f>
        <v>154</v>
      </c>
      <c r="C6" s="180">
        <f>'[2]Hist Growth'!D6</f>
        <v>8.2065959595959595E-2</v>
      </c>
      <c r="D6" s="180">
        <f>[2]Margins!F7</f>
        <v>6.584576381061448E-2</v>
      </c>
      <c r="E6" s="180">
        <f>'[2]Return on capital'!H6</f>
        <v>5.3357693453791086E-2</v>
      </c>
      <c r="F6" s="180">
        <f>'[2]Tax rates'!H7</f>
        <v>0.21365745874896358</v>
      </c>
      <c r="G6" s="181">
        <f>[2]Beta!H9</f>
        <v>1.0338355926371079</v>
      </c>
      <c r="H6" s="181">
        <f>[2]Beta!C9</f>
        <v>1.3526231349119202</v>
      </c>
      <c r="I6" s="180">
        <f>[2]WACC!D17</f>
        <v>0.14673932616597124</v>
      </c>
      <c r="J6" s="180">
        <f>[2]optvar!C11</f>
        <v>0.33896789399772925</v>
      </c>
      <c r="K6" s="180">
        <f>[2]WACC!G17</f>
        <v>6.9500000000000006E-2</v>
      </c>
      <c r="L6" s="180">
        <f>'[2]Debt fundamentals'!F6</f>
        <v>0.42427592940792425</v>
      </c>
      <c r="M6" s="180">
        <f>[2]WACC!K17</f>
        <v>0.10669405268100901</v>
      </c>
      <c r="N6" s="181">
        <f>'[2]Cap Ex'!J6</f>
        <v>0.92471336879470623</v>
      </c>
      <c r="O6" s="181">
        <f>[2]PS!E6</f>
        <v>1.082392518093318</v>
      </c>
      <c r="P6" s="181">
        <f>[2]EVEBITDA!D7</f>
        <v>9.2030884541139262</v>
      </c>
      <c r="Q6" s="181">
        <f>[2]EVEBITDA!E7</f>
        <v>15.835554573844876</v>
      </c>
      <c r="R6" s="181">
        <f>[2]PBV!C6</f>
        <v>1.2924319609024459</v>
      </c>
      <c r="S6" s="181">
        <f>[2]PE!E6</f>
        <v>27.781838175350082</v>
      </c>
      <c r="T6" s="180">
        <f>'[2]Working capital'!F6</f>
        <v>7.9713074350257086E-3</v>
      </c>
      <c r="U6" s="180">
        <f>'[2]Summary sheet uValue'!G15</f>
        <v>6.0423265071670167E-2</v>
      </c>
      <c r="V6" s="180">
        <f>'[2]Cap Ex'!H6</f>
        <v>2.7560794421056058E-2</v>
      </c>
      <c r="W6" s="180">
        <f>[2]fundgrEB!D6</f>
        <v>0.501947218801582</v>
      </c>
      <c r="X6" s="180">
        <f>[2]Fundgr!C6</f>
        <v>0.11518174528970851</v>
      </c>
      <c r="Y6" s="180">
        <f>'[2]Dividend fundamentals'!E6</f>
        <v>0.22505595545281412</v>
      </c>
      <c r="Z6" s="180">
        <f>1-[2]Fundgr!D6</f>
        <v>0.22505595545281409</v>
      </c>
      <c r="AA6" s="182">
        <f>[2]Margins!J7</f>
        <v>6.5170323760650503E-2</v>
      </c>
    </row>
    <row r="7" spans="1:27" s="151" customFormat="1" ht="13">
      <c r="A7" s="178" t="str">
        <f>'[2]Master data'!A7</f>
        <v>Auto Parts</v>
      </c>
      <c r="B7" s="179">
        <f>'[2]Master data'!B7</f>
        <v>746</v>
      </c>
      <c r="C7" s="180">
        <f>'[2]Hist Growth'!D7</f>
        <v>5.157986111111109E-2</v>
      </c>
      <c r="D7" s="180">
        <f>[2]Margins!F8</f>
        <v>3.6479009561434891E-2</v>
      </c>
      <c r="E7" s="180">
        <f>'[2]Return on capital'!H7</f>
        <v>4.222860068434426E-2</v>
      </c>
      <c r="F7" s="180">
        <f>'[2]Tax rates'!H8</f>
        <v>0.25746757422962119</v>
      </c>
      <c r="G7" s="181">
        <f>[2]Beta!H10</f>
        <v>1.2875467841381958</v>
      </c>
      <c r="H7" s="181">
        <f>[2]Beta!C10</f>
        <v>1.4130101599580891</v>
      </c>
      <c r="I7" s="180">
        <f>[2]WACC!D18</f>
        <v>0.1515582107646555</v>
      </c>
      <c r="J7" s="180">
        <f>[2]optvar!C12</f>
        <v>0.31499751482799093</v>
      </c>
      <c r="K7" s="180">
        <f>[2]WACC!G18</f>
        <v>6.9500000000000006E-2</v>
      </c>
      <c r="L7" s="180">
        <f>'[2]Debt fundamentals'!F7</f>
        <v>0.26055904721279227</v>
      </c>
      <c r="M7" s="180">
        <f>[2]WACC!K18</f>
        <v>0.12570974732398635</v>
      </c>
      <c r="N7" s="181">
        <f>'[2]Cap Ex'!J7</f>
        <v>1.4689858860581844</v>
      </c>
      <c r="O7" s="181">
        <f>[2]PS!E7</f>
        <v>0.8305830591776443</v>
      </c>
      <c r="P7" s="181">
        <f>[2]EVEBITDA!D8</f>
        <v>9.4666196581639355</v>
      </c>
      <c r="Q7" s="181">
        <f>[2]EVEBITDA!E8</f>
        <v>21.860840601324096</v>
      </c>
      <c r="R7" s="181">
        <f>[2]PBV!C7</f>
        <v>1.3917099071259258</v>
      </c>
      <c r="S7" s="181">
        <f>[2]PE!E7</f>
        <v>39.301868735316567</v>
      </c>
      <c r="T7" s="180">
        <f>'[2]Working capital'!F7</f>
        <v>0.13142619927912766</v>
      </c>
      <c r="U7" s="180">
        <f>'[2]Summary sheet uValue'!G16</f>
        <v>5.1411946122316261E-2</v>
      </c>
      <c r="V7" s="180">
        <f>'[2]Cap Ex'!H7</f>
        <v>3.1668608532252063E-2</v>
      </c>
      <c r="W7" s="180">
        <f>[2]fundgrEB!D7</f>
        <v>2.0647634316505332</v>
      </c>
      <c r="X7" s="180">
        <f>[2]Fundgr!C7</f>
        <v>5.2512079188338168E-2</v>
      </c>
      <c r="Y7" s="180">
        <f>'[2]Dividend fundamentals'!E7</f>
        <v>0.51852413385931106</v>
      </c>
      <c r="Z7" s="180">
        <f>1-[2]Fundgr!D7</f>
        <v>0.51852413385931106</v>
      </c>
      <c r="AA7" s="182">
        <f>[2]Margins!J8</f>
        <v>3.4943488463797939E-2</v>
      </c>
    </row>
    <row r="8" spans="1:27" s="151" customFormat="1" ht="13">
      <c r="A8" s="178" t="str">
        <f>'[2]Master data'!A8</f>
        <v>Bank (Money Center)</v>
      </c>
      <c r="B8" s="179">
        <f>'[2]Master data'!B8</f>
        <v>596</v>
      </c>
      <c r="C8" s="180">
        <f>'[2]Hist Growth'!D8</f>
        <v>0.10534848197343455</v>
      </c>
      <c r="D8" s="180">
        <f>[2]Margins!F9</f>
        <v>4.1764766200202448E-5</v>
      </c>
      <c r="E8" s="180">
        <f>'[2]Return on capital'!H8</f>
        <v>4.1684616383614826E-5</v>
      </c>
      <c r="F8" s="180">
        <f>'[2]Tax rates'!H9</f>
        <v>0.18677332609619868</v>
      </c>
      <c r="G8" s="181">
        <f>[2]Beta!H11</f>
        <v>0.43761147216067758</v>
      </c>
      <c r="H8" s="181">
        <f>[2]Beta!C11</f>
        <v>0.87521547410293199</v>
      </c>
      <c r="I8" s="180">
        <f>[2]WACC!D19</f>
        <v>0.10864219483341397</v>
      </c>
      <c r="J8" s="180">
        <f>[2]optvar!C13</f>
        <v>0.21675380851065218</v>
      </c>
      <c r="K8" s="180">
        <f>[2]WACC!G19</f>
        <v>6.1800000000000001E-2</v>
      </c>
      <c r="L8" s="180">
        <f>'[2]Debt fundamentals'!F8</f>
        <v>0.75025597377956421</v>
      </c>
      <c r="M8" s="180">
        <f>[2]WACC!K19</f>
        <v>6.2060110743097238E-2</v>
      </c>
      <c r="N8" s="181">
        <f>'[2]Cap Ex'!J8</f>
        <v>0.14023331329651406</v>
      </c>
      <c r="O8" s="181">
        <f>[2]PS!E8</f>
        <v>6.6890452219127399</v>
      </c>
      <c r="P8" s="181" t="str">
        <f>[2]EVEBITDA!D9</f>
        <v>NA</v>
      </c>
      <c r="Q8" s="181" t="str">
        <f>[2]EVEBITDA!E9</f>
        <v>NA</v>
      </c>
      <c r="R8" s="181">
        <f>[2]PBV!C8</f>
        <v>0.81285190398027118</v>
      </c>
      <c r="S8" s="181">
        <f>[2]PE!E8</f>
        <v>13.739133910974902</v>
      </c>
      <c r="T8" s="180" t="str">
        <f>'[2]Working capital'!F8</f>
        <v>NA</v>
      </c>
      <c r="U8" s="180">
        <f>'[2]Summary sheet uValue'!G17</f>
        <v>3.2404484108969081E-2</v>
      </c>
      <c r="V8" s="180">
        <f>'[2]Cap Ex'!H8</f>
        <v>3.4360841059937627E-2</v>
      </c>
      <c r="W8" s="180">
        <f>[2]fundgrEB!D8</f>
        <v>84.189822596779209</v>
      </c>
      <c r="X8" s="180">
        <f>[2]Fundgr!C8</f>
        <v>1.033504286307702E-2</v>
      </c>
      <c r="Y8" s="180">
        <f>'[2]Dividend fundamentals'!E8</f>
        <v>0.33483400470597052</v>
      </c>
      <c r="Z8" s="180">
        <f>1-[2]Fundgr!D8</f>
        <v>0.33483400470597058</v>
      </c>
      <c r="AA8" s="182">
        <f>[2]Margins!J9</f>
        <v>3.7602747649597004E-4</v>
      </c>
    </row>
    <row r="9" spans="1:27" s="151" customFormat="1" ht="13">
      <c r="A9" s="178" t="str">
        <f>'[2]Master data'!A9</f>
        <v>Banks (Regional)</v>
      </c>
      <c r="B9" s="179">
        <f>'[2]Master data'!B9</f>
        <v>800</v>
      </c>
      <c r="C9" s="180">
        <f>'[2]Hist Growth'!D9</f>
        <v>9.0058796992481246E-2</v>
      </c>
      <c r="D9" s="180">
        <f>[2]Margins!F10</f>
        <v>1.0047331251049651E-4</v>
      </c>
      <c r="E9" s="180">
        <f>'[2]Return on capital'!H9</f>
        <v>-3.6680349455871644E-5</v>
      </c>
      <c r="F9" s="180">
        <f>'[2]Tax rates'!H10</f>
        <v>0.19825798888305474</v>
      </c>
      <c r="G9" s="181">
        <f>[2]Beta!H12</f>
        <v>0.35775658622823059</v>
      </c>
      <c r="H9" s="181">
        <f>[2]Beta!C12</f>
        <v>0.56387028942928497</v>
      </c>
      <c r="I9" s="180">
        <f>[2]WACC!D20</f>
        <v>8.3796849096456932E-2</v>
      </c>
      <c r="J9" s="180">
        <f>[2]optvar!C14</f>
        <v>0.17830180346656344</v>
      </c>
      <c r="K9" s="180">
        <f>[2]WACC!G20</f>
        <v>6.1800000000000001E-2</v>
      </c>
      <c r="L9" s="180">
        <f>'[2]Debt fundamentals'!F9</f>
        <v>0.6591944805456077</v>
      </c>
      <c r="M9" s="180">
        <f>[2]WACC!K20</f>
        <v>5.9246528980610717E-2</v>
      </c>
      <c r="N9" s="181">
        <f>'[2]Cap Ex'!J9</f>
        <v>0.19352947870025708</v>
      </c>
      <c r="O9" s="181">
        <f>[2]PS!E9</f>
        <v>5.5045747643571437</v>
      </c>
      <c r="P9" s="181" t="str">
        <f>[2]EVEBITDA!D10</f>
        <v>NA</v>
      </c>
      <c r="Q9" s="181" t="str">
        <f>[2]EVEBITDA!E10</f>
        <v>NA</v>
      </c>
      <c r="R9" s="181">
        <f>[2]PBV!C9</f>
        <v>0.89188417325568681</v>
      </c>
      <c r="S9" s="181">
        <f>[2]PE!E9</f>
        <v>20.711981486924902</v>
      </c>
      <c r="T9" s="180" t="str">
        <f>'[2]Working capital'!F9</f>
        <v>NA</v>
      </c>
      <c r="U9" s="180">
        <f>'[2]Summary sheet uValue'!G18</f>
        <v>3.158023938571787E-2</v>
      </c>
      <c r="V9" s="180">
        <f>'[2]Cap Ex'!H9</f>
        <v>-1.3115480793971833E-2</v>
      </c>
      <c r="W9" s="180" t="str">
        <f>[2]fundgrEB!D9</f>
        <v>NA</v>
      </c>
      <c r="X9" s="180">
        <f>[2]Fundgr!C9</f>
        <v>9.0436939806665881E-2</v>
      </c>
      <c r="Y9" s="180">
        <f>'[2]Dividend fundamentals'!E9</f>
        <v>0.27524500019645759</v>
      </c>
      <c r="Z9" s="180">
        <f>1-[2]Fundgr!D9</f>
        <v>0.27524500019645759</v>
      </c>
      <c r="AA9" s="182">
        <f>[2]Margins!J10</f>
        <v>-2.5409848459255068E-4</v>
      </c>
    </row>
    <row r="10" spans="1:27" s="151" customFormat="1" ht="13">
      <c r="A10" s="178" t="str">
        <f>'[2]Master data'!A10</f>
        <v>Beverage (Alcoholic)</v>
      </c>
      <c r="B10" s="179">
        <f>'[2]Master data'!B10</f>
        <v>220</v>
      </c>
      <c r="C10" s="180">
        <f>'[2]Hist Growth'!D10</f>
        <v>9.1329397590361447E-2</v>
      </c>
      <c r="D10" s="180">
        <f>[2]Margins!F11</f>
        <v>0.21975004183319735</v>
      </c>
      <c r="E10" s="180">
        <f>'[2]Return on capital'!H10</f>
        <v>0.13930925191772361</v>
      </c>
      <c r="F10" s="180">
        <f>'[2]Tax rates'!H11</f>
        <v>0.23813766776644182</v>
      </c>
      <c r="G10" s="181">
        <f>[2]Beta!H13</f>
        <v>0.81071819316509697</v>
      </c>
      <c r="H10" s="181">
        <f>[2]Beta!C13</f>
        <v>0.87215644318047292</v>
      </c>
      <c r="I10" s="180">
        <f>[2]WACC!D21</f>
        <v>0.10839808416580174</v>
      </c>
      <c r="J10" s="180">
        <f>[2]optvar!C15</f>
        <v>0.28571957625212252</v>
      </c>
      <c r="K10" s="180">
        <f>[2]WACC!G21</f>
        <v>6.9500000000000006E-2</v>
      </c>
      <c r="L10" s="180">
        <f>'[2]Debt fundamentals'!F10</f>
        <v>0.14071582488908002</v>
      </c>
      <c r="M10" s="180">
        <f>[2]WACC!K21</f>
        <v>0.10051184388279663</v>
      </c>
      <c r="N10" s="181">
        <f>'[2]Cap Ex'!J10</f>
        <v>0.76562332653538567</v>
      </c>
      <c r="O10" s="181">
        <f>[2]PS!E10</f>
        <v>4.3322948155441683</v>
      </c>
      <c r="P10" s="181">
        <f>[2]EVEBITDA!D11</f>
        <v>16.172276414424015</v>
      </c>
      <c r="Q10" s="181">
        <f>[2]EVEBITDA!E11</f>
        <v>19.503078091482607</v>
      </c>
      <c r="R10" s="181">
        <f>[2]PBV!C10</f>
        <v>3.5736745890053765</v>
      </c>
      <c r="S10" s="181">
        <f>[2]PE!E10</f>
        <v>69.351610119440252</v>
      </c>
      <c r="T10" s="180">
        <f>'[2]Working capital'!F10</f>
        <v>8.6871480757296365E-2</v>
      </c>
      <c r="U10" s="180">
        <f>'[2]Summary sheet uValue'!G19</f>
        <v>4.5801360272714885E-2</v>
      </c>
      <c r="V10" s="180">
        <f>'[2]Cap Ex'!H10</f>
        <v>9.4143632278324684E-3</v>
      </c>
      <c r="W10" s="180">
        <f>[2]fundgrEB!D10</f>
        <v>1.6495762907882471E-2</v>
      </c>
      <c r="X10" s="180">
        <f>[2]Fundgr!C10</f>
        <v>0.14498308042811484</v>
      </c>
      <c r="Y10" s="180">
        <f>'[2]Dividend fundamentals'!E10</f>
        <v>0.41804095988813733</v>
      </c>
      <c r="Z10" s="180">
        <f>1-[2]Fundgr!D10</f>
        <v>0.41804095988813739</v>
      </c>
      <c r="AA10" s="182">
        <f>[2]Margins!J11</f>
        <v>0.21965850488954478</v>
      </c>
    </row>
    <row r="11" spans="1:27" s="151" customFormat="1" ht="13">
      <c r="A11" s="178" t="str">
        <f>'[2]Master data'!A11</f>
        <v>Beverage (Soft)</v>
      </c>
      <c r="B11" s="179">
        <f>'[2]Master data'!B11</f>
        <v>100</v>
      </c>
      <c r="C11" s="180">
        <f>'[2]Hist Growth'!D11</f>
        <v>9.0173050847457623E-2</v>
      </c>
      <c r="D11" s="180">
        <f>[2]Margins!F12</f>
        <v>0.16549489068571271</v>
      </c>
      <c r="E11" s="180">
        <f>'[2]Return on capital'!H11</f>
        <v>0.22610954818560502</v>
      </c>
      <c r="F11" s="180">
        <f>'[2]Tax rates'!H12</f>
        <v>0.19967869658810308</v>
      </c>
      <c r="G11" s="181">
        <f>[2]Beta!H14</f>
        <v>0.79471832647132434</v>
      </c>
      <c r="H11" s="181">
        <f>[2]Beta!C14</f>
        <v>0.85590019190367983</v>
      </c>
      <c r="I11" s="180">
        <f>[2]WACC!D22</f>
        <v>0.10710083531391365</v>
      </c>
      <c r="J11" s="180">
        <f>[2]optvar!C16</f>
        <v>0.31052361417890234</v>
      </c>
      <c r="K11" s="180">
        <f>[2]WACC!G22</f>
        <v>6.9500000000000006E-2</v>
      </c>
      <c r="L11" s="180">
        <f>'[2]Debt fundamentals'!F11</f>
        <v>0.13328497731995359</v>
      </c>
      <c r="M11" s="180">
        <f>[2]WACC!K22</f>
        <v>9.9803951260501497E-2</v>
      </c>
      <c r="N11" s="181">
        <f>'[2]Cap Ex'!J11</f>
        <v>1.5704645257815757</v>
      </c>
      <c r="O11" s="181">
        <f>[2]PS!E11</f>
        <v>3.9033785429845778</v>
      </c>
      <c r="P11" s="181">
        <f>[2]EVEBITDA!D12</f>
        <v>18.728439522644482</v>
      </c>
      <c r="Q11" s="181">
        <f>[2]EVEBITDA!E12</f>
        <v>23.265881943355328</v>
      </c>
      <c r="R11" s="181">
        <f>[2]PBV!C11</f>
        <v>6.6110537061224148</v>
      </c>
      <c r="S11" s="181">
        <f>[2]PE!E11</f>
        <v>44.957599605279952</v>
      </c>
      <c r="T11" s="180">
        <f>'[2]Working capital'!F11</f>
        <v>-6.4905246010984075E-2</v>
      </c>
      <c r="U11" s="180">
        <f>'[2]Summary sheet uValue'!G20</f>
        <v>4.5824689476554596E-2</v>
      </c>
      <c r="V11" s="180">
        <f>'[2]Cap Ex'!H11</f>
        <v>4.1904157836908283E-2</v>
      </c>
      <c r="W11" s="180">
        <f>[2]fundgrEB!D11</f>
        <v>0.25833730543349975</v>
      </c>
      <c r="X11" s="180">
        <f>[2]Fundgr!C11</f>
        <v>0.24708930327847395</v>
      </c>
      <c r="Y11" s="180">
        <f>'[2]Dividend fundamentals'!E11</f>
        <v>0.54691572779078046</v>
      </c>
      <c r="Z11" s="180">
        <f>1-[2]Fundgr!D11</f>
        <v>0.54691572779078046</v>
      </c>
      <c r="AA11" s="182">
        <f>[2]Margins!J12</f>
        <v>0.16620550043419383</v>
      </c>
    </row>
    <row r="12" spans="1:27" s="151" customFormat="1" ht="13">
      <c r="A12" s="178" t="str">
        <f>'[2]Master data'!A12</f>
        <v>Broadcasting</v>
      </c>
      <c r="B12" s="179">
        <f>'[2]Master data'!B12</f>
        <v>135</v>
      </c>
      <c r="C12" s="180">
        <f>'[2]Hist Growth'!D12</f>
        <v>4.4277545454545458E-2</v>
      </c>
      <c r="D12" s="180">
        <f>[2]Margins!F13</f>
        <v>0.1308431874962574</v>
      </c>
      <c r="E12" s="180">
        <f>'[2]Return on capital'!H12</f>
        <v>0.1088653110194383</v>
      </c>
      <c r="F12" s="180">
        <f>'[2]Tax rates'!H13</f>
        <v>0.23766054151835447</v>
      </c>
      <c r="G12" s="181">
        <f>[2]Beta!H15</f>
        <v>0.74442956673736649</v>
      </c>
      <c r="H12" s="181">
        <f>[2]Beta!C15</f>
        <v>1.0569743272387224</v>
      </c>
      <c r="I12" s="180">
        <f>[2]WACC!D23</f>
        <v>0.12314655131365004</v>
      </c>
      <c r="J12" s="180">
        <f>[2]optvar!C17</f>
        <v>0.34716622042674328</v>
      </c>
      <c r="K12" s="180">
        <f>[2]WACC!G23</f>
        <v>6.9500000000000006E-2</v>
      </c>
      <c r="L12" s="180">
        <f>'[2]Debt fundamentals'!F12</f>
        <v>0.44641195523530475</v>
      </c>
      <c r="M12" s="180">
        <f>[2]WACC!K23</f>
        <v>9.1544066309812211E-2</v>
      </c>
      <c r="N12" s="181">
        <f>'[2]Cap Ex'!J12</f>
        <v>0.99150565006743141</v>
      </c>
      <c r="O12" s="181">
        <f>[2]PS!E12</f>
        <v>1.2237022060163452</v>
      </c>
      <c r="P12" s="181">
        <f>[2]EVEBITDA!D13</f>
        <v>6.4697537039324544</v>
      </c>
      <c r="Q12" s="181">
        <f>[2]EVEBITDA!E13</f>
        <v>9.086302445486572</v>
      </c>
      <c r="R12" s="181">
        <f>[2]PBV!C12</f>
        <v>0.81219028797507353</v>
      </c>
      <c r="S12" s="181">
        <f>[2]PE!E12</f>
        <v>22.857740397461747</v>
      </c>
      <c r="T12" s="180">
        <f>'[2]Working capital'!F12</f>
        <v>0.11378712797946409</v>
      </c>
      <c r="U12" s="180">
        <f>'[2]Summary sheet uValue'!G21</f>
        <v>3.5670956658719617E-2</v>
      </c>
      <c r="V12" s="180">
        <f>'[2]Cap Ex'!H12</f>
        <v>1.7539067116144117E-2</v>
      </c>
      <c r="W12" s="180">
        <f>[2]fundgrEB!D12</f>
        <v>1.3085560327270698</v>
      </c>
      <c r="X12" s="180">
        <f>[2]Fundgr!C12</f>
        <v>0.2978111577675327</v>
      </c>
      <c r="Y12" s="180">
        <f>'[2]Dividend fundamentals'!E12</f>
        <v>0.10093323840372377</v>
      </c>
      <c r="Z12" s="180">
        <f>1-[2]Fundgr!D12</f>
        <v>0.10093323840372381</v>
      </c>
      <c r="AA12" s="182">
        <f>[2]Margins!J13</f>
        <v>0.13150372291132204</v>
      </c>
    </row>
    <row r="13" spans="1:27" s="151" customFormat="1" ht="13">
      <c r="A13" s="178" t="str">
        <f>'[2]Master data'!A13</f>
        <v>Brokerage &amp; Investment Banking</v>
      </c>
      <c r="B13" s="179">
        <f>'[2]Master data'!B13</f>
        <v>592</v>
      </c>
      <c r="C13" s="180">
        <f>'[2]Hist Growth'!D13</f>
        <v>0.10401919621749414</v>
      </c>
      <c r="D13" s="180">
        <f>[2]Margins!F14</f>
        <v>7.2690501748205122E-3</v>
      </c>
      <c r="E13" s="180">
        <f>'[2]Return on capital'!H13</f>
        <v>1.1237028657450701E-3</v>
      </c>
      <c r="F13" s="180">
        <f>'[2]Tax rates'!H14</f>
        <v>0.20234958105745021</v>
      </c>
      <c r="G13" s="181">
        <f>[2]Beta!H16</f>
        <v>0.4509503326169772</v>
      </c>
      <c r="H13" s="181">
        <f>[2]Beta!C16</f>
        <v>0.99146242776310933</v>
      </c>
      <c r="I13" s="180">
        <f>[2]WACC!D24</f>
        <v>0.11791870173549612</v>
      </c>
      <c r="J13" s="180">
        <f>[2]optvar!C18</f>
        <v>0.34987613722148397</v>
      </c>
      <c r="K13" s="180">
        <f>[2]WACC!G24</f>
        <v>6.9500000000000006E-2</v>
      </c>
      <c r="L13" s="180">
        <f>'[2]Debt fundamentals'!F13</f>
        <v>0.70577788318489221</v>
      </c>
      <c r="M13" s="180">
        <f>[2]WACC!K24</f>
        <v>7.164483235522795E-2</v>
      </c>
      <c r="N13" s="181">
        <f>'[2]Cap Ex'!J13</f>
        <v>0.19322010265558867</v>
      </c>
      <c r="O13" s="181">
        <f>[2]PS!E13</f>
        <v>5.3692439869910435</v>
      </c>
      <c r="P13" s="181">
        <f>[2]EVEBITDA!D14</f>
        <v>197.28291344916556</v>
      </c>
      <c r="Q13" s="181" t="str">
        <f>[2]EVEBITDA!E14</f>
        <v>NA</v>
      </c>
      <c r="R13" s="181">
        <f>[2]PBV!C13</f>
        <v>1.2161813550455391</v>
      </c>
      <c r="S13" s="181">
        <f>[2]PE!E13</f>
        <v>60.949595545922598</v>
      </c>
      <c r="T13" s="180" t="str">
        <f>'[2]Working capital'!F13</f>
        <v>NA</v>
      </c>
      <c r="U13" s="180">
        <f>'[2]Summary sheet uValue'!G22</f>
        <v>2.8564235872633317E-2</v>
      </c>
      <c r="V13" s="180">
        <f>'[2]Cap Ex'!H13</f>
        <v>-5.0229492121968318E-3</v>
      </c>
      <c r="W13" s="180">
        <f>[2]fundgrEB!D13</f>
        <v>-39.913584925845541</v>
      </c>
      <c r="X13" s="180">
        <f>[2]Fundgr!C13</f>
        <v>9.2032782861292586E-2</v>
      </c>
      <c r="Y13" s="180">
        <f>'[2]Dividend fundamentals'!E13</f>
        <v>0.5223993223618727</v>
      </c>
      <c r="Z13" s="180">
        <f>1-[2]Fundgr!D13</f>
        <v>0.5223993223618727</v>
      </c>
      <c r="AA13" s="182">
        <f>[2]Margins!J14</f>
        <v>6.8733754072739317E-3</v>
      </c>
    </row>
    <row r="14" spans="1:27" s="151" customFormat="1" ht="13">
      <c r="A14" s="178" t="str">
        <f>'[2]Master data'!A14</f>
        <v>Building Materials</v>
      </c>
      <c r="B14" s="179">
        <f>'[2]Master data'!B14</f>
        <v>454</v>
      </c>
      <c r="C14" s="180">
        <f>'[2]Hist Growth'!D14</f>
        <v>7.6625747126436813E-2</v>
      </c>
      <c r="D14" s="180">
        <f>[2]Margins!F15</f>
        <v>0.10740162701009311</v>
      </c>
      <c r="E14" s="180">
        <f>'[2]Return on capital'!H14</f>
        <v>0.16368297461942438</v>
      </c>
      <c r="F14" s="180">
        <f>'[2]Tax rates'!H15</f>
        <v>0.21641513739428239</v>
      </c>
      <c r="G14" s="181">
        <f>[2]Beta!H17</f>
        <v>0.99755173182959556</v>
      </c>
      <c r="H14" s="181">
        <f>[2]Beta!C17</f>
        <v>1.1065292223300869</v>
      </c>
      <c r="I14" s="180">
        <f>[2]WACC!D25</f>
        <v>0.12710103194194095</v>
      </c>
      <c r="J14" s="180">
        <f>[2]optvar!C19</f>
        <v>0.29868072216447483</v>
      </c>
      <c r="K14" s="180">
        <f>[2]WACC!G25</f>
        <v>6.9500000000000006E-2</v>
      </c>
      <c r="L14" s="180">
        <f>'[2]Debt fundamentals'!F14</f>
        <v>0.20177093676880761</v>
      </c>
      <c r="M14" s="180">
        <f>[2]WACC!K25</f>
        <v>0.11201932390615539</v>
      </c>
      <c r="N14" s="181">
        <f>'[2]Cap Ex'!J14</f>
        <v>1.851184271800939</v>
      </c>
      <c r="O14" s="181">
        <f>[2]PS!E14</f>
        <v>1.4390645957182182</v>
      </c>
      <c r="P14" s="181">
        <f>[2]EVEBITDA!D15</f>
        <v>9.6623300164160995</v>
      </c>
      <c r="Q14" s="181">
        <f>[2]EVEBITDA!E15</f>
        <v>13.03055848596199</v>
      </c>
      <c r="R14" s="181">
        <f>[2]PBV!C14</f>
        <v>2.4062797893398473</v>
      </c>
      <c r="S14" s="181">
        <f>[2]PE!E14</f>
        <v>42.279983498123997</v>
      </c>
      <c r="T14" s="180">
        <f>'[2]Working capital'!F14</f>
        <v>0.17342708024407452</v>
      </c>
      <c r="U14" s="180">
        <f>'[2]Summary sheet uValue'!G23</f>
        <v>3.8306836462944818E-2</v>
      </c>
      <c r="V14" s="180">
        <f>'[2]Cap Ex'!H14</f>
        <v>4.0279969081317146E-2</v>
      </c>
      <c r="W14" s="180">
        <f>[2]fundgrEB!D14</f>
        <v>0.86926825996365231</v>
      </c>
      <c r="X14" s="180">
        <f>[2]Fundgr!C14</f>
        <v>0.15118080309483573</v>
      </c>
      <c r="Y14" s="180">
        <f>'[2]Dividend fundamentals'!E14</f>
        <v>0.30296802718936278</v>
      </c>
      <c r="Z14" s="180">
        <f>1-[2]Fundgr!D14</f>
        <v>0.30296802718936278</v>
      </c>
      <c r="AA14" s="182">
        <f>[2]Margins!J15</f>
        <v>0.10756044602739526</v>
      </c>
    </row>
    <row r="15" spans="1:27" s="151" customFormat="1" ht="13">
      <c r="A15" s="178" t="str">
        <f>'[2]Master data'!A15</f>
        <v>Business &amp; Consumer Services</v>
      </c>
      <c r="B15" s="179">
        <f>'[2]Master data'!B15</f>
        <v>961</v>
      </c>
      <c r="C15" s="180">
        <f>'[2]Hist Growth'!D15</f>
        <v>7.7030524590164018E-2</v>
      </c>
      <c r="D15" s="180">
        <f>[2]Margins!F16</f>
        <v>8.5210415426435954E-2</v>
      </c>
      <c r="E15" s="180">
        <f>'[2]Return on capital'!H15</f>
        <v>0.19491986939558359</v>
      </c>
      <c r="F15" s="180">
        <f>'[2]Tax rates'!H16</f>
        <v>0.24146672103341693</v>
      </c>
      <c r="G15" s="181">
        <f>[2]Beta!H18</f>
        <v>0.99674884417931131</v>
      </c>
      <c r="H15" s="181">
        <f>[2]Beta!C18</f>
        <v>1.0942430346454961</v>
      </c>
      <c r="I15" s="180">
        <f>[2]WACC!D26</f>
        <v>0.12612059416471058</v>
      </c>
      <c r="J15" s="180">
        <f>[2]optvar!C20</f>
        <v>0.35508042862954164</v>
      </c>
      <c r="K15" s="180">
        <f>[2]WACC!G26</f>
        <v>6.9500000000000006E-2</v>
      </c>
      <c r="L15" s="180">
        <f>'[2]Debt fundamentals'!F15</f>
        <v>0.18870553380788824</v>
      </c>
      <c r="M15" s="180">
        <f>[2]WACC!K26</f>
        <v>0.11220049568260584</v>
      </c>
      <c r="N15" s="181">
        <f>'[2]Cap Ex'!J15</f>
        <v>2.6318315409345043</v>
      </c>
      <c r="O15" s="181">
        <f>[2]PS!E15</f>
        <v>1.796327021989877</v>
      </c>
      <c r="P15" s="181">
        <f>[2]EVEBITDA!D16</f>
        <v>13.458680230874046</v>
      </c>
      <c r="Q15" s="181">
        <f>[2]EVEBITDA!E16</f>
        <v>20.232652391500991</v>
      </c>
      <c r="R15" s="181">
        <f>[2]PBV!C15</f>
        <v>3.5572441534696142</v>
      </c>
      <c r="S15" s="181">
        <f>[2]PE!E15</f>
        <v>43.809952874708898</v>
      </c>
      <c r="T15" s="180">
        <f>'[2]Working capital'!F15</f>
        <v>9.7639902516069341E-2</v>
      </c>
      <c r="U15" s="180">
        <f>'[2]Summary sheet uValue'!G24</f>
        <v>2.6116173242196936E-2</v>
      </c>
      <c r="V15" s="180">
        <f>'[2]Cap Ex'!H15</f>
        <v>4.3555397829954337E-2</v>
      </c>
      <c r="W15" s="180">
        <f>[2]fundgrEB!D15</f>
        <v>0.86727780133182975</v>
      </c>
      <c r="X15" s="180">
        <f>[2]Fundgr!C15</f>
        <v>0.10173941306387643</v>
      </c>
      <c r="Y15" s="180">
        <f>'[2]Dividend fundamentals'!E15</f>
        <v>0.54671438017820373</v>
      </c>
      <c r="Z15" s="180">
        <f>1-[2]Fundgr!D15</f>
        <v>0.54671438017820373</v>
      </c>
      <c r="AA15" s="182">
        <f>[2]Margins!J16</f>
        <v>8.8319091504811681E-2</v>
      </c>
    </row>
    <row r="16" spans="1:27" s="151" customFormat="1" ht="13">
      <c r="A16" s="178" t="str">
        <f>'[2]Master data'!A16</f>
        <v>Cable TV</v>
      </c>
      <c r="B16" s="179">
        <f>'[2]Master data'!B16</f>
        <v>54</v>
      </c>
      <c r="C16" s="180">
        <f>'[2]Hist Growth'!D16</f>
        <v>4.2067906976744174E-2</v>
      </c>
      <c r="D16" s="180">
        <f>[2]Margins!F17</f>
        <v>0.19268732296056873</v>
      </c>
      <c r="E16" s="180">
        <f>'[2]Return on capital'!H16</f>
        <v>0.12652466179683763</v>
      </c>
      <c r="F16" s="180">
        <f>'[2]Tax rates'!H17</f>
        <v>0.28390681894041569</v>
      </c>
      <c r="G16" s="181">
        <f>[2]Beta!H19</f>
        <v>0.60543299464722078</v>
      </c>
      <c r="H16" s="181">
        <f>[2]Beta!C19</f>
        <v>1.0239833762823261</v>
      </c>
      <c r="I16" s="180">
        <f>[2]WACC!D27</f>
        <v>0.12051387342732961</v>
      </c>
      <c r="J16" s="180">
        <f>[2]optvar!C21</f>
        <v>0.26282180998895055</v>
      </c>
      <c r="K16" s="180">
        <f>[2]WACC!G27</f>
        <v>6.9500000000000006E-2</v>
      </c>
      <c r="L16" s="180">
        <f>'[2]Debt fundamentals'!F16</f>
        <v>0.49450981804764355</v>
      </c>
      <c r="M16" s="180">
        <f>[2]WACC!K27</f>
        <v>8.680831989906676E-2</v>
      </c>
      <c r="N16" s="181">
        <f>'[2]Cap Ex'!J16</f>
        <v>0.76919568734944921</v>
      </c>
      <c r="O16" s="181">
        <f>[2]PS!E16</f>
        <v>2.4944078285796922</v>
      </c>
      <c r="P16" s="181">
        <f>[2]EVEBITDA!D17</f>
        <v>7.497175384132114</v>
      </c>
      <c r="Q16" s="181">
        <f>[2]EVEBITDA!E17</f>
        <v>12.940344181786392</v>
      </c>
      <c r="R16" s="181">
        <f>[2]PBV!C16</f>
        <v>1.929850102641772</v>
      </c>
      <c r="S16" s="181">
        <f>[2]PE!E16</f>
        <v>29.820184879857429</v>
      </c>
      <c r="T16" s="180">
        <f>'[2]Working capital'!F16</f>
        <v>1.5449065581484419E-2</v>
      </c>
      <c r="U16" s="180">
        <f>'[2]Summary sheet uValue'!G25</f>
        <v>0.11558223276503958</v>
      </c>
      <c r="V16" s="180">
        <f>'[2]Cap Ex'!H16</f>
        <v>1.1541357856634741E-3</v>
      </c>
      <c r="W16" s="180">
        <f>[2]fundgrEB!D16</f>
        <v>6.1135959638478815E-2</v>
      </c>
      <c r="X16" s="180">
        <f>[2]Fundgr!C16</f>
        <v>0.10901267306081759</v>
      </c>
      <c r="Y16" s="180">
        <f>'[2]Dividend fundamentals'!E16</f>
        <v>0.35370332420360845</v>
      </c>
      <c r="Z16" s="180">
        <f>1-[2]Fundgr!D16</f>
        <v>0.3537033242036085</v>
      </c>
      <c r="AA16" s="182">
        <f>[2]Margins!J17</f>
        <v>0.1895508363242917</v>
      </c>
    </row>
    <row r="17" spans="1:27" s="151" customFormat="1" ht="13">
      <c r="A17" s="178" t="str">
        <f>'[2]Master data'!A17</f>
        <v>Chemical (Basic)</v>
      </c>
      <c r="B17" s="179">
        <f>'[2]Master data'!B17</f>
        <v>879</v>
      </c>
      <c r="C17" s="180">
        <f>'[2]Hist Growth'!D17</f>
        <v>0.1238678778625954</v>
      </c>
      <c r="D17" s="180">
        <f>[2]Margins!F18</f>
        <v>0.10020419212665564</v>
      </c>
      <c r="E17" s="180">
        <f>'[2]Return on capital'!H17</f>
        <v>0.10745139617308558</v>
      </c>
      <c r="F17" s="180">
        <f>'[2]Tax rates'!H18</f>
        <v>0.18832514749498638</v>
      </c>
      <c r="G17" s="181">
        <f>[2]Beta!H20</f>
        <v>0.98778658397913077</v>
      </c>
      <c r="H17" s="181">
        <f>[2]Beta!C20</f>
        <v>1.1399114789559386</v>
      </c>
      <c r="I17" s="180">
        <f>[2]WACC!D28</f>
        <v>0.1297649360206839</v>
      </c>
      <c r="J17" s="180">
        <f>[2]optvar!C22</f>
        <v>0.32649437388083069</v>
      </c>
      <c r="K17" s="180">
        <f>[2]WACC!G28</f>
        <v>6.9500000000000006E-2</v>
      </c>
      <c r="L17" s="180">
        <f>'[2]Debt fundamentals'!F17</f>
        <v>0.27051844186953267</v>
      </c>
      <c r="M17" s="180">
        <f>[2]WACC!K28</f>
        <v>0.10882394490616107</v>
      </c>
      <c r="N17" s="181">
        <f>'[2]Cap Ex'!J17</f>
        <v>1.2655741833436442</v>
      </c>
      <c r="O17" s="181">
        <f>[2]PS!E17</f>
        <v>1.2364855715506904</v>
      </c>
      <c r="P17" s="181">
        <f>[2]EVEBITDA!D18</f>
        <v>8.3058673712892102</v>
      </c>
      <c r="Q17" s="181">
        <f>[2]EVEBITDA!E18</f>
        <v>11.916917872618122</v>
      </c>
      <c r="R17" s="181">
        <f>[2]PBV!C17</f>
        <v>1.5633404186346405</v>
      </c>
      <c r="S17" s="181">
        <f>[2]PE!E17</f>
        <v>32.461182204024411</v>
      </c>
      <c r="T17" s="180">
        <f>'[2]Working capital'!F17</f>
        <v>0.1304677165424474</v>
      </c>
      <c r="U17" s="180">
        <f>'[2]Summary sheet uValue'!G26</f>
        <v>7.741641993492572E-2</v>
      </c>
      <c r="V17" s="180">
        <f>'[2]Cap Ex'!H17</f>
        <v>6.290271963579111E-2</v>
      </c>
      <c r="W17" s="180">
        <f>[2]fundgrEB!D17</f>
        <v>1.1979557665164933</v>
      </c>
      <c r="X17" s="180">
        <f>[2]Fundgr!C17</f>
        <v>0.13015440695282732</v>
      </c>
      <c r="Y17" s="180">
        <f>'[2]Dividend fundamentals'!E17</f>
        <v>0.46416333241579638</v>
      </c>
      <c r="Z17" s="180">
        <f>1-[2]Fundgr!D17</f>
        <v>0.46416333241579633</v>
      </c>
      <c r="AA17" s="182">
        <f>[2]Margins!J18</f>
        <v>0.10069812557358715</v>
      </c>
    </row>
    <row r="18" spans="1:27" s="151" customFormat="1" ht="13">
      <c r="A18" s="178" t="str">
        <f>'[2]Master data'!A18</f>
        <v>Chemical (Diversified)</v>
      </c>
      <c r="B18" s="179">
        <f>'[2]Master data'!B18</f>
        <v>68</v>
      </c>
      <c r="C18" s="180">
        <f>'[2]Hist Growth'!D18</f>
        <v>7.925883333333332E-2</v>
      </c>
      <c r="D18" s="180">
        <f>[2]Margins!F19</f>
        <v>0.10208853535516443</v>
      </c>
      <c r="E18" s="180">
        <f>'[2]Return on capital'!H18</f>
        <v>8.8860578023872136E-2</v>
      </c>
      <c r="F18" s="180">
        <f>'[2]Tax rates'!H19</f>
        <v>0.22109460004677506</v>
      </c>
      <c r="G18" s="181">
        <f>[2]Beta!H21</f>
        <v>0.94195069531991238</v>
      </c>
      <c r="H18" s="181">
        <f>[2]Beta!C21</f>
        <v>1.1958248741877604</v>
      </c>
      <c r="I18" s="180">
        <f>[2]WACC!D29</f>
        <v>0.13422682496018329</v>
      </c>
      <c r="J18" s="180">
        <f>[2]optvar!C23</f>
        <v>0.24921264970970231</v>
      </c>
      <c r="K18" s="180">
        <f>[2]WACC!G29</f>
        <v>6.1800000000000001E-2</v>
      </c>
      <c r="L18" s="180">
        <f>'[2]Debt fundamentals'!F18</f>
        <v>0.34287939688821434</v>
      </c>
      <c r="M18" s="180">
        <f>[2]WACC!K29</f>
        <v>0.10416559904158584</v>
      </c>
      <c r="N18" s="181">
        <f>'[2]Cap Ex'!J18</f>
        <v>1.1466338195851349</v>
      </c>
      <c r="O18" s="181">
        <f>[2]PS!E18</f>
        <v>0.94296723858016984</v>
      </c>
      <c r="P18" s="181">
        <f>[2]EVEBITDA!D19</f>
        <v>6.171064177804876</v>
      </c>
      <c r="Q18" s="181">
        <f>[2]EVEBITDA!E19</f>
        <v>9.1620621978144303</v>
      </c>
      <c r="R18" s="181">
        <f>[2]PBV!C18</f>
        <v>1.1245367981194994</v>
      </c>
      <c r="S18" s="181">
        <f>[2]PE!E18</f>
        <v>13.508795487736551</v>
      </c>
      <c r="T18" s="180">
        <f>'[2]Working capital'!F18</f>
        <v>0.17217232791268849</v>
      </c>
      <c r="U18" s="180">
        <f>'[2]Summary sheet uValue'!G27</f>
        <v>5.4474924436255449E-2</v>
      </c>
      <c r="V18" s="180">
        <f>'[2]Cap Ex'!H18</f>
        <v>1.968897467248543E-2</v>
      </c>
      <c r="W18" s="180">
        <f>[2]fundgrEB!D18</f>
        <v>0.80238917598445381</v>
      </c>
      <c r="X18" s="180">
        <f>[2]Fundgr!C18</f>
        <v>0.13650087385165174</v>
      </c>
      <c r="Y18" s="180">
        <f>'[2]Dividend fundamentals'!E18</f>
        <v>0.29292289982848024</v>
      </c>
      <c r="Z18" s="180">
        <f>1-[2]Fundgr!D18</f>
        <v>0.2929228998284803</v>
      </c>
      <c r="AA18" s="182">
        <f>[2]Margins!J19</f>
        <v>9.9179563288606054E-2</v>
      </c>
    </row>
    <row r="19" spans="1:27" s="151" customFormat="1" ht="13">
      <c r="A19" s="178" t="str">
        <f>'[2]Master data'!A19</f>
        <v>Chemical (Specialty)</v>
      </c>
      <c r="B19" s="179">
        <f>'[2]Master data'!B19</f>
        <v>922</v>
      </c>
      <c r="C19" s="180">
        <f>'[2]Hist Growth'!D19</f>
        <v>0.12358691813804168</v>
      </c>
      <c r="D19" s="180">
        <f>[2]Margins!F20</f>
        <v>0.1547255582981597</v>
      </c>
      <c r="E19" s="180">
        <f>'[2]Return on capital'!H19</f>
        <v>0.17150009967531879</v>
      </c>
      <c r="F19" s="180">
        <f>'[2]Tax rates'!H20</f>
        <v>0.2172107878596366</v>
      </c>
      <c r="G19" s="181">
        <f>[2]Beta!H22</f>
        <v>1.0212013193407876</v>
      </c>
      <c r="H19" s="181">
        <f>[2]Beta!C22</f>
        <v>1.1068628177675968</v>
      </c>
      <c r="I19" s="180">
        <f>[2]WACC!D30</f>
        <v>0.12712765285785421</v>
      </c>
      <c r="J19" s="180">
        <f>[2]optvar!C24</f>
        <v>0.34149187496630518</v>
      </c>
      <c r="K19" s="180">
        <f>[2]WACC!G30</f>
        <v>6.9500000000000006E-2</v>
      </c>
      <c r="L19" s="180">
        <f>'[2]Debt fundamentals'!F19</f>
        <v>0.17459079391537816</v>
      </c>
      <c r="M19" s="180">
        <f>[2]WACC!K30</f>
        <v>0.11407292254822643</v>
      </c>
      <c r="N19" s="181">
        <f>'[2]Cap Ex'!J19</f>
        <v>1.3054375504666331</v>
      </c>
      <c r="O19" s="181">
        <f>[2]PS!E19</f>
        <v>2.0157117635380177</v>
      </c>
      <c r="P19" s="181">
        <f>[2]EVEBITDA!D20</f>
        <v>9.4794719480770766</v>
      </c>
      <c r="Q19" s="181">
        <f>[2]EVEBITDA!E20</f>
        <v>12.823605641607234</v>
      </c>
      <c r="R19" s="181">
        <f>[2]PBV!C19</f>
        <v>2.4990688320644274</v>
      </c>
      <c r="S19" s="181">
        <f>[2]PE!E19</f>
        <v>33.689947719856896</v>
      </c>
      <c r="T19" s="180">
        <f>'[2]Working capital'!F19</f>
        <v>0.18447765882815129</v>
      </c>
      <c r="U19" s="180">
        <f>'[2]Summary sheet uValue'!G28</f>
        <v>6.7444849888795691E-2</v>
      </c>
      <c r="V19" s="180">
        <f>'[2]Cap Ex'!H19</f>
        <v>4.9838107270292677E-2</v>
      </c>
      <c r="W19" s="180">
        <f>[2]fundgrEB!D19</f>
        <v>0.75738103516745536</v>
      </c>
      <c r="X19" s="180">
        <f>[2]Fundgr!C19</f>
        <v>0.15901047052663181</v>
      </c>
      <c r="Y19" s="180">
        <f>'[2]Dividend fundamentals'!E19</f>
        <v>0.33805283025981031</v>
      </c>
      <c r="Z19" s="180">
        <f>1-[2]Fundgr!D19</f>
        <v>0.33805283025981026</v>
      </c>
      <c r="AA19" s="182">
        <f>[2]Margins!J20</f>
        <v>0.15610820572687148</v>
      </c>
    </row>
    <row r="20" spans="1:27" s="151" customFormat="1" ht="13">
      <c r="A20" s="178" t="str">
        <f>'[2]Master data'!A20</f>
        <v>Coal &amp; Related Energy</v>
      </c>
      <c r="B20" s="179">
        <f>'[2]Master data'!B20</f>
        <v>212</v>
      </c>
      <c r="C20" s="180">
        <f>'[2]Hist Growth'!D20</f>
        <v>0.19073247787610623</v>
      </c>
      <c r="D20" s="180">
        <f>[2]Margins!F21</f>
        <v>0.29123799344815227</v>
      </c>
      <c r="E20" s="180">
        <f>'[2]Return on capital'!H20</f>
        <v>0.38609852291856595</v>
      </c>
      <c r="F20" s="180">
        <f>'[2]Tax rates'!H21</f>
        <v>0.23084834706391377</v>
      </c>
      <c r="G20" s="181">
        <f>[2]Beta!H23</f>
        <v>1.3528350871710502</v>
      </c>
      <c r="H20" s="181">
        <f>[2]Beta!C23</f>
        <v>1.2119612126219459</v>
      </c>
      <c r="I20" s="180">
        <f>[2]WACC!D31</f>
        <v>0.13551450476723126</v>
      </c>
      <c r="J20" s="180">
        <f>[2]optvar!C25</f>
        <v>0.58726950301818248</v>
      </c>
      <c r="K20" s="180">
        <f>[2]WACC!G31</f>
        <v>7.3300000000000004E-2</v>
      </c>
      <c r="L20" s="180">
        <f>'[2]Debt fundamentals'!F20</f>
        <v>0.19555045254951162</v>
      </c>
      <c r="M20" s="180">
        <f>[2]WACC!K31</f>
        <v>0.11981226986085283</v>
      </c>
      <c r="N20" s="181">
        <f>'[2]Cap Ex'!J20</f>
        <v>1.4608803604303342</v>
      </c>
      <c r="O20" s="181">
        <f>[2]PS!E20</f>
        <v>1.0881834921399869</v>
      </c>
      <c r="P20" s="181">
        <f>[2]EVEBITDA!D21</f>
        <v>3.0088957590727219</v>
      </c>
      <c r="Q20" s="181">
        <f>[2]EVEBITDA!E21</f>
        <v>3.6010760403633757</v>
      </c>
      <c r="R20" s="181">
        <f>[2]PBV!C20</f>
        <v>1.4159269251330795</v>
      </c>
      <c r="S20" s="181">
        <f>[2]PE!E20</f>
        <v>19.361296059901157</v>
      </c>
      <c r="T20" s="180">
        <f>'[2]Working capital'!F20</f>
        <v>-8.2957586387662659E-3</v>
      </c>
      <c r="U20" s="180">
        <f>'[2]Summary sheet uValue'!G29</f>
        <v>5.8582103434174478E-2</v>
      </c>
      <c r="V20" s="180">
        <f>'[2]Cap Ex'!H20</f>
        <v>3.6084716364272768E-2</v>
      </c>
      <c r="W20" s="180">
        <f>[2]fundgrEB!D20</f>
        <v>0.14301394578319884</v>
      </c>
      <c r="X20" s="180">
        <f>[2]Fundgr!C20</f>
        <v>0.31438462941240891</v>
      </c>
      <c r="Y20" s="180">
        <f>'[2]Dividend fundamentals'!E20</f>
        <v>0.40895723661895989</v>
      </c>
      <c r="Z20" s="180">
        <f>1-[2]Fundgr!D20</f>
        <v>0.40895723661895989</v>
      </c>
      <c r="AA20" s="182">
        <f>[2]Margins!J21</f>
        <v>0.29207983405329863</v>
      </c>
    </row>
    <row r="21" spans="1:27" s="151" customFormat="1" ht="13">
      <c r="A21" s="178" t="str">
        <f>'[2]Master data'!A21</f>
        <v>Computer Services</v>
      </c>
      <c r="B21" s="179">
        <f>'[2]Master data'!B21</f>
        <v>1105</v>
      </c>
      <c r="C21" s="180">
        <f>'[2]Hist Growth'!D21</f>
        <v>9.3645663956639702E-2</v>
      </c>
      <c r="D21" s="180">
        <f>[2]Margins!F22</f>
        <v>7.3176266927285696E-2</v>
      </c>
      <c r="E21" s="180">
        <f>'[2]Return on capital'!H21</f>
        <v>0.2025293235529626</v>
      </c>
      <c r="F21" s="180">
        <f>'[2]Tax rates'!H22</f>
        <v>0.23035511343444337</v>
      </c>
      <c r="G21" s="181">
        <f>[2]Beta!H24</f>
        <v>1.0374271307252976</v>
      </c>
      <c r="H21" s="181">
        <f>[2]Beta!C24</f>
        <v>1.0882471920280821</v>
      </c>
      <c r="I21" s="180">
        <f>[2]WACC!D32</f>
        <v>0.12564212592384094</v>
      </c>
      <c r="J21" s="180">
        <f>[2]optvar!C26</f>
        <v>0.33786373564723465</v>
      </c>
      <c r="K21" s="180">
        <f>[2]WACC!G32</f>
        <v>6.9500000000000006E-2</v>
      </c>
      <c r="L21" s="180">
        <f>'[2]Debt fundamentals'!F21</f>
        <v>0.14049829938709574</v>
      </c>
      <c r="M21" s="180">
        <f>[2]WACC!K32</f>
        <v>0.11534531804067875</v>
      </c>
      <c r="N21" s="181">
        <f>'[2]Cap Ex'!J21</f>
        <v>3.2818741479491207</v>
      </c>
      <c r="O21" s="181">
        <f>[2]PS!E21</f>
        <v>1.3095675699093319</v>
      </c>
      <c r="P21" s="181">
        <f>[2]EVEBITDA!D22</f>
        <v>12.706719019755342</v>
      </c>
      <c r="Q21" s="181">
        <f>[2]EVEBITDA!E22</f>
        <v>17.227484749698625</v>
      </c>
      <c r="R21" s="181">
        <f>[2]PBV!C21</f>
        <v>3.5785994531817509</v>
      </c>
      <c r="S21" s="181">
        <f>[2]PE!E21</f>
        <v>49.676816960710156</v>
      </c>
      <c r="T21" s="180">
        <f>'[2]Working capital'!F21</f>
        <v>0.1651626702816448</v>
      </c>
      <c r="U21" s="180">
        <f>'[2]Summary sheet uValue'!G30</f>
        <v>1.3489169924479476E-2</v>
      </c>
      <c r="V21" s="180">
        <f>'[2]Cap Ex'!H21</f>
        <v>9.8915425769399018E-3</v>
      </c>
      <c r="W21" s="180">
        <f>[2]fundgrEB!D21</f>
        <v>0.6566015328288205</v>
      </c>
      <c r="X21" s="180">
        <f>[2]Fundgr!C21</f>
        <v>0.13814920572691777</v>
      </c>
      <c r="Y21" s="180">
        <f>'[2]Dividend fundamentals'!E21</f>
        <v>0.52194735385474622</v>
      </c>
      <c r="Z21" s="180">
        <f>1-[2]Fundgr!D21</f>
        <v>0.52194735385474622</v>
      </c>
      <c r="AA21" s="182">
        <f>[2]Margins!J22</f>
        <v>7.4067576123768242E-2</v>
      </c>
    </row>
    <row r="22" spans="1:27" s="151" customFormat="1" ht="13">
      <c r="A22" s="178" t="str">
        <f>'[2]Master data'!A22</f>
        <v>Computers/Peripherals</v>
      </c>
      <c r="B22" s="179">
        <f>'[2]Master data'!B22</f>
        <v>333</v>
      </c>
      <c r="C22" s="180">
        <f>'[2]Hist Growth'!D22</f>
        <v>4.3304879999999969E-2</v>
      </c>
      <c r="D22" s="180">
        <f>[2]Margins!F23</f>
        <v>0.13717096964949019</v>
      </c>
      <c r="E22" s="180">
        <f>'[2]Return on capital'!H22</f>
        <v>0.20720316942953626</v>
      </c>
      <c r="F22" s="180">
        <f>'[2]Tax rates'!H23</f>
        <v>0.18704179253161829</v>
      </c>
      <c r="G22" s="181">
        <f>[2]Beta!H25</f>
        <v>1.2200041411476166</v>
      </c>
      <c r="H22" s="181">
        <f>[2]Beta!C25</f>
        <v>1.2620051937696362</v>
      </c>
      <c r="I22" s="180">
        <f>[2]WACC!D33</f>
        <v>0.13950801446281696</v>
      </c>
      <c r="J22" s="180">
        <f>[2]optvar!C27</f>
        <v>0.3292446932773343</v>
      </c>
      <c r="K22" s="180">
        <f>[2]WACC!G33</f>
        <v>6.9500000000000006E-2</v>
      </c>
      <c r="L22" s="180">
        <f>'[2]Debt fundamentals'!F22</f>
        <v>0.105922132128553</v>
      </c>
      <c r="M22" s="180">
        <f>[2]WACC!K33</f>
        <v>0.13027651250009889</v>
      </c>
      <c r="N22" s="181">
        <f>'[2]Cap Ex'!J22</f>
        <v>1.7356503868390247</v>
      </c>
      <c r="O22" s="181">
        <f>[2]PS!E22</f>
        <v>2.0056137769058395</v>
      </c>
      <c r="P22" s="181">
        <f>[2]EVEBITDA!D23</f>
        <v>11.199448015099572</v>
      </c>
      <c r="Q22" s="181">
        <f>[2]EVEBITDA!E23</f>
        <v>14.509835707476681</v>
      </c>
      <c r="R22" s="181">
        <f>[2]PBV!C22</f>
        <v>5.2021822039572259</v>
      </c>
      <c r="S22" s="181">
        <f>[2]PE!E22</f>
        <v>34.159140796002291</v>
      </c>
      <c r="T22" s="180">
        <f>'[2]Working capital'!F22</f>
        <v>3.2155484356610434E-2</v>
      </c>
      <c r="U22" s="180">
        <f>'[2]Summary sheet uValue'!G31</f>
        <v>4.3997628967966884E-2</v>
      </c>
      <c r="V22" s="180">
        <f>'[2]Cap Ex'!H22</f>
        <v>3.2027334541902312E-2</v>
      </c>
      <c r="W22" s="180">
        <f>[2]fundgrEB!D22</f>
        <v>0.48420479578077191</v>
      </c>
      <c r="X22" s="180">
        <f>[2]Fundgr!C22</f>
        <v>0.27940376674380923</v>
      </c>
      <c r="Y22" s="180">
        <f>'[2]Dividend fundamentals'!E22</f>
        <v>0.22650677990976426</v>
      </c>
      <c r="Z22" s="180">
        <f>1-[2]Fundgr!D22</f>
        <v>0.2265067799097642</v>
      </c>
      <c r="AA22" s="182">
        <f>[2]Margins!J23</f>
        <v>0.13869019321666459</v>
      </c>
    </row>
    <row r="23" spans="1:27" s="151" customFormat="1" ht="13">
      <c r="A23" s="178" t="str">
        <f>'[2]Master data'!A23</f>
        <v>Construction Supplies</v>
      </c>
      <c r="B23" s="179">
        <f>'[2]Master data'!B23</f>
        <v>790</v>
      </c>
      <c r="C23" s="180">
        <f>'[2]Hist Growth'!D23</f>
        <v>8.988834162520723E-2</v>
      </c>
      <c r="D23" s="180">
        <f>[2]Margins!F24</f>
        <v>7.9238137222403707E-2</v>
      </c>
      <c r="E23" s="180">
        <f>'[2]Return on capital'!H23</f>
        <v>7.1457740481812526E-2</v>
      </c>
      <c r="F23" s="180">
        <f>'[2]Tax rates'!H24</f>
        <v>0.22086636569910459</v>
      </c>
      <c r="G23" s="181">
        <f>[2]Beta!H26</f>
        <v>0.93727399630888553</v>
      </c>
      <c r="H23" s="181">
        <f>[2]Beta!C26</f>
        <v>1.1168579550772775</v>
      </c>
      <c r="I23" s="180">
        <f>[2]WACC!D34</f>
        <v>0.12792526481516675</v>
      </c>
      <c r="J23" s="180">
        <f>[2]optvar!C28</f>
        <v>0.30150511958275444</v>
      </c>
      <c r="K23" s="180">
        <f>[2]WACC!G34</f>
        <v>6.9500000000000006E-2</v>
      </c>
      <c r="L23" s="180">
        <f>'[2]Debt fundamentals'!F23</f>
        <v>0.31133232518566467</v>
      </c>
      <c r="M23" s="180">
        <f>[2]WACC!K34</f>
        <v>0.1043975961893531</v>
      </c>
      <c r="N23" s="181">
        <f>'[2]Cap Ex'!J23</f>
        <v>1.0671627220556099</v>
      </c>
      <c r="O23" s="181">
        <f>[2]PS!E23</f>
        <v>1.3587154692875165</v>
      </c>
      <c r="P23" s="181">
        <f>[2]EVEBITDA!D24</f>
        <v>10.009606294953084</v>
      </c>
      <c r="Q23" s="181">
        <f>[2]EVEBITDA!E24</f>
        <v>16.066971457506867</v>
      </c>
      <c r="R23" s="181">
        <f>[2]PBV!C23</f>
        <v>1.4169331425544049</v>
      </c>
      <c r="S23" s="181">
        <f>[2]PE!E23</f>
        <v>42.499008672488294</v>
      </c>
      <c r="T23" s="180">
        <f>'[2]Working capital'!F23</f>
        <v>0.18043639079001042</v>
      </c>
      <c r="U23" s="180">
        <f>'[2]Summary sheet uValue'!G32</f>
        <v>5.8090137590028013E-2</v>
      </c>
      <c r="V23" s="180">
        <f>'[2]Cap Ex'!H23</f>
        <v>3.8623609957872958E-2</v>
      </c>
      <c r="W23" s="180">
        <f>[2]fundgrEB!D23</f>
        <v>1.075371172802579</v>
      </c>
      <c r="X23" s="180">
        <f>[2]Fundgr!C23</f>
        <v>8.0922460272459681E-2</v>
      </c>
      <c r="Y23" s="180">
        <f>'[2]Dividend fundamentals'!E23</f>
        <v>0.51446026350372742</v>
      </c>
      <c r="Z23" s="180">
        <f>1-[2]Fundgr!D23</f>
        <v>0.51446026350372742</v>
      </c>
      <c r="AA23" s="182">
        <f>[2]Margins!J24</f>
        <v>7.8728013983956763E-2</v>
      </c>
    </row>
    <row r="24" spans="1:27" s="151" customFormat="1" ht="13">
      <c r="A24" s="178" t="str">
        <f>'[2]Master data'!A24</f>
        <v>Diversified</v>
      </c>
      <c r="B24" s="179">
        <f>'[2]Master data'!B24</f>
        <v>314</v>
      </c>
      <c r="C24" s="180">
        <f>'[2]Hist Growth'!D24</f>
        <v>9.8170408163265194E-2</v>
      </c>
      <c r="D24" s="180">
        <f>[2]Margins!F25</f>
        <v>9.3403961215025449E-2</v>
      </c>
      <c r="E24" s="180">
        <f>'[2]Return on capital'!H24</f>
        <v>6.2952807030606794E-2</v>
      </c>
      <c r="F24" s="180">
        <f>'[2]Tax rates'!H25</f>
        <v>0.1715193352239163</v>
      </c>
      <c r="G24" s="181">
        <f>[2]Beta!H27</f>
        <v>0.73470874506873063</v>
      </c>
      <c r="H24" s="181">
        <f>[2]Beta!C27</f>
        <v>0.9639252546213195</v>
      </c>
      <c r="I24" s="180">
        <f>[2]WACC!D35</f>
        <v>0.1157212353187813</v>
      </c>
      <c r="J24" s="180">
        <f>[2]optvar!C29</f>
        <v>0.27349373371508195</v>
      </c>
      <c r="K24" s="180">
        <f>[2]WACC!G35</f>
        <v>6.9500000000000006E-2</v>
      </c>
      <c r="L24" s="180">
        <f>'[2]Debt fundamentals'!F24</f>
        <v>0.35858198888340026</v>
      </c>
      <c r="M24" s="180">
        <f>[2]WACC!K35</f>
        <v>9.2999011551826355E-2</v>
      </c>
      <c r="N24" s="181">
        <f>'[2]Cap Ex'!J24</f>
        <v>0.7840641464318554</v>
      </c>
      <c r="O24" s="181">
        <f>[2]PS!E24</f>
        <v>1.8829530097500131</v>
      </c>
      <c r="P24" s="181">
        <f>[2]EVEBITDA!D25</f>
        <v>13.155686802482316</v>
      </c>
      <c r="Q24" s="181">
        <f>[2]EVEBITDA!E25</f>
        <v>19.330338827982725</v>
      </c>
      <c r="R24" s="181">
        <f>[2]PBV!C24</f>
        <v>1.2135055453841528</v>
      </c>
      <c r="S24" s="181">
        <f>[2]PE!E24</f>
        <v>19.426843095216764</v>
      </c>
      <c r="T24" s="180">
        <f>'[2]Working capital'!F24</f>
        <v>-0.11650945036047462</v>
      </c>
      <c r="U24" s="180">
        <f>'[2]Summary sheet uValue'!G33</f>
        <v>4.2463043866979938E-2</v>
      </c>
      <c r="V24" s="180">
        <f>'[2]Cap Ex'!H24</f>
        <v>7.6312329361308776E-3</v>
      </c>
      <c r="W24" s="180">
        <f>[2]fundgrEB!D24</f>
        <v>0.49580074819389314</v>
      </c>
      <c r="X24" s="180">
        <f>[2]Fundgr!C24</f>
        <v>5.8112853136737509E-2</v>
      </c>
      <c r="Y24" s="180">
        <f>'[2]Dividend fundamentals'!E24</f>
        <v>0.39840140166419818</v>
      </c>
      <c r="Z24" s="180">
        <f>1-[2]Fundgr!D24</f>
        <v>0.39840140166419813</v>
      </c>
      <c r="AA24" s="182">
        <f>[2]Margins!J25</f>
        <v>9.2864484379383411E-2</v>
      </c>
    </row>
    <row r="25" spans="1:27" s="151" customFormat="1" ht="13">
      <c r="A25" s="178" t="str">
        <f>'[2]Master data'!A25</f>
        <v>Drugs (Biotechnology)</v>
      </c>
      <c r="B25" s="179">
        <f>'[2]Master data'!B25</f>
        <v>1267</v>
      </c>
      <c r="C25" s="180">
        <f>'[2]Hist Growth'!D25</f>
        <v>0.26030372043010735</v>
      </c>
      <c r="D25" s="180">
        <f>[2]Margins!F26</f>
        <v>8.2283347542430024E-2</v>
      </c>
      <c r="E25" s="180">
        <f>'[2]Return on capital'!H25</f>
        <v>4.6526913392921442E-2</v>
      </c>
      <c r="F25" s="180">
        <f>'[2]Tax rates'!H26</f>
        <v>0.14795873564922327</v>
      </c>
      <c r="G25" s="181">
        <f>[2]Beta!H28</f>
        <v>1.2526532845890637</v>
      </c>
      <c r="H25" s="181">
        <f>[2]Beta!C28</f>
        <v>1.268267613064147</v>
      </c>
      <c r="I25" s="180">
        <f>[2]WACC!D36</f>
        <v>0.14000775552251893</v>
      </c>
      <c r="J25" s="180">
        <f>[2]optvar!C30</f>
        <v>0.51694194640882407</v>
      </c>
      <c r="K25" s="180">
        <f>[2]WACC!G36</f>
        <v>7.3300000000000004E-2</v>
      </c>
      <c r="L25" s="180">
        <f>'[2]Debt fundamentals'!F25</f>
        <v>0.1139572454338612</v>
      </c>
      <c r="M25" s="180">
        <f>[2]WACC!K36</f>
        <v>0.13034522204961971</v>
      </c>
      <c r="N25" s="181">
        <f>'[2]Cap Ex'!J25</f>
        <v>0.45983261646900347</v>
      </c>
      <c r="O25" s="181">
        <f>[2]PS!E25</f>
        <v>6.5588146508950045</v>
      </c>
      <c r="P25" s="181">
        <f>[2]EVEBITDA!D26</f>
        <v>12.966365172864815</v>
      </c>
      <c r="Q25" s="181">
        <f>[2]EVEBITDA!E26</f>
        <v>61.864204347414478</v>
      </c>
      <c r="R25" s="181">
        <f>[2]PBV!C25</f>
        <v>5.0769214630631092</v>
      </c>
      <c r="S25" s="181">
        <f>[2]PE!E25</f>
        <v>126.61097345829106</v>
      </c>
      <c r="T25" s="180">
        <f>'[2]Working capital'!F25</f>
        <v>0.18476756001476305</v>
      </c>
      <c r="U25" s="180">
        <f>'[2]Summary sheet uValue'!G34</f>
        <v>5.5489500531842963E-2</v>
      </c>
      <c r="V25" s="180">
        <f>'[2]Cap Ex'!H25</f>
        <v>2.8951510522702298E-2</v>
      </c>
      <c r="W25" s="180">
        <f>[2]fundgrEB!D25</f>
        <v>1.8806559490214771</v>
      </c>
      <c r="X25" s="180">
        <f>[2]Fundgr!C25</f>
        <v>-1.0637065540967156E-2</v>
      </c>
      <c r="Y25" s="180">
        <f>'[2]Dividend fundamentals'!E25</f>
        <v>2.2318145787477788E-3</v>
      </c>
      <c r="Z25" s="180">
        <f>1-[2]Fundgr!D25</f>
        <v>2.2318145787477706E-3</v>
      </c>
      <c r="AA25" s="182">
        <f>[2]Margins!J26</f>
        <v>0.1031871099641556</v>
      </c>
    </row>
    <row r="26" spans="1:27" s="151" customFormat="1" ht="13">
      <c r="A26" s="178" t="str">
        <f>'[2]Master data'!A26</f>
        <v>Drugs (Pharmaceutical)</v>
      </c>
      <c r="B26" s="179">
        <f>'[2]Master data'!B26</f>
        <v>1352</v>
      </c>
      <c r="C26" s="180">
        <f>'[2]Hist Growth'!D26</f>
        <v>0.17139170469798656</v>
      </c>
      <c r="D26" s="180">
        <f>[2]Margins!F27</f>
        <v>0.21497248584763778</v>
      </c>
      <c r="E26" s="180">
        <f>'[2]Return on capital'!H26</f>
        <v>0.13957128286220502</v>
      </c>
      <c r="F26" s="180">
        <f>'[2]Tax rates'!H27</f>
        <v>0.14063075584878457</v>
      </c>
      <c r="G26" s="181">
        <f>[2]Beta!H29</f>
        <v>0.99546354279818405</v>
      </c>
      <c r="H26" s="181">
        <f>[2]Beta!C29</f>
        <v>1.0635869533243638</v>
      </c>
      <c r="I26" s="180">
        <f>[2]WACC!D37</f>
        <v>0.12367423887528423</v>
      </c>
      <c r="J26" s="180">
        <f>[2]optvar!C31</f>
        <v>0.44281720798926644</v>
      </c>
      <c r="K26" s="180">
        <f>[2]WACC!G37</f>
        <v>6.9500000000000006E-2</v>
      </c>
      <c r="L26" s="180">
        <f>'[2]Debt fundamentals'!F26</f>
        <v>0.13152916490130936</v>
      </c>
      <c r="M26" s="180">
        <f>[2]WACC!K37</f>
        <v>0.11429359345066391</v>
      </c>
      <c r="N26" s="181">
        <f>'[2]Cap Ex'!J26</f>
        <v>0.71487767283195569</v>
      </c>
      <c r="O26" s="181">
        <f>[2]PS!E26</f>
        <v>3.9802709254480027</v>
      </c>
      <c r="P26" s="181">
        <f>[2]EVEBITDA!D27</f>
        <v>12.690853000619033</v>
      </c>
      <c r="Q26" s="181">
        <f>[2]EVEBITDA!E27</f>
        <v>17.540563493912831</v>
      </c>
      <c r="R26" s="181">
        <f>[2]PBV!C26</f>
        <v>3.8038786986767983</v>
      </c>
      <c r="S26" s="181">
        <f>[2]PE!E26</f>
        <v>128.87688628734568</v>
      </c>
      <c r="T26" s="180">
        <f>'[2]Working capital'!F26</f>
        <v>0.14897338338600832</v>
      </c>
      <c r="U26" s="180">
        <f>'[2]Summary sheet uValue'!G35</f>
        <v>4.6616068018540166E-2</v>
      </c>
      <c r="V26" s="180">
        <f>'[2]Cap Ex'!H26</f>
        <v>2.0118063231931719E-2</v>
      </c>
      <c r="W26" s="180">
        <f>[2]fundgrEB!D26</f>
        <v>0.22118800607153283</v>
      </c>
      <c r="X26" s="180">
        <f>[2]Fundgr!C26</f>
        <v>0.16122384369938733</v>
      </c>
      <c r="Y26" s="180">
        <f>'[2]Dividend fundamentals'!E26</f>
        <v>0.50405839541139608</v>
      </c>
      <c r="Z26" s="180">
        <f>1-[2]Fundgr!D26</f>
        <v>0.50405839541139608</v>
      </c>
      <c r="AA26" s="182">
        <f>[2]Margins!J27</f>
        <v>0.21693380846895721</v>
      </c>
    </row>
    <row r="27" spans="1:27" s="151" customFormat="1" ht="13">
      <c r="A27" s="178" t="str">
        <f>'[2]Master data'!A27</f>
        <v>Education</v>
      </c>
      <c r="B27" s="179">
        <f>'[2]Master data'!B27</f>
        <v>251</v>
      </c>
      <c r="C27" s="180">
        <f>'[2]Hist Growth'!D27</f>
        <v>7.2462666666666703E-2</v>
      </c>
      <c r="D27" s="180">
        <f>[2]Margins!F28</f>
        <v>8.5232409536615497E-2</v>
      </c>
      <c r="E27" s="180">
        <f>'[2]Return on capital'!H27</f>
        <v>6.2603191520413867E-2</v>
      </c>
      <c r="F27" s="180">
        <f>'[2]Tax rates'!H28</f>
        <v>0.2024249848906487</v>
      </c>
      <c r="G27" s="181">
        <f>[2]Beta!H30</f>
        <v>0.79172170997592162</v>
      </c>
      <c r="H27" s="181">
        <f>[2]Beta!C30</f>
        <v>0.87876725882387718</v>
      </c>
      <c r="I27" s="180">
        <f>[2]WACC!D38</f>
        <v>0.1089256272541454</v>
      </c>
      <c r="J27" s="180">
        <f>[2]optvar!C32</f>
        <v>0.34117555150021905</v>
      </c>
      <c r="K27" s="180">
        <f>[2]WACC!G38</f>
        <v>6.9500000000000006E-2</v>
      </c>
      <c r="L27" s="180">
        <f>'[2]Debt fundamentals'!F27</f>
        <v>0.24741750017757028</v>
      </c>
      <c r="M27" s="180">
        <f>[2]WACC!K38</f>
        <v>9.4928903254072494E-2</v>
      </c>
      <c r="N27" s="181">
        <f>'[2]Cap Ex'!J27</f>
        <v>0.85141497410935729</v>
      </c>
      <c r="O27" s="181">
        <f>[2]PS!E27</f>
        <v>2.3696146946244649</v>
      </c>
      <c r="P27" s="181">
        <f>[2]EVEBITDA!D28</f>
        <v>10.001464516545653</v>
      </c>
      <c r="Q27" s="181">
        <f>[2]EVEBITDA!E28</f>
        <v>21.79913089310736</v>
      </c>
      <c r="R27" s="181">
        <f>[2]PBV!C27</f>
        <v>1.8555344291477101</v>
      </c>
      <c r="S27" s="181">
        <f>[2]PE!E27</f>
        <v>179.05357682042421</v>
      </c>
      <c r="T27" s="180">
        <f>'[2]Working capital'!F27</f>
        <v>7.3828679958868092E-3</v>
      </c>
      <c r="U27" s="180">
        <f>'[2]Summary sheet uValue'!G36</f>
        <v>7.2712302169298734E-2</v>
      </c>
      <c r="V27" s="180">
        <f>'[2]Cap Ex'!H27</f>
        <v>9.4070086977542544E-2</v>
      </c>
      <c r="W27" s="180">
        <f>[2]fundgrEB!D27</f>
        <v>1.9475349905213291</v>
      </c>
      <c r="X27" s="180">
        <f>[2]Fundgr!C27</f>
        <v>3.679776661145092E-2</v>
      </c>
      <c r="Y27" s="180">
        <f>'[2]Dividend fundamentals'!E27</f>
        <v>0.71826245482073359</v>
      </c>
      <c r="Z27" s="180">
        <f>1-[2]Fundgr!D27</f>
        <v>0.71826245482073359</v>
      </c>
      <c r="AA27" s="182">
        <f>[2]Margins!J28</f>
        <v>8.4808026383120336E-2</v>
      </c>
    </row>
    <row r="28" spans="1:27" s="151" customFormat="1" ht="13">
      <c r="A28" s="178" t="str">
        <f>'[2]Master data'!A28</f>
        <v>Electrical Equipment</v>
      </c>
      <c r="B28" s="179">
        <f>'[2]Master data'!B28</f>
        <v>1045</v>
      </c>
      <c r="C28" s="180">
        <f>'[2]Hist Growth'!D28</f>
        <v>0.12176879483500726</v>
      </c>
      <c r="D28" s="180">
        <f>[2]Margins!F29</f>
        <v>6.6581915586067367E-2</v>
      </c>
      <c r="E28" s="180">
        <f>'[2]Return on capital'!H28</f>
        <v>9.6069628831003812E-2</v>
      </c>
      <c r="F28" s="180">
        <f>'[2]Tax rates'!H29</f>
        <v>0.18113802271357199</v>
      </c>
      <c r="G28" s="181">
        <f>[2]Beta!H31</f>
        <v>1.1023236899495159</v>
      </c>
      <c r="H28" s="181">
        <f>[2]Beta!C31</f>
        <v>1.1360186851537797</v>
      </c>
      <c r="I28" s="180">
        <f>[2]WACC!D39</f>
        <v>0.12945429107527162</v>
      </c>
      <c r="J28" s="180">
        <f>[2]optvar!C33</f>
        <v>0.37245108102966507</v>
      </c>
      <c r="K28" s="180">
        <f>[2]WACC!G39</f>
        <v>6.9500000000000006E-2</v>
      </c>
      <c r="L28" s="180">
        <f>'[2]Debt fundamentals'!F28</f>
        <v>0.14301741508197188</v>
      </c>
      <c r="M28" s="180">
        <f>[2]WACC!K39</f>
        <v>0.11842765679971393</v>
      </c>
      <c r="N28" s="181">
        <f>'[2]Cap Ex'!J28</f>
        <v>1.5879625149016394</v>
      </c>
      <c r="O28" s="181">
        <f>[2]PS!E28</f>
        <v>2.0277017833186979</v>
      </c>
      <c r="P28" s="181">
        <f>[2]EVEBITDA!D29</f>
        <v>16.767282753897025</v>
      </c>
      <c r="Q28" s="181">
        <f>[2]EVEBITDA!E29</f>
        <v>27.675072347786415</v>
      </c>
      <c r="R28" s="181">
        <f>[2]PBV!C28</f>
        <v>2.833909558497774</v>
      </c>
      <c r="S28" s="181">
        <f>[2]PE!E28</f>
        <v>40.84984806066813</v>
      </c>
      <c r="T28" s="180">
        <f>'[2]Working capital'!F28</f>
        <v>0.22452763237582904</v>
      </c>
      <c r="U28" s="180">
        <f>'[2]Summary sheet uValue'!G37</f>
        <v>6.7817033533334778E-2</v>
      </c>
      <c r="V28" s="180">
        <f>'[2]Cap Ex'!H28</f>
        <v>6.501200066309834E-2</v>
      </c>
      <c r="W28" s="180">
        <f>[2]fundgrEB!D28</f>
        <v>2.0550213941805726</v>
      </c>
      <c r="X28" s="180">
        <f>[2]Fundgr!C28</f>
        <v>9.0067755168144137E-2</v>
      </c>
      <c r="Y28" s="180">
        <f>'[2]Dividend fundamentals'!E28</f>
        <v>0.44354143830219317</v>
      </c>
      <c r="Z28" s="180">
        <f>1-[2]Fundgr!D28</f>
        <v>0.44354143830219317</v>
      </c>
      <c r="AA28" s="182">
        <f>[2]Margins!J29</f>
        <v>6.8354825796984889E-2</v>
      </c>
    </row>
    <row r="29" spans="1:27" s="151" customFormat="1" ht="13">
      <c r="A29" s="178" t="str">
        <f>'[2]Master data'!A29</f>
        <v>Electronics (Consumer &amp; Office)</v>
      </c>
      <c r="B29" s="179">
        <f>'[2]Master data'!B29</f>
        <v>134</v>
      </c>
      <c r="C29" s="180">
        <f>'[2]Hist Growth'!D29</f>
        <v>2.8733333333333326E-2</v>
      </c>
      <c r="D29" s="180">
        <f>[2]Margins!F30</f>
        <v>5.1856753090923656E-2</v>
      </c>
      <c r="E29" s="180">
        <f>'[2]Return on capital'!H29</f>
        <v>6.0197219290322748E-2</v>
      </c>
      <c r="F29" s="180">
        <f>'[2]Tax rates'!H30</f>
        <v>0.21975619593622803</v>
      </c>
      <c r="G29" s="181">
        <f>[2]Beta!H32</f>
        <v>1.0955088212486108</v>
      </c>
      <c r="H29" s="181">
        <f>[2]Beta!C32</f>
        <v>1.2725160060597946</v>
      </c>
      <c r="I29" s="180">
        <f>[2]WACC!D40</f>
        <v>0.14034677728357159</v>
      </c>
      <c r="J29" s="180">
        <f>[2]optvar!C34</f>
        <v>0.34632531120576865</v>
      </c>
      <c r="K29" s="180">
        <f>[2]WACC!G40</f>
        <v>6.9500000000000006E-2</v>
      </c>
      <c r="L29" s="180">
        <f>'[2]Debt fundamentals'!F29</f>
        <v>0.30715094709946367</v>
      </c>
      <c r="M29" s="180">
        <f>[2]WACC!K40</f>
        <v>0.11331981990584189</v>
      </c>
      <c r="N29" s="181">
        <f>'[2]Cap Ex'!J29</f>
        <v>1.288634554510691</v>
      </c>
      <c r="O29" s="181">
        <f>[2]PS!E29</f>
        <v>0.80368322443778739</v>
      </c>
      <c r="P29" s="181">
        <f>[2]EVEBITDA!D30</f>
        <v>7.497978347029389</v>
      </c>
      <c r="Q29" s="181">
        <f>[2]EVEBITDA!E30</f>
        <v>14.970393372901015</v>
      </c>
      <c r="R29" s="181">
        <f>[2]PBV!C29</f>
        <v>1.2983108781883297</v>
      </c>
      <c r="S29" s="181">
        <f>[2]PE!E29</f>
        <v>52.425310221176993</v>
      </c>
      <c r="T29" s="180">
        <f>'[2]Working capital'!F29</f>
        <v>5.5377331814515686E-2</v>
      </c>
      <c r="U29" s="180">
        <f>'[2]Summary sheet uValue'!G38</f>
        <v>5.1123632718818701E-2</v>
      </c>
      <c r="V29" s="180">
        <f>'[2]Cap Ex'!H29</f>
        <v>3.5786919353448146E-2</v>
      </c>
      <c r="W29" s="180">
        <f>[2]fundgrEB!D29</f>
        <v>1.6572731380834365</v>
      </c>
      <c r="X29" s="180">
        <f>[2]Fundgr!C29</f>
        <v>7.8509104048175279E-2</v>
      </c>
      <c r="Y29" s="180">
        <f>'[2]Dividend fundamentals'!E29</f>
        <v>0.30310692992960891</v>
      </c>
      <c r="Z29" s="180">
        <f>1-[2]Fundgr!D29</f>
        <v>0.30310692992960897</v>
      </c>
      <c r="AA29" s="182">
        <f>[2]Margins!J30</f>
        <v>5.323691462491336E-2</v>
      </c>
    </row>
    <row r="30" spans="1:27" s="151" customFormat="1" ht="13">
      <c r="A30" s="178" t="str">
        <f>'[2]Master data'!A30</f>
        <v>Electronics (General)</v>
      </c>
      <c r="B30" s="179">
        <f>'[2]Master data'!B30</f>
        <v>1457</v>
      </c>
      <c r="C30" s="180">
        <f>'[2]Hist Growth'!D30</f>
        <v>7.440767161410021E-2</v>
      </c>
      <c r="D30" s="180">
        <f>[2]Margins!F31</f>
        <v>6.9719039704346605E-2</v>
      </c>
      <c r="E30" s="180">
        <f>'[2]Return on capital'!H30</f>
        <v>8.7206934187178925E-2</v>
      </c>
      <c r="F30" s="180">
        <f>'[2]Tax rates'!H31</f>
        <v>0.19110084825797172</v>
      </c>
      <c r="G30" s="181">
        <f>[2]Beta!H33</f>
        <v>1.2905124151341338</v>
      </c>
      <c r="H30" s="181">
        <f>[2]Beta!C33</f>
        <v>1.2955238162109064</v>
      </c>
      <c r="I30" s="180">
        <f>[2]WACC!D41</f>
        <v>0.14218280053363033</v>
      </c>
      <c r="J30" s="180">
        <f>[2]optvar!C35</f>
        <v>0.33176265991369114</v>
      </c>
      <c r="K30" s="180">
        <f>[2]WACC!G41</f>
        <v>6.9500000000000006E-2</v>
      </c>
      <c r="L30" s="180">
        <f>'[2]Debt fundamentals'!F30</f>
        <v>0.16342124700338245</v>
      </c>
      <c r="M30" s="180">
        <f>[2]WACC!K41</f>
        <v>0.12750292313104281</v>
      </c>
      <c r="N30" s="181">
        <f>'[2]Cap Ex'!J30</f>
        <v>1.4384315985614258</v>
      </c>
      <c r="O30" s="181">
        <f>[2]PS!E30</f>
        <v>1.3776033874896974</v>
      </c>
      <c r="P30" s="181">
        <f>[2]EVEBITDA!D31</f>
        <v>11.273965737803852</v>
      </c>
      <c r="Q30" s="181">
        <f>[2]EVEBITDA!E31</f>
        <v>18.870401996910637</v>
      </c>
      <c r="R30" s="181">
        <f>[2]PBV!C30</f>
        <v>2.1250670536108807</v>
      </c>
      <c r="S30" s="181">
        <f>[2]PE!E30</f>
        <v>84.528011171204724</v>
      </c>
      <c r="T30" s="180">
        <f>'[2]Working capital'!F30</f>
        <v>0.20074499185210051</v>
      </c>
      <c r="U30" s="180">
        <f>'[2]Summary sheet uValue'!G39</f>
        <v>6.1756662263336107E-2</v>
      </c>
      <c r="V30" s="180">
        <f>'[2]Cap Ex'!H30</f>
        <v>4.9651604052128297E-2</v>
      </c>
      <c r="W30" s="180">
        <f>[2]fundgrEB!D30</f>
        <v>1.6115539785648181</v>
      </c>
      <c r="X30" s="180">
        <f>[2]Fundgr!C30</f>
        <v>9.5623518017835266E-2</v>
      </c>
      <c r="Y30" s="180">
        <f>'[2]Dividend fundamentals'!E30</f>
        <v>0.39313439546655421</v>
      </c>
      <c r="Z30" s="180">
        <f>1-[2]Fundgr!D30</f>
        <v>0.39313439546655427</v>
      </c>
      <c r="AA30" s="182">
        <f>[2]Margins!J31</f>
        <v>6.9325465814361706E-2</v>
      </c>
    </row>
    <row r="31" spans="1:27" s="151" customFormat="1" ht="13">
      <c r="A31" s="178" t="str">
        <f>'[2]Master data'!A31</f>
        <v>Engineering/Construction</v>
      </c>
      <c r="B31" s="179">
        <f>'[2]Master data'!B31</f>
        <v>1269</v>
      </c>
      <c r="C31" s="180">
        <f>'[2]Hist Growth'!D31</f>
        <v>7.8894370546318357E-2</v>
      </c>
      <c r="D31" s="180">
        <f>[2]Margins!F32</f>
        <v>4.8271950394670499E-2</v>
      </c>
      <c r="E31" s="180">
        <f>'[2]Return on capital'!H31</f>
        <v>7.3014665776993379E-2</v>
      </c>
      <c r="F31" s="180">
        <f>'[2]Tax rates'!H32</f>
        <v>0.22469302350152401</v>
      </c>
      <c r="G31" s="181">
        <f>[2]Beta!H34</f>
        <v>0.73013745206540159</v>
      </c>
      <c r="H31" s="181">
        <f>[2]Beta!C34</f>
        <v>1.0295667164846354</v>
      </c>
      <c r="I31" s="180">
        <f>[2]WACC!D42</f>
        <v>0.12095942397547391</v>
      </c>
      <c r="J31" s="180">
        <f>[2]optvar!C36</f>
        <v>0.32279385986263293</v>
      </c>
      <c r="K31" s="180">
        <f>[2]WACC!G42</f>
        <v>6.9500000000000006E-2</v>
      </c>
      <c r="L31" s="180">
        <f>'[2]Debt fundamentals'!F31</f>
        <v>0.51038470427563054</v>
      </c>
      <c r="M31" s="180">
        <f>[2]WACC!K42</f>
        <v>8.5944443582693902E-2</v>
      </c>
      <c r="N31" s="181">
        <f>'[2]Cap Ex'!J31</f>
        <v>1.7980446299653665</v>
      </c>
      <c r="O31" s="181">
        <f>[2]PS!E31</f>
        <v>0.59716246513510773</v>
      </c>
      <c r="P31" s="181">
        <f>[2]EVEBITDA!D32</f>
        <v>8.5602218776639774</v>
      </c>
      <c r="Q31" s="181">
        <f>[2]EVEBITDA!E32</f>
        <v>11.84183341894872</v>
      </c>
      <c r="R31" s="181">
        <f>[2]PBV!C31</f>
        <v>0.92438488649154593</v>
      </c>
      <c r="S31" s="181">
        <f>[2]PE!E31</f>
        <v>30.799850738194948</v>
      </c>
      <c r="T31" s="180">
        <f>'[2]Working capital'!F31</f>
        <v>0.15956663775102348</v>
      </c>
      <c r="U31" s="180">
        <f>'[2]Summary sheet uValue'!G40</f>
        <v>3.1913552747535108E-2</v>
      </c>
      <c r="V31" s="180">
        <f>'[2]Cap Ex'!H31</f>
        <v>2.5650645849841693E-2</v>
      </c>
      <c r="W31" s="180">
        <f>[2]fundgrEB!D31</f>
        <v>1.7330707134271515</v>
      </c>
      <c r="X31" s="180">
        <f>[2]Fundgr!C31</f>
        <v>9.1449190767282085E-2</v>
      </c>
      <c r="Y31" s="180">
        <f>'[2]Dividend fundamentals'!E31</f>
        <v>0.59131516172456033</v>
      </c>
      <c r="Z31" s="180">
        <f>1-[2]Fundgr!D31</f>
        <v>0.59131516172456033</v>
      </c>
      <c r="AA31" s="182">
        <f>[2]Margins!J32</f>
        <v>4.8306809979186786E-2</v>
      </c>
    </row>
    <row r="32" spans="1:27" s="151" customFormat="1" ht="13">
      <c r="A32" s="178" t="str">
        <f>'[2]Master data'!A32</f>
        <v>Entertainment</v>
      </c>
      <c r="B32" s="179">
        <f>'[2]Master data'!B32</f>
        <v>752</v>
      </c>
      <c r="C32" s="180">
        <f>'[2]Hist Growth'!D32</f>
        <v>0.10592681498829039</v>
      </c>
      <c r="D32" s="180">
        <f>[2]Margins!F33</f>
        <v>7.9870349681843311E-2</v>
      </c>
      <c r="E32" s="180">
        <f>'[2]Return on capital'!H32</f>
        <v>9.6512626423388009E-2</v>
      </c>
      <c r="F32" s="180">
        <f>'[2]Tax rates'!H33</f>
        <v>0.22879350569990112</v>
      </c>
      <c r="G32" s="181">
        <f>[2]Beta!H35</f>
        <v>1.1016400810257481</v>
      </c>
      <c r="H32" s="181">
        <f>[2]Beta!C35</f>
        <v>1.2013486787553214</v>
      </c>
      <c r="I32" s="180">
        <f>[2]WACC!D43</f>
        <v>0.13466762456467463</v>
      </c>
      <c r="J32" s="180">
        <f>[2]optvar!C37</f>
        <v>0.42673745588286965</v>
      </c>
      <c r="K32" s="180">
        <f>[2]WACC!G43</f>
        <v>6.9500000000000006E-2</v>
      </c>
      <c r="L32" s="180">
        <f>'[2]Debt fundamentals'!F32</f>
        <v>0.20884276813170335</v>
      </c>
      <c r="M32" s="180">
        <f>[2]WACC!K43</f>
        <v>0.11747709245060305</v>
      </c>
      <c r="N32" s="181">
        <f>'[2]Cap Ex'!J32</f>
        <v>1.2759768911988971</v>
      </c>
      <c r="O32" s="181">
        <f>[2]PS!E32</f>
        <v>2.8990443634193923</v>
      </c>
      <c r="P32" s="181">
        <f>[2]EVEBITDA!D33</f>
        <v>16.734255201777739</v>
      </c>
      <c r="Q32" s="181">
        <f>[2]EVEBITDA!E33</f>
        <v>33.753289488727212</v>
      </c>
      <c r="R32" s="181">
        <f>[2]PBV!C32</f>
        <v>2.2420184466493001</v>
      </c>
      <c r="S32" s="181">
        <f>[2]PE!E32</f>
        <v>214.52307445927008</v>
      </c>
      <c r="T32" s="180">
        <f>'[2]Working capital'!F32</f>
        <v>4.1236187325067709E-2</v>
      </c>
      <c r="U32" s="180">
        <f>'[2]Summary sheet uValue'!G41</f>
        <v>3.7769343593673718E-2</v>
      </c>
      <c r="V32" s="180">
        <f>'[2]Cap Ex'!H32</f>
        <v>1.8753776279506335E-2</v>
      </c>
      <c r="W32" s="180">
        <f>[2]fundgrEB!D32</f>
        <v>0.5072249381554339</v>
      </c>
      <c r="X32" s="180">
        <f>[2]Fundgr!C32</f>
        <v>5.3343812988993114E-2</v>
      </c>
      <c r="Y32" s="180">
        <f>'[2]Dividend fundamentals'!E32</f>
        <v>0.36913257422099616</v>
      </c>
      <c r="Z32" s="180">
        <f>1-[2]Fundgr!D32</f>
        <v>0.3691325742209961</v>
      </c>
      <c r="AA32" s="182">
        <f>[2]Margins!J33</f>
        <v>8.2532590737816963E-2</v>
      </c>
    </row>
    <row r="33" spans="1:27" s="151" customFormat="1" ht="13">
      <c r="A33" s="178" t="str">
        <f>'[2]Master data'!A33</f>
        <v>Environmental &amp; Waste Services</v>
      </c>
      <c r="B33" s="179">
        <f>'[2]Master data'!B33</f>
        <v>370</v>
      </c>
      <c r="C33" s="180">
        <f>'[2]Hist Growth'!D33</f>
        <v>8.3761952380952381E-2</v>
      </c>
      <c r="D33" s="180">
        <f>[2]Margins!F34</f>
        <v>0.1067977168535225</v>
      </c>
      <c r="E33" s="180">
        <f>'[2]Return on capital'!H33</f>
        <v>0.10618091123311392</v>
      </c>
      <c r="F33" s="180">
        <f>'[2]Tax rates'!H34</f>
        <v>0.21853416170180501</v>
      </c>
      <c r="G33" s="181">
        <f>[2]Beta!H36</f>
        <v>0.89640526150774003</v>
      </c>
      <c r="H33" s="181">
        <f>[2]Beta!C36</f>
        <v>1.0880867288276126</v>
      </c>
      <c r="I33" s="180">
        <f>[2]WACC!D44</f>
        <v>0.12562932096044349</v>
      </c>
      <c r="J33" s="180">
        <f>[2]optvar!C38</f>
        <v>0.38236707668331305</v>
      </c>
      <c r="K33" s="180">
        <f>[2]WACC!G44</f>
        <v>6.9500000000000006E-2</v>
      </c>
      <c r="L33" s="180">
        <f>'[2]Debt fundamentals'!F33</f>
        <v>0.27226072626110814</v>
      </c>
      <c r="M33" s="180">
        <f>[2]WACC!K44</f>
        <v>0.10567942414999154</v>
      </c>
      <c r="N33" s="181">
        <f>'[2]Cap Ex'!J33</f>
        <v>1.1302069098777168</v>
      </c>
      <c r="O33" s="181">
        <f>[2]PS!E33</f>
        <v>2.6398509115640278</v>
      </c>
      <c r="P33" s="181">
        <f>[2]EVEBITDA!D34</f>
        <v>13.452443116927057</v>
      </c>
      <c r="Q33" s="181">
        <f>[2]EVEBITDA!E34</f>
        <v>23.234878408858599</v>
      </c>
      <c r="R33" s="181">
        <f>[2]PBV!C33</f>
        <v>2.8428385265315317</v>
      </c>
      <c r="S33" s="181">
        <f>[2]PE!E33</f>
        <v>42.624997180350128</v>
      </c>
      <c r="T33" s="180">
        <f>'[2]Working capital'!F33</f>
        <v>0.13276798839253917</v>
      </c>
      <c r="U33" s="180">
        <f>'[2]Summary sheet uValue'!G42</f>
        <v>8.4562068190636414E-2</v>
      </c>
      <c r="V33" s="180">
        <f>'[2]Cap Ex'!H33</f>
        <v>8.77448543218802E-2</v>
      </c>
      <c r="W33" s="180">
        <f>[2]fundgrEB!D33</f>
        <v>1.6514979421321525</v>
      </c>
      <c r="X33" s="180">
        <f>[2]Fundgr!C33</f>
        <v>9.1371725037155543E-2</v>
      </c>
      <c r="Y33" s="180">
        <f>'[2]Dividend fundamentals'!E33</f>
        <v>0.55849304447529791</v>
      </c>
      <c r="Z33" s="180">
        <f>1-[2]Fundgr!D33</f>
        <v>0.55849304447529791</v>
      </c>
      <c r="AA33" s="182">
        <f>[2]Margins!J34</f>
        <v>0.1076269103567748</v>
      </c>
    </row>
    <row r="34" spans="1:27" s="151" customFormat="1" ht="13">
      <c r="A34" s="178" t="str">
        <f>'[2]Master data'!A34</f>
        <v>Farming/Agriculture</v>
      </c>
      <c r="B34" s="179">
        <f>'[2]Master data'!B34</f>
        <v>426</v>
      </c>
      <c r="C34" s="180">
        <f>'[2]Hist Growth'!D34</f>
        <v>0.1273559602649007</v>
      </c>
      <c r="D34" s="180">
        <f>[2]Margins!F35</f>
        <v>7.4276728290765592E-2</v>
      </c>
      <c r="E34" s="180">
        <f>'[2]Return on capital'!H34</f>
        <v>0.10276535855905174</v>
      </c>
      <c r="F34" s="180">
        <f>'[2]Tax rates'!H35</f>
        <v>0.20630778097962557</v>
      </c>
      <c r="G34" s="181">
        <f>[2]Beta!H37</f>
        <v>0.65968878267504505</v>
      </c>
      <c r="H34" s="181">
        <f>[2]Beta!C37</f>
        <v>0.84191689518664237</v>
      </c>
      <c r="I34" s="180">
        <f>[2]WACC!D45</f>
        <v>0.10598496823589405</v>
      </c>
      <c r="J34" s="180">
        <f>[2]optvar!C39</f>
        <v>0.34158621718358206</v>
      </c>
      <c r="K34" s="180">
        <f>[2]WACC!G45</f>
        <v>6.9500000000000006E-2</v>
      </c>
      <c r="L34" s="180">
        <f>'[2]Debt fundamentals'!F34</f>
        <v>0.31714825367380384</v>
      </c>
      <c r="M34" s="180">
        <f>[2]WACC!K45</f>
        <v>8.8976111318933793E-2</v>
      </c>
      <c r="N34" s="181">
        <f>'[2]Cap Ex'!J34</f>
        <v>1.5664988491796712</v>
      </c>
      <c r="O34" s="181">
        <f>[2]PS!E34</f>
        <v>1.1363326568143441</v>
      </c>
      <c r="P34" s="181">
        <f>[2]EVEBITDA!D35</f>
        <v>10.531883443049173</v>
      </c>
      <c r="Q34" s="181">
        <f>[2]EVEBITDA!E35</f>
        <v>14.629414005607046</v>
      </c>
      <c r="R34" s="181">
        <f>[2]PBV!C34</f>
        <v>2.1504493343657427</v>
      </c>
      <c r="S34" s="181">
        <f>[2]PE!E34</f>
        <v>41.537477508611232</v>
      </c>
      <c r="T34" s="180">
        <f>'[2]Working capital'!F34</f>
        <v>0.16352430082262925</v>
      </c>
      <c r="U34" s="180">
        <f>'[2]Summary sheet uValue'!G43</f>
        <v>4.2599519305417305E-2</v>
      </c>
      <c r="V34" s="180">
        <f>'[2]Cap Ex'!H34</f>
        <v>3.452772940859547E-2</v>
      </c>
      <c r="W34" s="180">
        <f>[2]fundgrEB!D34</f>
        <v>1.3044537684733635</v>
      </c>
      <c r="X34" s="180">
        <f>[2]Fundgr!C34</f>
        <v>0.14362550060321239</v>
      </c>
      <c r="Y34" s="180">
        <f>'[2]Dividend fundamentals'!E34</f>
        <v>0.32007015569173347</v>
      </c>
      <c r="Z34" s="180">
        <f>1-[2]Fundgr!D34</f>
        <v>0.32007015569173347</v>
      </c>
      <c r="AA34" s="182">
        <f>[2]Margins!J35</f>
        <v>7.5083908473903282E-2</v>
      </c>
    </row>
    <row r="35" spans="1:27" s="151" customFormat="1" ht="13">
      <c r="A35" s="178" t="str">
        <f>'[2]Master data'!A35</f>
        <v>Financial Svcs. (Non-bank &amp; Insurance)</v>
      </c>
      <c r="B35" s="179">
        <f>'[2]Master data'!B35</f>
        <v>1089</v>
      </c>
      <c r="C35" s="180">
        <f>'[2]Hist Growth'!D35</f>
        <v>0.104697216066482</v>
      </c>
      <c r="D35" s="180">
        <f>[2]Margins!F36</f>
        <v>0.10651653844559901</v>
      </c>
      <c r="E35" s="180">
        <f>'[2]Return on capital'!H35</f>
        <v>5.9327452725637733E-3</v>
      </c>
      <c r="F35" s="180">
        <f>'[2]Tax rates'!H36</f>
        <v>0.21700378492815886</v>
      </c>
      <c r="G35" s="181">
        <f>[2]Beta!H38</f>
        <v>0.15539901285715607</v>
      </c>
      <c r="H35" s="181">
        <f>[2]Beta!C38</f>
        <v>0.88179367642992346</v>
      </c>
      <c r="I35" s="180">
        <f>[2]WACC!D46</f>
        <v>0.1091671353791079</v>
      </c>
      <c r="J35" s="180">
        <f>[2]optvar!C40</f>
        <v>0.33123687849243361</v>
      </c>
      <c r="K35" s="180">
        <f>[2]WACC!G46</f>
        <v>6.9500000000000006E-2</v>
      </c>
      <c r="L35" s="180">
        <f>'[2]Debt fundamentals'!F35</f>
        <v>0.8719326375242562</v>
      </c>
      <c r="M35" s="180">
        <f>[2]WACC!K46</f>
        <v>5.9630213578402848E-2</v>
      </c>
      <c r="N35" s="181">
        <f>'[2]Cap Ex'!J35</f>
        <v>6.4711238201554208E-2</v>
      </c>
      <c r="O35" s="181">
        <f>[2]PS!E35</f>
        <v>16.535097333814399</v>
      </c>
      <c r="P35" s="181">
        <f>[2]EVEBITDA!D36</f>
        <v>63.304970355623297</v>
      </c>
      <c r="Q35" s="181">
        <f>[2]EVEBITDA!E36</f>
        <v>74.383314735904918</v>
      </c>
      <c r="R35" s="181">
        <f>[2]PBV!C35</f>
        <v>1.2380098214278055</v>
      </c>
      <c r="S35" s="181">
        <f>[2]PE!E35</f>
        <v>153.15694290299754</v>
      </c>
      <c r="T35" s="180" t="str">
        <f>'[2]Working capital'!F35</f>
        <v>NA</v>
      </c>
      <c r="U35" s="180">
        <f>'[2]Summary sheet uValue'!G44</f>
        <v>4.450338862807543E-2</v>
      </c>
      <c r="V35" s="180">
        <f>'[2]Cap Ex'!H35</f>
        <v>4.1852132738418361E-2</v>
      </c>
      <c r="W35" s="180">
        <f>[2]fundgrEB!D35</f>
        <v>0.49278863336413131</v>
      </c>
      <c r="X35" s="180">
        <f>[2]Fundgr!C35</f>
        <v>0.14209285342615216</v>
      </c>
      <c r="Y35" s="180">
        <f>'[2]Dividend fundamentals'!E35</f>
        <v>0.22864298056819313</v>
      </c>
      <c r="Z35" s="180">
        <f>1-[2]Fundgr!D35</f>
        <v>0.2286429805681931</v>
      </c>
      <c r="AA35" s="182">
        <f>[2]Margins!J36</f>
        <v>0.1082415050730236</v>
      </c>
    </row>
    <row r="36" spans="1:27" s="151" customFormat="1" ht="13">
      <c r="A36" s="178" t="str">
        <f>'[2]Master data'!A36</f>
        <v>Food Processing</v>
      </c>
      <c r="B36" s="179">
        <f>'[2]Master data'!B36</f>
        <v>1397</v>
      </c>
      <c r="C36" s="180">
        <f>'[2]Hist Growth'!D36</f>
        <v>9.7076004119464404E-2</v>
      </c>
      <c r="D36" s="180">
        <f>[2]Margins!F37</f>
        <v>8.3213972000600517E-2</v>
      </c>
      <c r="E36" s="180">
        <f>'[2]Return on capital'!H36</f>
        <v>0.1178757677853427</v>
      </c>
      <c r="F36" s="180">
        <f>'[2]Tax rates'!H37</f>
        <v>0.20488868426604323</v>
      </c>
      <c r="G36" s="181">
        <f>[2]Beta!H39</f>
        <v>0.69180804648805327</v>
      </c>
      <c r="H36" s="181">
        <f>[2]Beta!C39</f>
        <v>0.79603809344606158</v>
      </c>
      <c r="I36" s="180">
        <f>[2]WACC!D47</f>
        <v>0.10232383985699571</v>
      </c>
      <c r="J36" s="180">
        <f>[2]optvar!C41</f>
        <v>0.29170887891196889</v>
      </c>
      <c r="K36" s="180">
        <f>[2]WACC!G47</f>
        <v>6.9500000000000006E-2</v>
      </c>
      <c r="L36" s="180">
        <f>'[2]Debt fundamentals'!F36</f>
        <v>0.22476528833524001</v>
      </c>
      <c r="M36" s="180">
        <f>[2]WACC!K47</f>
        <v>9.1092433061323225E-2</v>
      </c>
      <c r="N36" s="181">
        <f>'[2]Cap Ex'!J36</f>
        <v>1.6660267682211776</v>
      </c>
      <c r="O36" s="181">
        <f>[2]PS!E36</f>
        <v>1.5542804803457522</v>
      </c>
      <c r="P36" s="181">
        <f>[2]EVEBITDA!D37</f>
        <v>13.042858477382078</v>
      </c>
      <c r="Q36" s="181">
        <f>[2]EVEBITDA!E37</f>
        <v>18.28801310021742</v>
      </c>
      <c r="R36" s="181">
        <f>[2]PBV!C36</f>
        <v>2.4990667838755436</v>
      </c>
      <c r="S36" s="181">
        <f>[2]PE!E36</f>
        <v>45.071976673902732</v>
      </c>
      <c r="T36" s="180">
        <f>'[2]Working capital'!F36</f>
        <v>0.10811631257226161</v>
      </c>
      <c r="U36" s="180">
        <f>'[2]Summary sheet uValue'!G45</f>
        <v>4.5122297393227907E-2</v>
      </c>
      <c r="V36" s="180">
        <f>'[2]Cap Ex'!H36</f>
        <v>3.3295072764184648E-2</v>
      </c>
      <c r="W36" s="180">
        <f>[2]fundgrEB!D36</f>
        <v>0.79410782944645997</v>
      </c>
      <c r="X36" s="180">
        <f>[2]Fundgr!C36</f>
        <v>0.11636452300326208</v>
      </c>
      <c r="Y36" s="180">
        <f>'[2]Dividend fundamentals'!E36</f>
        <v>0.51559701498212285</v>
      </c>
      <c r="Z36" s="180">
        <f>1-[2]Fundgr!D36</f>
        <v>0.51559701498212285</v>
      </c>
      <c r="AA36" s="182">
        <f>[2]Margins!J37</f>
        <v>8.3445314652687952E-2</v>
      </c>
    </row>
    <row r="37" spans="1:27" s="151" customFormat="1" ht="13">
      <c r="A37" s="178" t="str">
        <f>'[2]Master data'!A37</f>
        <v>Food Wholesalers</v>
      </c>
      <c r="B37" s="179">
        <f>'[2]Master data'!B37</f>
        <v>169</v>
      </c>
      <c r="C37" s="180">
        <f>'[2]Hist Growth'!D37</f>
        <v>6.2875454545454554E-2</v>
      </c>
      <c r="D37" s="180">
        <f>[2]Margins!F38</f>
        <v>2.5794362646047259E-2</v>
      </c>
      <c r="E37" s="180">
        <f>'[2]Return on capital'!H37</f>
        <v>0.11488938343353311</v>
      </c>
      <c r="F37" s="180">
        <f>'[2]Tax rates'!H38</f>
        <v>0.23204263164290403</v>
      </c>
      <c r="G37" s="181">
        <f>[2]Beta!H40</f>
        <v>0.48470614104865478</v>
      </c>
      <c r="H37" s="181">
        <f>[2]Beta!C40</f>
        <v>0.68839747956966135</v>
      </c>
      <c r="I37" s="180">
        <f>[2]WACC!D48</f>
        <v>9.3734118869658975E-2</v>
      </c>
      <c r="J37" s="180">
        <f>[2]optvar!C42</f>
        <v>0.31458186609200384</v>
      </c>
      <c r="K37" s="180">
        <f>[2]WACC!G48</f>
        <v>6.9500000000000006E-2</v>
      </c>
      <c r="L37" s="180">
        <f>'[2]Debt fundamentals'!F37</f>
        <v>0.40467275546799308</v>
      </c>
      <c r="M37" s="180">
        <f>[2]WACC!K48</f>
        <v>7.6988853780545402E-2</v>
      </c>
      <c r="N37" s="181">
        <f>'[2]Cap Ex'!J37</f>
        <v>5.3695862056734871</v>
      </c>
      <c r="O37" s="181">
        <f>[2]PS!E37</f>
        <v>0.44390287260227929</v>
      </c>
      <c r="P37" s="181">
        <f>[2]EVEBITDA!D38</f>
        <v>10.933264747622454</v>
      </c>
      <c r="Q37" s="181">
        <f>[2]EVEBITDA!E38</f>
        <v>17.076573138249429</v>
      </c>
      <c r="R37" s="181">
        <f>[2]PBV!C37</f>
        <v>2.1616053317977144</v>
      </c>
      <c r="S37" s="181">
        <f>[2]PE!E37</f>
        <v>45.479220835055926</v>
      </c>
      <c r="T37" s="180">
        <f>'[2]Working capital'!F37</f>
        <v>5.7725076685344177E-2</v>
      </c>
      <c r="U37" s="180">
        <f>'[2]Summary sheet uValue'!G46</f>
        <v>1.1896848371563511E-2</v>
      </c>
      <c r="V37" s="180">
        <f>'[2]Cap Ex'!H37</f>
        <v>5.7544623637667347E-3</v>
      </c>
      <c r="W37" s="180">
        <f>[2]fundgrEB!D37</f>
        <v>0.85072534702466673</v>
      </c>
      <c r="X37" s="180">
        <f>[2]Fundgr!C37</f>
        <v>0.1313375950156184</v>
      </c>
      <c r="Y37" s="180">
        <f>'[2]Dividend fundamentals'!E37</f>
        <v>0.41004672915186663</v>
      </c>
      <c r="Z37" s="180">
        <f>1-[2]Fundgr!D37</f>
        <v>0.41004672915186657</v>
      </c>
      <c r="AA37" s="182">
        <f>[2]Margins!J38</f>
        <v>2.5686424038396192E-2</v>
      </c>
    </row>
    <row r="38" spans="1:27" s="151" customFormat="1" ht="13">
      <c r="A38" s="178" t="str">
        <f>'[2]Master data'!A38</f>
        <v>Furn/Home Furnishings</v>
      </c>
      <c r="B38" s="179">
        <f>'[2]Master data'!B38</f>
        <v>362</v>
      </c>
      <c r="C38" s="180">
        <f>'[2]Hist Growth'!D38</f>
        <v>9.0344183266932332E-2</v>
      </c>
      <c r="D38" s="180">
        <f>[2]Margins!F39</f>
        <v>7.5874881186540372E-2</v>
      </c>
      <c r="E38" s="180">
        <f>'[2]Return on capital'!H38</f>
        <v>0.14641279471865409</v>
      </c>
      <c r="F38" s="180">
        <f>'[2]Tax rates'!H39</f>
        <v>0.19416481758070114</v>
      </c>
      <c r="G38" s="181">
        <f>[2]Beta!H41</f>
        <v>1.0884231491124254</v>
      </c>
      <c r="H38" s="181">
        <f>[2]Beta!C41</f>
        <v>1.0821054084407624</v>
      </c>
      <c r="I38" s="180">
        <f>[2]WACC!D49</f>
        <v>0.12515201159357284</v>
      </c>
      <c r="J38" s="180">
        <f>[2]optvar!C43</f>
        <v>0.30125928200266844</v>
      </c>
      <c r="K38" s="180">
        <f>[2]WACC!G49</f>
        <v>6.9500000000000006E-2</v>
      </c>
      <c r="L38" s="180">
        <f>'[2]Debt fundamentals'!F38</f>
        <v>0.2042984087234449</v>
      </c>
      <c r="M38" s="180">
        <f>[2]WACC!K49</f>
        <v>0.11027956517121806</v>
      </c>
      <c r="N38" s="181">
        <f>'[2]Cap Ex'!J38</f>
        <v>2.2818130755137274</v>
      </c>
      <c r="O38" s="181">
        <f>[2]PS!E38</f>
        <v>1.0212678274664981</v>
      </c>
      <c r="P38" s="181">
        <f>[2]EVEBITDA!D39</f>
        <v>9.5672766676184544</v>
      </c>
      <c r="Q38" s="181">
        <f>[2]EVEBITDA!E39</f>
        <v>12.903663047759149</v>
      </c>
      <c r="R38" s="181">
        <f>[2]PBV!C38</f>
        <v>2.2027094370991782</v>
      </c>
      <c r="S38" s="181">
        <f>[2]PE!E38</f>
        <v>53.507688395259152</v>
      </c>
      <c r="T38" s="180">
        <f>'[2]Working capital'!F38</f>
        <v>7.338773485684795E-2</v>
      </c>
      <c r="U38" s="180">
        <f>'[2]Summary sheet uValue'!G47</f>
        <v>3.2153880570860299E-2</v>
      </c>
      <c r="V38" s="180">
        <f>'[2]Cap Ex'!H38</f>
        <v>1.9103425361702391E-2</v>
      </c>
      <c r="W38" s="180">
        <f>[2]fundgrEB!D38</f>
        <v>0.80371735502561836</v>
      </c>
      <c r="X38" s="180">
        <f>[2]Fundgr!C38</f>
        <v>0.1353404441072435</v>
      </c>
      <c r="Y38" s="180">
        <f>'[2]Dividend fundamentals'!E38</f>
        <v>0.52638382360021452</v>
      </c>
      <c r="Z38" s="180">
        <f>1-[2]Fundgr!D38</f>
        <v>0.52638382360021452</v>
      </c>
      <c r="AA38" s="182">
        <f>[2]Margins!J39</f>
        <v>7.5655724846872219E-2</v>
      </c>
    </row>
    <row r="39" spans="1:27" s="151" customFormat="1" ht="13">
      <c r="A39" s="178" t="str">
        <f>'[2]Master data'!A39</f>
        <v>Green &amp; Renewable Energy</v>
      </c>
      <c r="B39" s="179">
        <f>'[2]Master data'!B39</f>
        <v>248</v>
      </c>
      <c r="C39" s="180">
        <f>'[2]Hist Growth'!D39</f>
        <v>0.15748204724409451</v>
      </c>
      <c r="D39" s="180">
        <f>[2]Margins!F40</f>
        <v>0.32890130702989834</v>
      </c>
      <c r="E39" s="180">
        <f>'[2]Return on capital'!H39</f>
        <v>6.7353380013681546E-2</v>
      </c>
      <c r="F39" s="180">
        <f>'[2]Tax rates'!H40</f>
        <v>0.16194245636985027</v>
      </c>
      <c r="G39" s="181">
        <f>[2]Beta!H42</f>
        <v>0.73909035032579629</v>
      </c>
      <c r="H39" s="181">
        <f>[2]Beta!C42</f>
        <v>1.0336423067859184</v>
      </c>
      <c r="I39" s="180">
        <f>[2]WACC!D50</f>
        <v>0.12128465608151628</v>
      </c>
      <c r="J39" s="180">
        <f>[2]optvar!C44</f>
        <v>0.36974872492744715</v>
      </c>
      <c r="K39" s="180">
        <f>[2]WACC!G50</f>
        <v>6.9500000000000006E-2</v>
      </c>
      <c r="L39" s="180">
        <f>'[2]Debt fundamentals'!F39</f>
        <v>0.38391147299077572</v>
      </c>
      <c r="M39" s="180">
        <f>[2]WACC!K50</f>
        <v>9.4821520740056342E-2</v>
      </c>
      <c r="N39" s="181">
        <f>'[2]Cap Ex'!J39</f>
        <v>0.2293780785175985</v>
      </c>
      <c r="O39" s="181">
        <f>[2]PS!E39</f>
        <v>7.5246539792933156</v>
      </c>
      <c r="P39" s="181">
        <f>[2]EVEBITDA!D40</f>
        <v>14.030011705053287</v>
      </c>
      <c r="Q39" s="181">
        <f>[2]EVEBITDA!E40</f>
        <v>22.59081317615253</v>
      </c>
      <c r="R39" s="181">
        <f>[2]PBV!C39</f>
        <v>1.9232200976937126</v>
      </c>
      <c r="S39" s="181">
        <f>[2]PE!E39</f>
        <v>47.369779187704324</v>
      </c>
      <c r="T39" s="180">
        <f>'[2]Working capital'!F39</f>
        <v>0.11304862660232423</v>
      </c>
      <c r="U39" s="180">
        <f>'[2]Summary sheet uValue'!G48</f>
        <v>0.38572529576171299</v>
      </c>
      <c r="V39" s="180">
        <f>'[2]Cap Ex'!H39</f>
        <v>0.24846525569738823</v>
      </c>
      <c r="W39" s="180">
        <f>[2]fundgrEB!D39</f>
        <v>1.171130427953877</v>
      </c>
      <c r="X39" s="180">
        <f>[2]Fundgr!C39</f>
        <v>0.19282714525293054</v>
      </c>
      <c r="Y39" s="180">
        <f>'[2]Dividend fundamentals'!E39</f>
        <v>0.35813487987426063</v>
      </c>
      <c r="Z39" s="180">
        <f>1-[2]Fundgr!D39</f>
        <v>0.35813487987426063</v>
      </c>
      <c r="AA39" s="182">
        <f>[2]Margins!J40</f>
        <v>0.32759318005707233</v>
      </c>
    </row>
    <row r="40" spans="1:27" s="151" customFormat="1" ht="13">
      <c r="A40" s="178" t="str">
        <f>'[2]Master data'!A40</f>
        <v>Healthcare Products</v>
      </c>
      <c r="B40" s="179">
        <f>'[2]Master data'!B40</f>
        <v>896</v>
      </c>
      <c r="C40" s="180">
        <f>'[2]Hist Growth'!D40</f>
        <v>0.15152649797570858</v>
      </c>
      <c r="D40" s="180">
        <f>[2]Margins!F41</f>
        <v>0.15096971096104425</v>
      </c>
      <c r="E40" s="180">
        <f>'[2]Return on capital'!H40</f>
        <v>0.1352276726043494</v>
      </c>
      <c r="F40" s="180">
        <f>'[2]Tax rates'!H41</f>
        <v>0.18304340165470476</v>
      </c>
      <c r="G40" s="181">
        <f>[2]Beta!H43</f>
        <v>1.0775359783236322</v>
      </c>
      <c r="H40" s="181">
        <f>[2]Beta!C43</f>
        <v>1.1305011645147018</v>
      </c>
      <c r="I40" s="180">
        <f>[2]WACC!D51</f>
        <v>0.1290139929282732</v>
      </c>
      <c r="J40" s="180">
        <f>[2]optvar!C45</f>
        <v>0.43161496413982586</v>
      </c>
      <c r="K40" s="180">
        <f>[2]WACC!G51</f>
        <v>6.9500000000000006E-2</v>
      </c>
      <c r="L40" s="180">
        <f>'[2]Debt fundamentals'!F40</f>
        <v>0.11619162184556213</v>
      </c>
      <c r="M40" s="180">
        <f>[2]WACC!K51</f>
        <v>0.12010678468633545</v>
      </c>
      <c r="N40" s="181">
        <f>'[2]Cap Ex'!J40</f>
        <v>0.95057028731285942</v>
      </c>
      <c r="O40" s="181">
        <f>[2]PS!E40</f>
        <v>4.401980924665958</v>
      </c>
      <c r="P40" s="181">
        <f>[2]EVEBITDA!D41</f>
        <v>17.54319683749446</v>
      </c>
      <c r="Q40" s="181">
        <f>[2]EVEBITDA!E41</f>
        <v>27.465650956358477</v>
      </c>
      <c r="R40" s="181">
        <f>[2]PBV!C40</f>
        <v>3.6045967641993903</v>
      </c>
      <c r="S40" s="181">
        <f>[2]PE!E40</f>
        <v>55.299306422827527</v>
      </c>
      <c r="T40" s="180">
        <f>'[2]Working capital'!F40</f>
        <v>0.24351064396568506</v>
      </c>
      <c r="U40" s="180">
        <f>'[2]Summary sheet uValue'!G49</f>
        <v>5.6535573190572848E-2</v>
      </c>
      <c r="V40" s="180">
        <f>'[2]Cap Ex'!H40</f>
        <v>0.10326654607578553</v>
      </c>
      <c r="W40" s="180">
        <f>[2]fundgrEB!D40</f>
        <v>1.1082463831838485</v>
      </c>
      <c r="X40" s="180">
        <f>[2]Fundgr!C40</f>
        <v>7.8992341195298507E-2</v>
      </c>
      <c r="Y40" s="180">
        <f>'[2]Dividend fundamentals'!E40</f>
        <v>0.47892134430038719</v>
      </c>
      <c r="Z40" s="180">
        <f>1-[2]Fundgr!D40</f>
        <v>0.47892134430038724</v>
      </c>
      <c r="AA40" s="182">
        <f>[2]Margins!J41</f>
        <v>0.15422910964795478</v>
      </c>
    </row>
    <row r="41" spans="1:27" s="151" customFormat="1" ht="13">
      <c r="A41" s="178" t="str">
        <f>'[2]Master data'!A41</f>
        <v>Healthcare Support Services</v>
      </c>
      <c r="B41" s="179">
        <f>'[2]Master data'!B41</f>
        <v>460</v>
      </c>
      <c r="C41" s="180">
        <f>'[2]Hist Growth'!D41</f>
        <v>0.14661127906976745</v>
      </c>
      <c r="D41" s="180">
        <f>[2]Margins!F42</f>
        <v>4.2303371055602383E-2</v>
      </c>
      <c r="E41" s="180">
        <f>'[2]Return on capital'!H41</f>
        <v>0.24286107738383947</v>
      </c>
      <c r="F41" s="180">
        <f>'[2]Tax rates'!H42</f>
        <v>0.22635668993878802</v>
      </c>
      <c r="G41" s="181">
        <f>[2]Beta!H44</f>
        <v>0.92055004436243304</v>
      </c>
      <c r="H41" s="181">
        <f>[2]Beta!C44</f>
        <v>1.0131363720531945</v>
      </c>
      <c r="I41" s="180">
        <f>[2]WACC!D52</f>
        <v>0.11964828248984492</v>
      </c>
      <c r="J41" s="180">
        <f>[2]optvar!C46</f>
        <v>0.38241271592555787</v>
      </c>
      <c r="K41" s="180">
        <f>[2]WACC!G52</f>
        <v>6.9500000000000006E-2</v>
      </c>
      <c r="L41" s="180">
        <f>'[2]Debt fundamentals'!F41</f>
        <v>0.21480632072052405</v>
      </c>
      <c r="M41" s="180">
        <f>[2]WACC!K52</f>
        <v>0.105193120444886</v>
      </c>
      <c r="N41" s="181">
        <f>'[2]Cap Ex'!J41</f>
        <v>6.7790063689414541</v>
      </c>
      <c r="O41" s="181">
        <f>[2]PS!E41</f>
        <v>0.68587290219167485</v>
      </c>
      <c r="P41" s="181">
        <f>[2]EVEBITDA!D42</f>
        <v>11.670725837391533</v>
      </c>
      <c r="Q41" s="181">
        <f>[2]EVEBITDA!E42</f>
        <v>15.975037197614578</v>
      </c>
      <c r="R41" s="181">
        <f>[2]PBV!C41</f>
        <v>2.8275940639627919</v>
      </c>
      <c r="S41" s="181">
        <f>[2]PE!E41</f>
        <v>41.59070570653649</v>
      </c>
      <c r="T41" s="180">
        <f>'[2]Working capital'!F41</f>
        <v>-3.4790745486122918E-2</v>
      </c>
      <c r="U41" s="180">
        <f>'[2]Summary sheet uValue'!G50</f>
        <v>1.1193000384593066E-2</v>
      </c>
      <c r="V41" s="180">
        <f>'[2]Cap Ex'!H41</f>
        <v>1.147731795337012E-2</v>
      </c>
      <c r="W41" s="180">
        <f>[2]fundgrEB!D41</f>
        <v>0.46684760161861932</v>
      </c>
      <c r="X41" s="180">
        <f>[2]Fundgr!C41</f>
        <v>0.10886237618760991</v>
      </c>
      <c r="Y41" s="180">
        <f>'[2]Dividend fundamentals'!E41</f>
        <v>0.37539624729138682</v>
      </c>
      <c r="Z41" s="180">
        <f>1-[2]Fundgr!D41</f>
        <v>0.37539624729138676</v>
      </c>
      <c r="AA41" s="182">
        <f>[2]Margins!J42</f>
        <v>4.1825760899788428E-2</v>
      </c>
    </row>
    <row r="42" spans="1:27" s="151" customFormat="1" ht="13">
      <c r="A42" s="178" t="str">
        <f>'[2]Master data'!A42</f>
        <v>Heathcare Information and Technology</v>
      </c>
      <c r="B42" s="179">
        <f>'[2]Master data'!B42</f>
        <v>447</v>
      </c>
      <c r="C42" s="180">
        <f>'[2]Hist Growth'!D42</f>
        <v>0.20462864035087733</v>
      </c>
      <c r="D42" s="180">
        <f>[2]Margins!F43</f>
        <v>0.16006819885448872</v>
      </c>
      <c r="E42" s="180">
        <f>'[2]Return on capital'!H42</f>
        <v>0.16356639499180595</v>
      </c>
      <c r="F42" s="180">
        <f>'[2]Tax rates'!H43</f>
        <v>0.16972013476926534</v>
      </c>
      <c r="G42" s="181">
        <f>[2]Beta!H45</f>
        <v>1.2736117177372563</v>
      </c>
      <c r="H42" s="181">
        <f>[2]Beta!C45</f>
        <v>1.3377797757878629</v>
      </c>
      <c r="I42" s="180">
        <f>[2]WACC!D53</f>
        <v>0.14555482610787146</v>
      </c>
      <c r="J42" s="180">
        <f>[2]optvar!C47</f>
        <v>0.45081477143098153</v>
      </c>
      <c r="K42" s="180">
        <f>[2]WACC!G53</f>
        <v>6.9500000000000006E-2</v>
      </c>
      <c r="L42" s="180">
        <f>'[2]Debt fundamentals'!F42</f>
        <v>0.10660654390272724</v>
      </c>
      <c r="M42" s="180">
        <f>[2]WACC!K53</f>
        <v>0.13561904545992257</v>
      </c>
      <c r="N42" s="181">
        <f>'[2]Cap Ex'!J42</f>
        <v>1.0682277315056228</v>
      </c>
      <c r="O42" s="181">
        <f>[2]PS!E42</f>
        <v>5.5013594716637444</v>
      </c>
      <c r="P42" s="181">
        <f>[2]EVEBITDA!D43</f>
        <v>20.992704781338507</v>
      </c>
      <c r="Q42" s="181">
        <f>[2]EVEBITDA!E43</f>
        <v>33.022761124162685</v>
      </c>
      <c r="R42" s="181">
        <f>[2]PBV!C42</f>
        <v>4.3589307174771452</v>
      </c>
      <c r="S42" s="181">
        <f>[2]PE!E42</f>
        <v>52.052376257643353</v>
      </c>
      <c r="T42" s="180">
        <f>'[2]Working capital'!F42</f>
        <v>0.22881100885747016</v>
      </c>
      <c r="U42" s="180">
        <f>'[2]Summary sheet uValue'!G51</f>
        <v>7.3463697611661272E-2</v>
      </c>
      <c r="V42" s="180">
        <f>'[2]Cap Ex'!H42</f>
        <v>0.14879751394370175</v>
      </c>
      <c r="W42" s="180">
        <f>[2]fundgrEB!D42</f>
        <v>1.4410021525209946</v>
      </c>
      <c r="X42" s="180">
        <f>[2]Fundgr!C42</f>
        <v>3.5050016747700995E-2</v>
      </c>
      <c r="Y42" s="180">
        <f>'[2]Dividend fundamentals'!E42</f>
        <v>0.35753705040317413</v>
      </c>
      <c r="Z42" s="180">
        <f>1-[2]Fundgr!D42</f>
        <v>0.35753705040317407</v>
      </c>
      <c r="AA42" s="182">
        <f>[2]Margins!J43</f>
        <v>0.16553367467046465</v>
      </c>
    </row>
    <row r="43" spans="1:27" s="151" customFormat="1" ht="13">
      <c r="A43" s="178" t="str">
        <f>'[2]Master data'!A43</f>
        <v>Homebuilding</v>
      </c>
      <c r="B43" s="179">
        <f>'[2]Master data'!B43</f>
        <v>171</v>
      </c>
      <c r="C43" s="180">
        <f>'[2]Hist Growth'!D43</f>
        <v>7.5865362318840626E-2</v>
      </c>
      <c r="D43" s="180">
        <f>[2]Margins!F44</f>
        <v>0.15495719798118576</v>
      </c>
      <c r="E43" s="180">
        <f>'[2]Return on capital'!H43</f>
        <v>0.17576561641927174</v>
      </c>
      <c r="F43" s="180">
        <f>'[2]Tax rates'!H44</f>
        <v>0.23537488242222698</v>
      </c>
      <c r="G43" s="181">
        <f>[2]Beta!H46</f>
        <v>0.97489554506089793</v>
      </c>
      <c r="H43" s="181">
        <f>[2]Beta!C46</f>
        <v>1.1397794466928413</v>
      </c>
      <c r="I43" s="180">
        <f>[2]WACC!D54</f>
        <v>0.12975439984608872</v>
      </c>
      <c r="J43" s="180">
        <f>[2]optvar!C48</f>
        <v>0.28509702105698664</v>
      </c>
      <c r="K43" s="180">
        <f>[2]WACC!G54</f>
        <v>6.9500000000000006E-2</v>
      </c>
      <c r="L43" s="180">
        <f>'[2]Debt fundamentals'!F43</f>
        <v>0.31532837433795108</v>
      </c>
      <c r="M43" s="180">
        <f>[2]WACC!K54</f>
        <v>0.10534796795444518</v>
      </c>
      <c r="N43" s="181">
        <f>'[2]Cap Ex'!J43</f>
        <v>1.4588857872173531</v>
      </c>
      <c r="O43" s="181">
        <f>[2]PS!E43</f>
        <v>0.85443294966352978</v>
      </c>
      <c r="P43" s="181">
        <f>[2]EVEBITDA!D44</f>
        <v>5.0324708317726499</v>
      </c>
      <c r="Q43" s="181">
        <f>[2]EVEBITDA!E44</f>
        <v>5.6291972439872957</v>
      </c>
      <c r="R43" s="181">
        <f>[2]PBV!C43</f>
        <v>1.1140152455630299</v>
      </c>
      <c r="S43" s="181">
        <f>[2]PE!E43</f>
        <v>26.850355328605822</v>
      </c>
      <c r="T43" s="180">
        <f>'[2]Working capital'!F43</f>
        <v>0.61661866840206481</v>
      </c>
      <c r="U43" s="180">
        <f>'[2]Summary sheet uValue'!G52</f>
        <v>6.9779275561657446E-3</v>
      </c>
      <c r="V43" s="180">
        <f>'[2]Cap Ex'!H43</f>
        <v>1.1182492565286405E-2</v>
      </c>
      <c r="W43" s="180">
        <f>[2]fundgrEB!D43</f>
        <v>0.74946002329353456</v>
      </c>
      <c r="X43" s="180">
        <f>[2]Fundgr!C43</f>
        <v>0.19431222567463893</v>
      </c>
      <c r="Y43" s="180">
        <f>'[2]Dividend fundamentals'!E43</f>
        <v>0.16051300014034145</v>
      </c>
      <c r="Z43" s="180">
        <f>1-[2]Fundgr!D43</f>
        <v>0.16051300014034142</v>
      </c>
      <c r="AA43" s="182">
        <f>[2]Margins!J44</f>
        <v>0.14965402333568886</v>
      </c>
    </row>
    <row r="44" spans="1:27" s="151" customFormat="1" ht="13">
      <c r="A44" s="178" t="str">
        <f>'[2]Master data'!A44</f>
        <v>Hospitals/Healthcare Facilities</v>
      </c>
      <c r="B44" s="179">
        <f>'[2]Master data'!B44</f>
        <v>231</v>
      </c>
      <c r="C44" s="180">
        <f>'[2]Hist Growth'!D44</f>
        <v>9.0183986928104559E-2</v>
      </c>
      <c r="D44" s="180">
        <f>[2]Margins!F45</f>
        <v>0.11144592137589428</v>
      </c>
      <c r="E44" s="180">
        <f>'[2]Return on capital'!H44</f>
        <v>0.11635149727764249</v>
      </c>
      <c r="F44" s="180">
        <f>'[2]Tax rates'!H45</f>
        <v>0.21457189962085135</v>
      </c>
      <c r="G44" s="181">
        <f>[2]Beta!H47</f>
        <v>0.57071053339417088</v>
      </c>
      <c r="H44" s="181">
        <f>[2]Beta!C47</f>
        <v>0.76794023174770742</v>
      </c>
      <c r="I44" s="180">
        <f>[2]WACC!D55</f>
        <v>0.10008163049346705</v>
      </c>
      <c r="J44" s="180">
        <f>[2]optvar!C49</f>
        <v>0.31837828004372998</v>
      </c>
      <c r="K44" s="180">
        <f>[2]WACC!G55</f>
        <v>6.9500000000000006E-2</v>
      </c>
      <c r="L44" s="180">
        <f>'[2]Debt fundamentals'!F44</f>
        <v>0.33983004729540051</v>
      </c>
      <c r="M44" s="180">
        <f>[2]WACC!K55</f>
        <v>8.3862466506091304E-2</v>
      </c>
      <c r="N44" s="181">
        <f>'[2]Cap Ex'!J44</f>
        <v>1.2424263296458609</v>
      </c>
      <c r="O44" s="181">
        <f>[2]PS!E44</f>
        <v>2.3120736886481557</v>
      </c>
      <c r="P44" s="181">
        <f>[2]EVEBITDA!D45</f>
        <v>13.54146808270113</v>
      </c>
      <c r="Q44" s="181">
        <f>[2]EVEBITDA!E45</f>
        <v>20.526220971974809</v>
      </c>
      <c r="R44" s="181">
        <f>[2]PBV!C44</f>
        <v>3.7479687612787038</v>
      </c>
      <c r="S44" s="181">
        <f>[2]PE!E44</f>
        <v>51.882384621484761</v>
      </c>
      <c r="T44" s="180">
        <f>'[2]Working capital'!F44</f>
        <v>6.4021195070783563E-2</v>
      </c>
      <c r="U44" s="180">
        <f>'[2]Summary sheet uValue'!G53</f>
        <v>6.5563767804585407E-2</v>
      </c>
      <c r="V44" s="180">
        <f>'[2]Cap Ex'!H44</f>
        <v>3.1508810674146785E-2</v>
      </c>
      <c r="W44" s="180">
        <f>[2]fundgrEB!D44</f>
        <v>0.56708032204861203</v>
      </c>
      <c r="X44" s="180">
        <f>[2]Fundgr!C44</f>
        <v>0.15650807269310177</v>
      </c>
      <c r="Y44" s="180">
        <f>'[2]Dividend fundamentals'!E44</f>
        <v>0.31772256372534741</v>
      </c>
      <c r="Z44" s="180">
        <f>1-[2]Fundgr!D44</f>
        <v>0.31772256372534735</v>
      </c>
      <c r="AA44" s="182">
        <f>[2]Margins!J45</f>
        <v>0.11084921823155379</v>
      </c>
    </row>
    <row r="45" spans="1:27" s="151" customFormat="1" ht="13">
      <c r="A45" s="178" t="str">
        <f>'[2]Master data'!A45</f>
        <v>Hotel/Gaming</v>
      </c>
      <c r="B45" s="179">
        <f>'[2]Master data'!B45</f>
        <v>650</v>
      </c>
      <c r="C45" s="180">
        <f>'[2]Hist Growth'!D45</f>
        <v>-1.46983857442348E-2</v>
      </c>
      <c r="D45" s="180">
        <f>[2]Margins!F46</f>
        <v>5.7973344234807628E-2</v>
      </c>
      <c r="E45" s="180">
        <f>'[2]Return on capital'!H45</f>
        <v>2.1470742209970764E-2</v>
      </c>
      <c r="F45" s="180">
        <f>'[2]Tax rates'!H46</f>
        <v>0.23239039501910805</v>
      </c>
      <c r="G45" s="181">
        <f>[2]Beta!H48</f>
        <v>0.74523740871313393</v>
      </c>
      <c r="H45" s="181">
        <f>[2]Beta!C48</f>
        <v>0.97058639732290319</v>
      </c>
      <c r="I45" s="180">
        <f>[2]WACC!D56</f>
        <v>0.11625279450636768</v>
      </c>
      <c r="J45" s="180">
        <f>[2]optvar!C50</f>
        <v>0.34991307923365311</v>
      </c>
      <c r="K45" s="180">
        <f>[2]WACC!G56</f>
        <v>6.9500000000000006E-2</v>
      </c>
      <c r="L45" s="180">
        <f>'[2]Debt fundamentals'!F45</f>
        <v>0.36056008478203067</v>
      </c>
      <c r="M45" s="180">
        <f>[2]WACC!K56</f>
        <v>9.3213565937711865E-2</v>
      </c>
      <c r="N45" s="181">
        <f>'[2]Cap Ex'!J45</f>
        <v>0.56318485275992658</v>
      </c>
      <c r="O45" s="181">
        <f>[2]PS!E45</f>
        <v>3.8920959066172398</v>
      </c>
      <c r="P45" s="181">
        <f>[2]EVEBITDA!D46</f>
        <v>16.455046468185142</v>
      </c>
      <c r="Q45" s="181">
        <f>[2]EVEBITDA!E46</f>
        <v>74.007529132549607</v>
      </c>
      <c r="R45" s="181">
        <f>[2]PBV!C45</f>
        <v>3.1356479827955788</v>
      </c>
      <c r="S45" s="181">
        <f>[2]PE!E45</f>
        <v>71.886708344430716</v>
      </c>
      <c r="T45" s="180">
        <f>'[2]Working capital'!F45</f>
        <v>7.4461963202217115E-3</v>
      </c>
      <c r="U45" s="180">
        <f>'[2]Summary sheet uValue'!G54</f>
        <v>7.4369482110962185E-2</v>
      </c>
      <c r="V45" s="180">
        <f>'[2]Cap Ex'!H45</f>
        <v>1.6421566811355561E-2</v>
      </c>
      <c r="W45" s="180">
        <f>[2]fundgrEB!D45</f>
        <v>1.1479792696025544</v>
      </c>
      <c r="X45" s="180">
        <f>[2]Fundgr!C45</f>
        <v>2.2693214706000397E-2</v>
      </c>
      <c r="Y45" s="180">
        <f>'[2]Dividend fundamentals'!E45</f>
        <v>0.76205189764877668</v>
      </c>
      <c r="Z45" s="180">
        <f>1-[2]Fundgr!D45</f>
        <v>0.76205189764877668</v>
      </c>
      <c r="AA45" s="182">
        <f>[2]Margins!J46</f>
        <v>4.1681343831587121E-2</v>
      </c>
    </row>
    <row r="46" spans="1:27" s="151" customFormat="1" ht="13">
      <c r="A46" s="178" t="str">
        <f>'[2]Master data'!A46</f>
        <v>Household Products</v>
      </c>
      <c r="B46" s="179">
        <f>'[2]Master data'!B46</f>
        <v>589</v>
      </c>
      <c r="C46" s="180">
        <f>'[2]Hist Growth'!D46</f>
        <v>6.8795195530726189E-2</v>
      </c>
      <c r="D46" s="180">
        <f>[2]Margins!F47</f>
        <v>0.14889539541413527</v>
      </c>
      <c r="E46" s="180">
        <f>'[2]Return on capital'!H46</f>
        <v>0.22892705098975522</v>
      </c>
      <c r="F46" s="180">
        <f>'[2]Tax rates'!H47</f>
        <v>0.21653101556185894</v>
      </c>
      <c r="G46" s="181">
        <f>[2]Beta!H49</f>
        <v>0.95925072154323698</v>
      </c>
      <c r="H46" s="181">
        <f>[2]Beta!C49</f>
        <v>1.0240740179746777</v>
      </c>
      <c r="I46" s="180">
        <f>[2]WACC!D57</f>
        <v>0.12052110663437927</v>
      </c>
      <c r="J46" s="180">
        <f>[2]optvar!C51</f>
        <v>0.37891980080211041</v>
      </c>
      <c r="K46" s="180">
        <f>[2]WACC!G57</f>
        <v>6.9500000000000006E-2</v>
      </c>
      <c r="L46" s="180">
        <f>'[2]Debt fundamentals'!F46</f>
        <v>0.12288598649272289</v>
      </c>
      <c r="M46" s="180">
        <f>[2]WACC!K57</f>
        <v>0.11214436749935422</v>
      </c>
      <c r="N46" s="181">
        <f>'[2]Cap Ex'!J46</f>
        <v>1.748546760596642</v>
      </c>
      <c r="O46" s="181">
        <f>[2]PS!E46</f>
        <v>3.3530050782266416</v>
      </c>
      <c r="P46" s="181">
        <f>[2]EVEBITDA!D47</f>
        <v>17.791187993381833</v>
      </c>
      <c r="Q46" s="181">
        <f>[2]EVEBITDA!E47</f>
        <v>22.186521995295013</v>
      </c>
      <c r="R46" s="181">
        <f>[2]PBV!C46</f>
        <v>5.2426976351351451</v>
      </c>
      <c r="S46" s="181">
        <f>[2]PE!E46</f>
        <v>74.726398649483642</v>
      </c>
      <c r="T46" s="180">
        <f>'[2]Working capital'!F46</f>
        <v>6.5154198848333789E-2</v>
      </c>
      <c r="U46" s="180">
        <f>'[2]Summary sheet uValue'!G55</f>
        <v>3.4365605995926057E-2</v>
      </c>
      <c r="V46" s="180">
        <f>'[2]Cap Ex'!H46</f>
        <v>2.6033477826032644E-2</v>
      </c>
      <c r="W46" s="180">
        <f>[2]fundgrEB!D46</f>
        <v>0.35417315095367757</v>
      </c>
      <c r="X46" s="180">
        <f>[2]Fundgr!C46</f>
        <v>0.19391815619878336</v>
      </c>
      <c r="Y46" s="180">
        <f>'[2]Dividend fundamentals'!E46</f>
        <v>0.59982517906400279</v>
      </c>
      <c r="Z46" s="180">
        <f>1-[2]Fundgr!D46</f>
        <v>0.59982517906400279</v>
      </c>
      <c r="AA46" s="182">
        <f>[2]Margins!J47</f>
        <v>0.14841624764038996</v>
      </c>
    </row>
    <row r="47" spans="1:27" s="151" customFormat="1" ht="13">
      <c r="A47" s="178" t="str">
        <f>'[2]Master data'!A47</f>
        <v>Information Services</v>
      </c>
      <c r="B47" s="179">
        <f>'[2]Master data'!B47</f>
        <v>242</v>
      </c>
      <c r="C47" s="180">
        <f>'[2]Hist Growth'!D47</f>
        <v>0.1099322137404581</v>
      </c>
      <c r="D47" s="180">
        <f>[2]Margins!F48</f>
        <v>0.20798720231291662</v>
      </c>
      <c r="E47" s="180">
        <f>'[2]Return on capital'!H47</f>
        <v>0.28674950161733914</v>
      </c>
      <c r="F47" s="180">
        <f>'[2]Tax rates'!H48</f>
        <v>0.19823094621386078</v>
      </c>
      <c r="G47" s="181">
        <f>[2]Beta!H50</f>
        <v>1.341638572668401</v>
      </c>
      <c r="H47" s="181">
        <f>[2]Beta!C50</f>
        <v>1.4107202256089806</v>
      </c>
      <c r="I47" s="180">
        <f>[2]WACC!D58</f>
        <v>0.15137547400359663</v>
      </c>
      <c r="J47" s="180">
        <f>[2]optvar!C52</f>
        <v>0.40765639840290036</v>
      </c>
      <c r="K47" s="180">
        <f>[2]WACC!G58</f>
        <v>6.9500000000000006E-2</v>
      </c>
      <c r="L47" s="180">
        <f>'[2]Debt fundamentals'!F47</f>
        <v>0.12308124671080803</v>
      </c>
      <c r="M47" s="180">
        <f>[2]WACC!K58</f>
        <v>0.13918783061052845</v>
      </c>
      <c r="N47" s="181">
        <f>'[2]Cap Ex'!J47</f>
        <v>1.5812475805660275</v>
      </c>
      <c r="O47" s="181">
        <f>[2]PS!E47</f>
        <v>5.4754784425523511</v>
      </c>
      <c r="P47" s="181">
        <f>[2]EVEBITDA!D48</f>
        <v>18.24986278020042</v>
      </c>
      <c r="Q47" s="181">
        <f>[2]EVEBITDA!E48</f>
        <v>24.826073772056251</v>
      </c>
      <c r="R47" s="181">
        <f>[2]PBV!C47</f>
        <v>5.2587903039288859</v>
      </c>
      <c r="S47" s="181">
        <f>[2]PE!E47</f>
        <v>54.49701097519528</v>
      </c>
      <c r="T47" s="180">
        <f>'[2]Working capital'!F47</f>
        <v>2.9592502219401365E-2</v>
      </c>
      <c r="U47" s="180">
        <f>'[2]Summary sheet uValue'!G56</f>
        <v>3.1231663406059016E-2</v>
      </c>
      <c r="V47" s="180">
        <f>'[2]Cap Ex'!H47</f>
        <v>2.5610685683135626E-2</v>
      </c>
      <c r="W47" s="180">
        <f>[2]fundgrEB!D47</f>
        <v>0.36520338073701031</v>
      </c>
      <c r="X47" s="180">
        <f>[2]Fundgr!C47</f>
        <v>0.14456373910874776</v>
      </c>
      <c r="Y47" s="180">
        <f>'[2]Dividend fundamentals'!E47</f>
        <v>0.30606857936674892</v>
      </c>
      <c r="Z47" s="180">
        <f>1-[2]Fundgr!D47</f>
        <v>0.30606857936674892</v>
      </c>
      <c r="AA47" s="182">
        <f>[2]Margins!J48</f>
        <v>0.21436307387873141</v>
      </c>
    </row>
    <row r="48" spans="1:27" s="151" customFormat="1" ht="13">
      <c r="A48" s="178" t="str">
        <f>'[2]Master data'!A48</f>
        <v>Insurance (General)</v>
      </c>
      <c r="B48" s="179">
        <f>'[2]Master data'!B48</f>
        <v>206</v>
      </c>
      <c r="C48" s="180">
        <f>'[2]Hist Growth'!D48</f>
        <v>6.3152899408284016E-2</v>
      </c>
      <c r="D48" s="180">
        <f>[2]Margins!F49</f>
        <v>0.10406830157075771</v>
      </c>
      <c r="E48" s="180">
        <f>'[2]Return on capital'!H48</f>
        <v>0.11101717127867118</v>
      </c>
      <c r="F48" s="180">
        <f>'[2]Tax rates'!H49</f>
        <v>0.20597412821067834</v>
      </c>
      <c r="G48" s="181">
        <f>[2]Beta!H51</f>
        <v>0.60929069819651416</v>
      </c>
      <c r="H48" s="181">
        <f>[2]Beta!C51</f>
        <v>0.69066681475722358</v>
      </c>
      <c r="I48" s="180">
        <f>[2]WACC!D59</f>
        <v>9.3915211817626437E-2</v>
      </c>
      <c r="J48" s="180">
        <f>[2]optvar!C53</f>
        <v>0.25272166193104129</v>
      </c>
      <c r="K48" s="180">
        <f>[2]WACC!G59</f>
        <v>6.9500000000000006E-2</v>
      </c>
      <c r="L48" s="180">
        <f>'[2]Debt fundamentals'!F48</f>
        <v>0.2918827858410955</v>
      </c>
      <c r="M48" s="180">
        <f>[2]WACC!K59</f>
        <v>8.1784311688340827E-2</v>
      </c>
      <c r="N48" s="181">
        <f>'[2]Cap Ex'!J48</f>
        <v>1.24965626436614</v>
      </c>
      <c r="O48" s="181">
        <f>[2]PS!E48</f>
        <v>1.188008263499676</v>
      </c>
      <c r="P48" s="181">
        <f>[2]EVEBITDA!D49</f>
        <v>8.9022015071971357</v>
      </c>
      <c r="Q48" s="181">
        <f>[2]EVEBITDA!E49</f>
        <v>11.079319418780047</v>
      </c>
      <c r="R48" s="181">
        <f>[2]PBV!C48</f>
        <v>1.7521574454494151</v>
      </c>
      <c r="S48" s="181">
        <f>[2]PE!E48</f>
        <v>38.508132037411606</v>
      </c>
      <c r="T48" s="180">
        <f>'[2]Working capital'!F48</f>
        <v>4.5398911100244445E-2</v>
      </c>
      <c r="U48" s="180">
        <f>'[2]Summary sheet uValue'!G57</f>
        <v>8.6173960957734216E-3</v>
      </c>
      <c r="V48" s="180">
        <f>'[2]Cap Ex'!H48</f>
        <v>6.7555680333910902E-3</v>
      </c>
      <c r="W48" s="180">
        <f>[2]fundgrEB!D48</f>
        <v>0.40041511839985872</v>
      </c>
      <c r="X48" s="180">
        <f>[2]Fundgr!C48</f>
        <v>0.1109472421073442</v>
      </c>
      <c r="Y48" s="180">
        <f>'[2]Dividend fundamentals'!E48</f>
        <v>0.3914994014939252</v>
      </c>
      <c r="Z48" s="180">
        <f>1-[2]Fundgr!D48</f>
        <v>0.39149940149392526</v>
      </c>
      <c r="AA48" s="182">
        <f>[2]Margins!J49</f>
        <v>0.10471297824825589</v>
      </c>
    </row>
    <row r="49" spans="1:27" s="151" customFormat="1" ht="13">
      <c r="A49" s="178" t="str">
        <f>'[2]Master data'!A49</f>
        <v>Insurance (Life)</v>
      </c>
      <c r="B49" s="179">
        <f>'[2]Master data'!B49</f>
        <v>142</v>
      </c>
      <c r="C49" s="180">
        <f>'[2]Hist Growth'!D49</f>
        <v>0.10457288288288295</v>
      </c>
      <c r="D49" s="180">
        <f>[2]Margins!F50</f>
        <v>5.656509696153738E-2</v>
      </c>
      <c r="E49" s="180">
        <f>'[2]Return on capital'!H49</f>
        <v>3.9384734913749324E-2</v>
      </c>
      <c r="F49" s="180">
        <f>'[2]Tax rates'!H50</f>
        <v>0.15749385810310829</v>
      </c>
      <c r="G49" s="181">
        <f>[2]Beta!H52</f>
        <v>0.79627620062989934</v>
      </c>
      <c r="H49" s="181">
        <f>[2]Beta!C52</f>
        <v>0.90378650219753498</v>
      </c>
      <c r="I49" s="180">
        <f>[2]WACC!D60</f>
        <v>0.11092216287536329</v>
      </c>
      <c r="J49" s="180">
        <f>[2]optvar!C54</f>
        <v>0.23901505811759377</v>
      </c>
      <c r="K49" s="180">
        <f>[2]WACC!G60</f>
        <v>6.1800000000000001E-2</v>
      </c>
      <c r="L49" s="180">
        <f>'[2]Debt fundamentals'!F49</f>
        <v>0.49617651063680412</v>
      </c>
      <c r="M49" s="180">
        <f>[2]WACC!K60</f>
        <v>7.8984162653173415E-2</v>
      </c>
      <c r="N49" s="181">
        <f>'[2]Cap Ex'!J49</f>
        <v>0.80201760425906587</v>
      </c>
      <c r="O49" s="181">
        <f>[2]PS!E49</f>
        <v>1.1271766774918102</v>
      </c>
      <c r="P49" s="181">
        <f>[2]EVEBITDA!D50</f>
        <v>11.129244835533825</v>
      </c>
      <c r="Q49" s="181">
        <f>[2]EVEBITDA!E50</f>
        <v>16.271411386726815</v>
      </c>
      <c r="R49" s="181">
        <f>[2]PBV!C49</f>
        <v>1.2578747095304454</v>
      </c>
      <c r="S49" s="181">
        <f>[2]PE!E49</f>
        <v>27.359392745137853</v>
      </c>
      <c r="T49" s="180">
        <f>'[2]Working capital'!F49</f>
        <v>-1.0607068814046108</v>
      </c>
      <c r="U49" s="180">
        <f>'[2]Summary sheet uValue'!G58</f>
        <v>6.3281639818224232E-3</v>
      </c>
      <c r="V49" s="180">
        <f>'[2]Cap Ex'!H49</f>
        <v>1.2637845656328256E-2</v>
      </c>
      <c r="W49" s="180">
        <f>[2]fundgrEB!D49</f>
        <v>0.24419652289647661</v>
      </c>
      <c r="X49" s="180">
        <f>[2]Fundgr!C49</f>
        <v>7.0183178984228919E-2</v>
      </c>
      <c r="Y49" s="180">
        <f>'[2]Dividend fundamentals'!E49</f>
        <v>0.45904302814741293</v>
      </c>
      <c r="Z49" s="180">
        <f>1-[2]Fundgr!D49</f>
        <v>0.45904302814741293</v>
      </c>
      <c r="AA49" s="182">
        <f>[2]Margins!J50</f>
        <v>5.6689336985043741E-2</v>
      </c>
    </row>
    <row r="50" spans="1:27" s="151" customFormat="1" ht="13">
      <c r="A50" s="178" t="str">
        <f>'[2]Master data'!A50</f>
        <v>Insurance (Prop/Cas.)</v>
      </c>
      <c r="B50" s="179">
        <f>'[2]Master data'!B50</f>
        <v>235</v>
      </c>
      <c r="C50" s="180">
        <f>'[2]Hist Growth'!D50</f>
        <v>6.4738636363636318E-2</v>
      </c>
      <c r="D50" s="180">
        <f>[2]Margins!F51</f>
        <v>6.3788599358268291E-2</v>
      </c>
      <c r="E50" s="180">
        <f>'[2]Return on capital'!H50</f>
        <v>6.7197915070148037E-2</v>
      </c>
      <c r="F50" s="180">
        <f>'[2]Tax rates'!H51</f>
        <v>0.19491625264670201</v>
      </c>
      <c r="G50" s="181">
        <f>[2]Beta!H53</f>
        <v>0.69069421823593102</v>
      </c>
      <c r="H50" s="181">
        <f>[2]Beta!C53</f>
        <v>0.74575047892416713</v>
      </c>
      <c r="I50" s="180">
        <f>[2]WACC!D61</f>
        <v>9.831088821814854E-2</v>
      </c>
      <c r="J50" s="180">
        <f>[2]optvar!C55</f>
        <v>0.26692529380793906</v>
      </c>
      <c r="K50" s="180">
        <f>[2]WACC!G61</f>
        <v>6.9500000000000006E-2</v>
      </c>
      <c r="L50" s="180">
        <f>'[2]Debt fundamentals'!F50</f>
        <v>0.20181381932143566</v>
      </c>
      <c r="M50" s="180">
        <f>[2]WACC!K61</f>
        <v>8.903622371755246E-2</v>
      </c>
      <c r="N50" s="181">
        <f>'[2]Cap Ex'!J50</f>
        <v>1.2439988186908715</v>
      </c>
      <c r="O50" s="181">
        <f>[2]PS!E50</f>
        <v>1.1056855730020798</v>
      </c>
      <c r="P50" s="181">
        <f>[2]EVEBITDA!D51</f>
        <v>12.606428708454226</v>
      </c>
      <c r="Q50" s="181">
        <f>[2]EVEBITDA!E51</f>
        <v>16.619567458404536</v>
      </c>
      <c r="R50" s="181">
        <f>[2]PBV!C50</f>
        <v>1.5933275666493296</v>
      </c>
      <c r="S50" s="181">
        <f>[2]PE!E50</f>
        <v>20.316274143034072</v>
      </c>
      <c r="T50" s="180">
        <f>'[2]Working capital'!F50</f>
        <v>-0.41454863611787118</v>
      </c>
      <c r="U50" s="180">
        <f>'[2]Summary sheet uValue'!G59</f>
        <v>6.8210247518077595E-3</v>
      </c>
      <c r="V50" s="180">
        <f>'[2]Cap Ex'!H50</f>
        <v>2.7305540715448855E-3</v>
      </c>
      <c r="W50" s="180">
        <f>[2]fundgrEB!D50</f>
        <v>0.34426103752747311</v>
      </c>
      <c r="X50" s="180">
        <f>[2]Fundgr!C50</f>
        <v>6.7870937712370794E-2</v>
      </c>
      <c r="Y50" s="180">
        <f>'[2]Dividend fundamentals'!E50</f>
        <v>0.54947809797432756</v>
      </c>
      <c r="Z50" s="180">
        <f>1-[2]Fundgr!D50</f>
        <v>0.54947809797432756</v>
      </c>
      <c r="AA50" s="182">
        <f>[2]Margins!J51</f>
        <v>6.4158674737517296E-2</v>
      </c>
    </row>
    <row r="51" spans="1:27" s="151" customFormat="1" ht="13">
      <c r="A51" s="178" t="str">
        <f>'[2]Master data'!A51</f>
        <v>Investments &amp; Asset Management</v>
      </c>
      <c r="B51" s="179">
        <f>'[2]Master data'!B51</f>
        <v>1660</v>
      </c>
      <c r="C51" s="180">
        <f>'[2]Hist Growth'!D51</f>
        <v>0.11960795744680854</v>
      </c>
      <c r="D51" s="180">
        <f>[2]Margins!F52</f>
        <v>0.2024143572291584</v>
      </c>
      <c r="E51" s="180">
        <f>'[2]Return on capital'!H51</f>
        <v>6.2599876476218549E-2</v>
      </c>
      <c r="F51" s="180">
        <f>'[2]Tax rates'!H52</f>
        <v>0.16368981033632454</v>
      </c>
      <c r="G51" s="181">
        <f>[2]Beta!H54</f>
        <v>0.56519706406152803</v>
      </c>
      <c r="H51" s="181">
        <f>[2]Beta!C54</f>
        <v>0.79218334924212164</v>
      </c>
      <c r="I51" s="180">
        <f>[2]WACC!D62</f>
        <v>0.10201623126952131</v>
      </c>
      <c r="J51" s="180">
        <f>[2]optvar!C56</f>
        <v>0.26550357638295474</v>
      </c>
      <c r="K51" s="180">
        <f>[2]WACC!G62</f>
        <v>6.9500000000000006E-2</v>
      </c>
      <c r="L51" s="180">
        <f>'[2]Debt fundamentals'!F51</f>
        <v>0.43258015946052009</v>
      </c>
      <c r="M51" s="180">
        <f>[2]WACC!K62</f>
        <v>8.0533486750842362E-2</v>
      </c>
      <c r="N51" s="181">
        <f>'[2]Cap Ex'!J51</f>
        <v>0.32929523205310735</v>
      </c>
      <c r="O51" s="181">
        <f>[2]PS!E51</f>
        <v>4.6387887741941149</v>
      </c>
      <c r="P51" s="181">
        <f>[2]EVEBITDA!D52</f>
        <v>12.510631400512599</v>
      </c>
      <c r="Q51" s="181">
        <f>[2]EVEBITDA!E52</f>
        <v>15.16699627760411</v>
      </c>
      <c r="R51" s="181">
        <f>[2]PBV!C51</f>
        <v>1.4294350080625697</v>
      </c>
      <c r="S51" s="181">
        <f>[2]PE!E51</f>
        <v>237.99123963506088</v>
      </c>
      <c r="T51" s="180" t="str">
        <f>'[2]Working capital'!F51</f>
        <v>NA</v>
      </c>
      <c r="U51" s="180">
        <f>'[2]Summary sheet uValue'!G60</f>
        <v>3.8934740984049025E-2</v>
      </c>
      <c r="V51" s="180">
        <f>'[2]Cap Ex'!H51</f>
        <v>0.13382356189944222</v>
      </c>
      <c r="W51" s="180">
        <f>[2]fundgrEB!D51</f>
        <v>0.92376896892922944</v>
      </c>
      <c r="X51" s="180">
        <f>[2]Fundgr!C51</f>
        <v>0.12311740738383642</v>
      </c>
      <c r="Y51" s="180">
        <f>'[2]Dividend fundamentals'!E51</f>
        <v>0.47729614764336215</v>
      </c>
      <c r="Z51" s="180">
        <f>1-[2]Fundgr!D51</f>
        <v>0.47729614764336215</v>
      </c>
      <c r="AA51" s="182">
        <f>[2]Margins!J52</f>
        <v>0.20171069068869443</v>
      </c>
    </row>
    <row r="52" spans="1:27" s="151" customFormat="1" ht="13">
      <c r="A52" s="178" t="str">
        <f>'[2]Master data'!A52</f>
        <v>Machinery</v>
      </c>
      <c r="B52" s="179">
        <f>'[2]Master data'!B52</f>
        <v>1463</v>
      </c>
      <c r="C52" s="180">
        <f>'[2]Hist Growth'!D52</f>
        <v>7.4357194780987929E-2</v>
      </c>
      <c r="D52" s="180">
        <f>[2]Margins!F53</f>
        <v>9.6838342723796836E-2</v>
      </c>
      <c r="E52" s="180">
        <f>'[2]Return on capital'!H52</f>
        <v>0.11441000402524393</v>
      </c>
      <c r="F52" s="180">
        <f>'[2]Tax rates'!H53</f>
        <v>0.22190417208531613</v>
      </c>
      <c r="G52" s="181">
        <f>[2]Beta!H55</f>
        <v>1.0629501446657796</v>
      </c>
      <c r="H52" s="181">
        <f>[2]Beta!C55</f>
        <v>1.1021402522422057</v>
      </c>
      <c r="I52" s="180">
        <f>[2]WACC!D63</f>
        <v>0.12675079212892801</v>
      </c>
      <c r="J52" s="180">
        <f>[2]optvar!C57</f>
        <v>0.31622845943757366</v>
      </c>
      <c r="K52" s="180">
        <f>[2]WACC!G63</f>
        <v>6.9500000000000006E-2</v>
      </c>
      <c r="L52" s="180">
        <f>'[2]Debt fundamentals'!F52</f>
        <v>0.14718270181512369</v>
      </c>
      <c r="M52" s="180">
        <f>[2]WACC!K63</f>
        <v>0.11580092277095988</v>
      </c>
      <c r="N52" s="181">
        <f>'[2]Cap Ex'!J52</f>
        <v>1.4166874133694627</v>
      </c>
      <c r="O52" s="181">
        <f>[2]PS!E52</f>
        <v>1.9747841954393592</v>
      </c>
      <c r="P52" s="181">
        <f>[2]EVEBITDA!D53</f>
        <v>13.995107287843217</v>
      </c>
      <c r="Q52" s="181">
        <f>[2]EVEBITDA!E53</f>
        <v>19.532098995488457</v>
      </c>
      <c r="R52" s="181">
        <f>[2]PBV!C52</f>
        <v>2.7467697368619257</v>
      </c>
      <c r="S52" s="181">
        <f>[2]PE!E52</f>
        <v>38.913964145792391</v>
      </c>
      <c r="T52" s="180">
        <f>'[2]Working capital'!F52</f>
        <v>0.28268996472541225</v>
      </c>
      <c r="U52" s="180">
        <f>'[2]Summary sheet uValue'!G61</f>
        <v>4.0581086874037518E-2</v>
      </c>
      <c r="V52" s="180">
        <f>'[2]Cap Ex'!H52</f>
        <v>5.2782923233098585E-2</v>
      </c>
      <c r="W52" s="180">
        <f>[2]fundgrEB!D52</f>
        <v>1.3529004573697616</v>
      </c>
      <c r="X52" s="180">
        <f>[2]Fundgr!C52</f>
        <v>0.10790104842911155</v>
      </c>
      <c r="Y52" s="180">
        <f>'[2]Dividend fundamentals'!E52</f>
        <v>0.39724065432609074</v>
      </c>
      <c r="Z52" s="180">
        <f>1-[2]Fundgr!D52</f>
        <v>0.39724065432609068</v>
      </c>
      <c r="AA52" s="182">
        <f>[2]Margins!J53</f>
        <v>9.6250648014029647E-2</v>
      </c>
    </row>
    <row r="53" spans="1:27" s="151" customFormat="1" ht="13">
      <c r="A53" s="178" t="str">
        <f>'[2]Master data'!A53</f>
        <v>Metals &amp; Mining</v>
      </c>
      <c r="B53" s="179">
        <f>'[2]Master data'!B53</f>
        <v>1783</v>
      </c>
      <c r="C53" s="180">
        <f>'[2]Hist Growth'!D53</f>
        <v>0.14998445360824739</v>
      </c>
      <c r="D53" s="180">
        <f>[2]Margins!F54</f>
        <v>0.16457676118489492</v>
      </c>
      <c r="E53" s="180">
        <f>'[2]Return on capital'!H53</f>
        <v>0.24562183011742217</v>
      </c>
      <c r="F53" s="180">
        <f>'[2]Tax rates'!H54</f>
        <v>0.26996966231622316</v>
      </c>
      <c r="G53" s="181">
        <f>[2]Beta!H56</f>
        <v>1.109674282355319</v>
      </c>
      <c r="H53" s="181">
        <f>[2]Beta!C56</f>
        <v>1.1980661936405959</v>
      </c>
      <c r="I53" s="180">
        <f>[2]WACC!D64</f>
        <v>0.13440568225251953</v>
      </c>
      <c r="J53" s="180">
        <f>[2]optvar!C58</f>
        <v>0.61690411142274737</v>
      </c>
      <c r="K53" s="180">
        <f>[2]WACC!G64</f>
        <v>7.3300000000000004E-2</v>
      </c>
      <c r="L53" s="180">
        <f>'[2]Debt fundamentals'!F53</f>
        <v>0.21009308863775686</v>
      </c>
      <c r="M53" s="180">
        <f>[2]WACC!K64</f>
        <v>0.11776866430269403</v>
      </c>
      <c r="N53" s="181">
        <f>'[2]Cap Ex'!J53</f>
        <v>1.5541907800285226</v>
      </c>
      <c r="O53" s="181">
        <f>[2]PS!E53</f>
        <v>1.1859212203390777</v>
      </c>
      <c r="P53" s="181">
        <f>[2]EVEBITDA!D54</f>
        <v>5.300524863110458</v>
      </c>
      <c r="Q53" s="181">
        <f>[2]EVEBITDA!E54</f>
        <v>6.8194393583688351</v>
      </c>
      <c r="R53" s="181">
        <f>[2]PBV!C53</f>
        <v>1.8251328688458563</v>
      </c>
      <c r="S53" s="181">
        <f>[2]PE!E53</f>
        <v>76.701735519732694</v>
      </c>
      <c r="T53" s="180">
        <f>'[2]Working capital'!F53</f>
        <v>0.10964360197616566</v>
      </c>
      <c r="U53" s="180">
        <f>'[2]Summary sheet uValue'!G62</f>
        <v>6.3028044378982268E-2</v>
      </c>
      <c r="V53" s="180">
        <f>'[2]Cap Ex'!H53</f>
        <v>3.6642012812418592E-2</v>
      </c>
      <c r="W53" s="180">
        <f>[2]fundgrEB!D53</f>
        <v>0.57132784278564519</v>
      </c>
      <c r="X53" s="180">
        <f>[2]Fundgr!C53</f>
        <v>0.2395479215961703</v>
      </c>
      <c r="Y53" s="180">
        <f>'[2]Dividend fundamentals'!E53</f>
        <v>0.47218810263430189</v>
      </c>
      <c r="Z53" s="180">
        <f>1-[2]Fundgr!D53</f>
        <v>0.47218810263430189</v>
      </c>
      <c r="AA53" s="182">
        <f>[2]Margins!J54</f>
        <v>0.16521247908868061</v>
      </c>
    </row>
    <row r="54" spans="1:27" s="151" customFormat="1" ht="13">
      <c r="A54" s="178" t="str">
        <f>'[2]Master data'!A54</f>
        <v>Office Equipment &amp; Services</v>
      </c>
      <c r="B54" s="179">
        <f>'[2]Master data'!B54</f>
        <v>144</v>
      </c>
      <c r="C54" s="180">
        <f>'[2]Hist Growth'!D54</f>
        <v>6.0780172413793132E-2</v>
      </c>
      <c r="D54" s="180">
        <f>[2]Margins!F55</f>
        <v>6.8751325899671492E-2</v>
      </c>
      <c r="E54" s="180">
        <f>'[2]Return on capital'!H54</f>
        <v>0.10525106285728021</v>
      </c>
      <c r="F54" s="180">
        <f>'[2]Tax rates'!H55</f>
        <v>0.24108157389181584</v>
      </c>
      <c r="G54" s="181">
        <f>[2]Beta!H57</f>
        <v>0.83449438172372425</v>
      </c>
      <c r="H54" s="181">
        <f>[2]Beta!C57</f>
        <v>0.92524147810104651</v>
      </c>
      <c r="I54" s="180">
        <f>[2]WACC!D65</f>
        <v>0.11263426995246351</v>
      </c>
      <c r="J54" s="180">
        <f>[2]optvar!C59</f>
        <v>0.33105972711523934</v>
      </c>
      <c r="K54" s="180">
        <f>[2]WACC!G65</f>
        <v>6.9500000000000006E-2</v>
      </c>
      <c r="L54" s="180">
        <f>'[2]Debt fundamentals'!F54</f>
        <v>0.25131553911848697</v>
      </c>
      <c r="M54" s="180">
        <f>[2]WACC!K65</f>
        <v>9.7484989371590905E-2</v>
      </c>
      <c r="N54" s="181">
        <f>'[2]Cap Ex'!J54</f>
        <v>1.8244325968890227</v>
      </c>
      <c r="O54" s="181">
        <f>[2]PS!E54</f>
        <v>0.9905845551087058</v>
      </c>
      <c r="P54" s="181">
        <f>[2]EVEBITDA!D55</f>
        <v>8.5271118915928348</v>
      </c>
      <c r="Q54" s="181">
        <f>[2]EVEBITDA!E55</f>
        <v>13.298596323993481</v>
      </c>
      <c r="R54" s="181">
        <f>[2]PBV!C54</f>
        <v>1.7846844806000841</v>
      </c>
      <c r="S54" s="181">
        <f>[2]PE!E54</f>
        <v>38.12834128674367</v>
      </c>
      <c r="T54" s="180">
        <f>'[2]Working capital'!F54</f>
        <v>0.12932312282789618</v>
      </c>
      <c r="U54" s="180">
        <f>'[2]Summary sheet uValue'!G63</f>
        <v>2.3926107503514194E-2</v>
      </c>
      <c r="V54" s="180">
        <f>'[2]Cap Ex'!H54</f>
        <v>2.8513177071206312E-2</v>
      </c>
      <c r="W54" s="180">
        <f>[2]fundgrEB!D54</f>
        <v>1.093383155296316</v>
      </c>
      <c r="X54" s="180">
        <f>[2]Fundgr!C54</f>
        <v>5.7369127188005534E-2</v>
      </c>
      <c r="Y54" s="180">
        <f>'[2]Dividend fundamentals'!E54</f>
        <v>0.63488890541059773</v>
      </c>
      <c r="Z54" s="180">
        <f>1-[2]Fundgr!D54</f>
        <v>0.63488890541059773</v>
      </c>
      <c r="AA54" s="182">
        <f>[2]Margins!J55</f>
        <v>6.9942584144654221E-2</v>
      </c>
    </row>
    <row r="55" spans="1:27" s="151" customFormat="1" ht="13">
      <c r="A55" s="178" t="str">
        <f>'[2]Master data'!A55</f>
        <v>Oil/Gas (Integrated)</v>
      </c>
      <c r="B55" s="179">
        <f>'[2]Master data'!B55</f>
        <v>36</v>
      </c>
      <c r="C55" s="180">
        <f>'[2]Hist Growth'!D55</f>
        <v>0.14567833333333333</v>
      </c>
      <c r="D55" s="180">
        <f>[2]Margins!F56</f>
        <v>0.20335295617346388</v>
      </c>
      <c r="E55" s="180">
        <f>'[2]Return on capital'!H55</f>
        <v>0.27004010102815007</v>
      </c>
      <c r="F55" s="180">
        <f>'[2]Tax rates'!H56</f>
        <v>0.41991138498909009</v>
      </c>
      <c r="G55" s="181">
        <f>[2]Beta!H58</f>
        <v>1.0257376245751695</v>
      </c>
      <c r="H55" s="181">
        <f>[2]Beta!C58</f>
        <v>1.084261071514385</v>
      </c>
      <c r="I55" s="180">
        <f>[2]WACC!D66</f>
        <v>0.12532403350684793</v>
      </c>
      <c r="J55" s="180">
        <f>[2]optvar!C60</f>
        <v>0.290654684170079</v>
      </c>
      <c r="K55" s="180">
        <f>[2]WACC!G66</f>
        <v>6.9500000000000006E-2</v>
      </c>
      <c r="L55" s="180">
        <f>'[2]Debt fundamentals'!F55</f>
        <v>0.16268470683281316</v>
      </c>
      <c r="M55" s="180">
        <f>[2]WACC!K66</f>
        <v>0.11345298193785319</v>
      </c>
      <c r="N55" s="181">
        <f>'[2]Cap Ex'!J55</f>
        <v>1.7857895827693153</v>
      </c>
      <c r="O55" s="181">
        <f>[2]PS!E55</f>
        <v>1.1058383997115753</v>
      </c>
      <c r="P55" s="181">
        <f>[2]EVEBITDA!D56</f>
        <v>4.3448854858449613</v>
      </c>
      <c r="Q55" s="181">
        <f>[2]EVEBITDA!E56</f>
        <v>5.4280645644302892</v>
      </c>
      <c r="R55" s="181">
        <f>[2]PBV!C55</f>
        <v>2.0049151503678555</v>
      </c>
      <c r="S55" s="181">
        <f>[2]PE!E55</f>
        <v>9.0007964734467958</v>
      </c>
      <c r="T55" s="180">
        <f>'[2]Working capital'!F55</f>
        <v>3.1817707137746329E-2</v>
      </c>
      <c r="U55" s="180">
        <f>'[2]Summary sheet uValue'!G64</f>
        <v>5.7508156555064825E-2</v>
      </c>
      <c r="V55" s="180">
        <f>'[2]Cap Ex'!H55</f>
        <v>1.0887406636895138E-2</v>
      </c>
      <c r="W55" s="180">
        <f>[2]fundgrEB!D55</f>
        <v>0.25434157304490956</v>
      </c>
      <c r="X55" s="180">
        <f>[2]Fundgr!C55</f>
        <v>0.27383892566202067</v>
      </c>
      <c r="Y55" s="180">
        <f>'[2]Dividend fundamentals'!E55</f>
        <v>0.37303344260196158</v>
      </c>
      <c r="Z55" s="180">
        <f>1-[2]Fundgr!D55</f>
        <v>0.37303344260196158</v>
      </c>
      <c r="AA55" s="182">
        <f>[2]Margins!J56</f>
        <v>0.20370003311353505</v>
      </c>
    </row>
    <row r="56" spans="1:27" s="151" customFormat="1" ht="13">
      <c r="A56" s="178" t="str">
        <f>'[2]Master data'!A56</f>
        <v>Oil/Gas (Production and Exploration)</v>
      </c>
      <c r="B56" s="179">
        <f>'[2]Master data'!B56</f>
        <v>616</v>
      </c>
      <c r="C56" s="180">
        <f>'[2]Hist Growth'!D56</f>
        <v>0.30223883792048944</v>
      </c>
      <c r="D56" s="180">
        <f>[2]Margins!F57</f>
        <v>0.39369866847384061</v>
      </c>
      <c r="E56" s="180">
        <f>'[2]Return on capital'!H56</f>
        <v>0.31379162613860156</v>
      </c>
      <c r="F56" s="180">
        <f>'[2]Tax rates'!H57</f>
        <v>0.28580178705791059</v>
      </c>
      <c r="G56" s="181">
        <f>[2]Beta!H59</f>
        <v>1.1719532510287904</v>
      </c>
      <c r="H56" s="181">
        <f>[2]Beta!C59</f>
        <v>1.3064445801888949</v>
      </c>
      <c r="I56" s="180">
        <f>[2]WACC!D67</f>
        <v>0.14305427749907379</v>
      </c>
      <c r="J56" s="180">
        <f>[2]optvar!C61</f>
        <v>0.5761526246802835</v>
      </c>
      <c r="K56" s="180">
        <f>[2]WACC!G67</f>
        <v>7.3300000000000004E-2</v>
      </c>
      <c r="L56" s="180">
        <f>'[2]Debt fundamentals'!F56</f>
        <v>0.20768151674921126</v>
      </c>
      <c r="M56" s="180">
        <f>[2]WACC!K67</f>
        <v>0.12481207563597795</v>
      </c>
      <c r="N56" s="181">
        <f>'[2]Cap Ex'!J56</f>
        <v>0.86121731092209874</v>
      </c>
      <c r="O56" s="181">
        <f>[2]PS!E56</f>
        <v>2.0731720837297396</v>
      </c>
      <c r="P56" s="181">
        <f>[2]EVEBITDA!D57</f>
        <v>3.7472101694724449</v>
      </c>
      <c r="Q56" s="181">
        <f>[2]EVEBITDA!E57</f>
        <v>5.1624357278110722</v>
      </c>
      <c r="R56" s="181">
        <f>[2]PBV!C56</f>
        <v>1.7300606771239979</v>
      </c>
      <c r="S56" s="181">
        <f>[2]PE!E56</f>
        <v>15.176434666764806</v>
      </c>
      <c r="T56" s="180">
        <f>'[2]Working capital'!F56</f>
        <v>-3.4048080229958685E-2</v>
      </c>
      <c r="U56" s="180">
        <f>'[2]Summary sheet uValue'!G65</f>
        <v>0.19112684090849405</v>
      </c>
      <c r="V56" s="180">
        <f>'[2]Cap Ex'!H56</f>
        <v>0.10412878403283038</v>
      </c>
      <c r="W56" s="180">
        <f>[2]fundgrEB!D56</f>
        <v>0.39979108991661882</v>
      </c>
      <c r="X56" s="180">
        <f>[2]Fundgr!C56</f>
        <v>0.34554609990982482</v>
      </c>
      <c r="Y56" s="180">
        <f>'[2]Dividend fundamentals'!E56</f>
        <v>0.23995987250134324</v>
      </c>
      <c r="Z56" s="180">
        <f>1-[2]Fundgr!D56</f>
        <v>0.23995987250134321</v>
      </c>
      <c r="AA56" s="182">
        <f>[2]Margins!J57</f>
        <v>0.39485854644800417</v>
      </c>
    </row>
    <row r="57" spans="1:27" s="151" customFormat="1" ht="13">
      <c r="A57" s="178" t="str">
        <f>'[2]Master data'!A57</f>
        <v>Oil/Gas Distribution</v>
      </c>
      <c r="B57" s="179">
        <f>'[2]Master data'!B57</f>
        <v>166</v>
      </c>
      <c r="C57" s="180">
        <f>'[2]Hist Growth'!D57</f>
        <v>0.16448449152542369</v>
      </c>
      <c r="D57" s="180">
        <f>[2]Margins!F58</f>
        <v>0.10430118720988638</v>
      </c>
      <c r="E57" s="180">
        <f>'[2]Return on capital'!H57</f>
        <v>6.7858428077638394E-2</v>
      </c>
      <c r="F57" s="180">
        <f>'[2]Tax rates'!H58</f>
        <v>0.15515930094367683</v>
      </c>
      <c r="G57" s="181">
        <f>[2]Beta!H60</f>
        <v>0.64089564623933604</v>
      </c>
      <c r="H57" s="181">
        <f>[2]Beta!C60</f>
        <v>0.95988331574324681</v>
      </c>
      <c r="I57" s="180">
        <f>[2]WACC!D68</f>
        <v>0.1153986885963111</v>
      </c>
      <c r="J57" s="180">
        <f>[2]optvar!C62</f>
        <v>0.31692919401817637</v>
      </c>
      <c r="K57" s="180">
        <f>[2]WACC!G68</f>
        <v>6.9500000000000006E-2</v>
      </c>
      <c r="L57" s="180">
        <f>'[2]Debt fundamentals'!F57</f>
        <v>0.42266188084582412</v>
      </c>
      <c r="M57" s="180">
        <f>[2]WACC!K68</f>
        <v>8.8752249868513267E-2</v>
      </c>
      <c r="N57" s="181">
        <f>'[2]Cap Ex'!J57</f>
        <v>0.73009263082634401</v>
      </c>
      <c r="O57" s="181">
        <f>[2]PS!E57</f>
        <v>2.1330247885411833</v>
      </c>
      <c r="P57" s="181">
        <f>[2]EVEBITDA!D58</f>
        <v>11.700012064245559</v>
      </c>
      <c r="Q57" s="181">
        <f>[2]EVEBITDA!E58</f>
        <v>18.500278519062103</v>
      </c>
      <c r="R57" s="181">
        <f>[2]PBV!C57</f>
        <v>1.8164371624196047</v>
      </c>
      <c r="S57" s="181">
        <f>[2]PE!E57</f>
        <v>40.136513779731757</v>
      </c>
      <c r="T57" s="180">
        <f>'[2]Working capital'!F57</f>
        <v>3.9146025407527839E-2</v>
      </c>
      <c r="U57" s="180">
        <f>'[2]Summary sheet uValue'!G66</f>
        <v>8.237881928404911E-2</v>
      </c>
      <c r="V57" s="180">
        <f>'[2]Cap Ex'!H57</f>
        <v>4.9080369154499467E-2</v>
      </c>
      <c r="W57" s="180">
        <f>[2]fundgrEB!D57</f>
        <v>0.72807608387840983</v>
      </c>
      <c r="X57" s="180">
        <f>[2]Fundgr!C57</f>
        <v>8.4745790010922972E-2</v>
      </c>
      <c r="Y57" s="180">
        <f>'[2]Dividend fundamentals'!E57</f>
        <v>1.1059354092352709</v>
      </c>
      <c r="Z57" s="180">
        <f>1-[2]Fundgr!D57</f>
        <v>1.1059354092352709</v>
      </c>
      <c r="AA57" s="182">
        <f>[2]Margins!J58</f>
        <v>0.1052863696769992</v>
      </c>
    </row>
    <row r="58" spans="1:27" s="151" customFormat="1" ht="13">
      <c r="A58" s="178" t="str">
        <f>'[2]Master data'!A58</f>
        <v>Oilfield Svcs/Equip.</v>
      </c>
      <c r="B58" s="179">
        <f>'[2]Master data'!B58</f>
        <v>455</v>
      </c>
      <c r="C58" s="180">
        <f>'[2]Hist Growth'!D58</f>
        <v>7.2712420749279513E-2</v>
      </c>
      <c r="D58" s="180">
        <f>[2]Margins!F59</f>
        <v>6.4183350193997971E-2</v>
      </c>
      <c r="E58" s="180">
        <f>'[2]Return on capital'!H58</f>
        <v>0.14865827167185494</v>
      </c>
      <c r="F58" s="180">
        <f>'[2]Tax rates'!H59</f>
        <v>0.22426511994986614</v>
      </c>
      <c r="G58" s="181">
        <f>[2]Beta!H61</f>
        <v>0.91861441331163474</v>
      </c>
      <c r="H58" s="181">
        <f>[2]Beta!C61</f>
        <v>1.1458047060134187</v>
      </c>
      <c r="I58" s="180">
        <f>[2]WACC!D69</f>
        <v>0.1302352155398708</v>
      </c>
      <c r="J58" s="180">
        <f>[2]optvar!C63</f>
        <v>0.38678554871410087</v>
      </c>
      <c r="K58" s="180">
        <f>[2]WACC!G69</f>
        <v>6.9500000000000006E-2</v>
      </c>
      <c r="L58" s="180">
        <f>'[2]Debt fundamentals'!F58</f>
        <v>0.31780520070676432</v>
      </c>
      <c r="M58" s="180">
        <f>[2]WACC!K69</f>
        <v>0.10548427143575564</v>
      </c>
      <c r="N58" s="181">
        <f>'[2]Cap Ex'!J58</f>
        <v>2.613156854484068</v>
      </c>
      <c r="O58" s="181">
        <f>[2]PS!E58</f>
        <v>0.61013809104337946</v>
      </c>
      <c r="P58" s="181">
        <f>[2]EVEBITDA!D59</f>
        <v>6.7162676456444652</v>
      </c>
      <c r="Q58" s="181">
        <f>[2]EVEBITDA!E59</f>
        <v>9.1737290125335438</v>
      </c>
      <c r="R58" s="181">
        <f>[2]PBV!C58</f>
        <v>1.5357699086396315</v>
      </c>
      <c r="S58" s="181">
        <f>[2]PE!E58</f>
        <v>28.410647467275698</v>
      </c>
      <c r="T58" s="180">
        <f>'[2]Working capital'!F58</f>
        <v>6.9270716342897679E-2</v>
      </c>
      <c r="U58" s="180">
        <f>'[2]Summary sheet uValue'!G67</f>
        <v>3.0825023367356891E-2</v>
      </c>
      <c r="V58" s="180">
        <f>'[2]Cap Ex'!H58</f>
        <v>1.7349901508777407E-2</v>
      </c>
      <c r="W58" s="180">
        <f>[2]fundgrEB!D58</f>
        <v>0.87249783797510927</v>
      </c>
      <c r="X58" s="180">
        <f>[2]Fundgr!C58</f>
        <v>0.16953802063524387</v>
      </c>
      <c r="Y58" s="180">
        <f>'[2]Dividend fundamentals'!E58</f>
        <v>0.2379445180748172</v>
      </c>
      <c r="Z58" s="180">
        <f>1-[2]Fundgr!D58</f>
        <v>0.2379445180748172</v>
      </c>
      <c r="AA58" s="182">
        <f>[2]Margins!J59</f>
        <v>6.4755034205025944E-2</v>
      </c>
    </row>
    <row r="59" spans="1:27" s="151" customFormat="1" ht="13">
      <c r="A59" s="178" t="str">
        <f>'[2]Master data'!A59</f>
        <v>Packaging &amp; Container</v>
      </c>
      <c r="B59" s="179">
        <f>'[2]Master data'!B59</f>
        <v>414</v>
      </c>
      <c r="C59" s="180">
        <f>'[2]Hist Growth'!D59</f>
        <v>7.7229067524115708E-2</v>
      </c>
      <c r="D59" s="180">
        <f>[2]Margins!F60</f>
        <v>8.5726621940880904E-2</v>
      </c>
      <c r="E59" s="180">
        <f>'[2]Return on capital'!H59</f>
        <v>0.11313229318848557</v>
      </c>
      <c r="F59" s="180">
        <f>'[2]Tax rates'!H60</f>
        <v>0.21261531513898216</v>
      </c>
      <c r="G59" s="181">
        <f>[2]Beta!H62</f>
        <v>0.64542329085878691</v>
      </c>
      <c r="H59" s="181">
        <f>[2]Beta!C62</f>
        <v>0.83576683531576557</v>
      </c>
      <c r="I59" s="180">
        <f>[2]WACC!D70</f>
        <v>0.10549419345819809</v>
      </c>
      <c r="J59" s="180">
        <f>[2]optvar!C64</f>
        <v>0.29449832942613408</v>
      </c>
      <c r="K59" s="180">
        <f>[2]WACC!G70</f>
        <v>6.9500000000000006E-2</v>
      </c>
      <c r="L59" s="180">
        <f>'[2]Debt fundamentals'!F59</f>
        <v>0.32860706063842687</v>
      </c>
      <c r="M59" s="180">
        <f>[2]WACC!K70</f>
        <v>8.8032065696613482E-2</v>
      </c>
      <c r="N59" s="181">
        <f>'[2]Cap Ex'!J59</f>
        <v>1.5638858386300616</v>
      </c>
      <c r="O59" s="181">
        <f>[2]PS!E59</f>
        <v>1.2245297647229045</v>
      </c>
      <c r="P59" s="181">
        <f>[2]EVEBITDA!D60</f>
        <v>8.8060241920088291</v>
      </c>
      <c r="Q59" s="181">
        <f>[2]EVEBITDA!E60</f>
        <v>14.003272248254996</v>
      </c>
      <c r="R59" s="181">
        <f>[2]PBV!C59</f>
        <v>1.940650938180684</v>
      </c>
      <c r="S59" s="181">
        <f>[2]PE!E59</f>
        <v>125.25944123508474</v>
      </c>
      <c r="T59" s="180">
        <f>'[2]Working capital'!F59</f>
        <v>0.13395356814912099</v>
      </c>
      <c r="U59" s="180">
        <f>'[2]Summary sheet uValue'!G68</f>
        <v>6.1565857660402623E-2</v>
      </c>
      <c r="V59" s="180">
        <f>'[2]Cap Ex'!H59</f>
        <v>4.4226653802734196E-2</v>
      </c>
      <c r="W59" s="180">
        <f>[2]fundgrEB!D59</f>
        <v>0.99286044008723728</v>
      </c>
      <c r="X59" s="180">
        <f>[2]Fundgr!C59</f>
        <v>0.12941444561462065</v>
      </c>
      <c r="Y59" s="180">
        <f>'[2]Dividend fundamentals'!E59</f>
        <v>0.39149024112254632</v>
      </c>
      <c r="Z59" s="180">
        <f>1-[2]Fundgr!D59</f>
        <v>0.39149024112254627</v>
      </c>
      <c r="AA59" s="182">
        <f>[2]Margins!J60</f>
        <v>8.6636757613466842E-2</v>
      </c>
    </row>
    <row r="60" spans="1:27" s="151" customFormat="1" ht="13">
      <c r="A60" s="178" t="str">
        <f>'[2]Master data'!A60</f>
        <v>Paper/Forest Products</v>
      </c>
      <c r="B60" s="179">
        <f>'[2]Master data'!B60</f>
        <v>268</v>
      </c>
      <c r="C60" s="180">
        <f>'[2]Hist Growth'!D60</f>
        <v>9.0147203791469191E-2</v>
      </c>
      <c r="D60" s="180">
        <f>[2]Margins!F61</f>
        <v>0.13562433135317445</v>
      </c>
      <c r="E60" s="180">
        <f>'[2]Return on capital'!H60</f>
        <v>0.10812075767476295</v>
      </c>
      <c r="F60" s="180">
        <f>'[2]Tax rates'!H61</f>
        <v>0.20345272338936696</v>
      </c>
      <c r="G60" s="181">
        <f>[2]Beta!H63</f>
        <v>0.75235968116666097</v>
      </c>
      <c r="H60" s="181">
        <f>[2]Beta!C63</f>
        <v>0.9932645149292465</v>
      </c>
      <c r="I60" s="180">
        <f>[2]WACC!D71</f>
        <v>0.11806250829135387</v>
      </c>
      <c r="J60" s="180">
        <f>[2]optvar!C65</f>
        <v>0.3119027435891214</v>
      </c>
      <c r="K60" s="180">
        <f>[2]WACC!G71</f>
        <v>6.9500000000000006E-2</v>
      </c>
      <c r="L60" s="180">
        <f>'[2]Debt fundamentals'!F60</f>
        <v>0.38038958402186268</v>
      </c>
      <c r="M60" s="180">
        <f>[2]WACC!K71</f>
        <v>9.3067809292063056E-2</v>
      </c>
      <c r="N60" s="181">
        <f>'[2]Cap Ex'!J60</f>
        <v>0.95057512290737167</v>
      </c>
      <c r="O60" s="181">
        <f>[2]PS!E60</f>
        <v>1.1570645686768584</v>
      </c>
      <c r="P60" s="181">
        <f>[2]EVEBITDA!D61</f>
        <v>6.0428359160203389</v>
      </c>
      <c r="Q60" s="181">
        <f>[2]EVEBITDA!E61</f>
        <v>8.3351860224089958</v>
      </c>
      <c r="R60" s="181">
        <f>[2]PBV!C60</f>
        <v>1.0735483341618237</v>
      </c>
      <c r="S60" s="181">
        <f>[2]PE!E60</f>
        <v>22.787221865495614</v>
      </c>
      <c r="T60" s="180">
        <f>'[2]Working capital'!F60</f>
        <v>0.1982744747226807</v>
      </c>
      <c r="U60" s="180">
        <f>'[2]Summary sheet uValue'!G69</f>
        <v>8.1713371575624832E-2</v>
      </c>
      <c r="V60" s="180">
        <f>'[2]Cap Ex'!H60</f>
        <v>5.5442508522972618E-2</v>
      </c>
      <c r="W60" s="180">
        <f>[2]fundgrEB!D60</f>
        <v>0.76547067575041072</v>
      </c>
      <c r="X60" s="180">
        <f>[2]Fundgr!C60</f>
        <v>0.15075339671662341</v>
      </c>
      <c r="Y60" s="180">
        <f>'[2]Dividend fundamentals'!E60</f>
        <v>0.227065803635393</v>
      </c>
      <c r="Z60" s="180">
        <f>1-[2]Fundgr!D60</f>
        <v>0.22706580363539297</v>
      </c>
      <c r="AA60" s="182">
        <f>[2]Margins!J61</f>
        <v>0.13522755335680517</v>
      </c>
    </row>
    <row r="61" spans="1:27" s="151" customFormat="1" ht="13">
      <c r="A61" s="178" t="str">
        <f>'[2]Master data'!A61</f>
        <v>Power</v>
      </c>
      <c r="B61" s="179">
        <f>'[2]Master data'!B61</f>
        <v>485</v>
      </c>
      <c r="C61" s="180">
        <f>'[2]Hist Growth'!D61</f>
        <v>0.13698196428571432</v>
      </c>
      <c r="D61" s="180">
        <f>[2]Margins!F62</f>
        <v>8.8952020356594975E-3</v>
      </c>
      <c r="E61" s="180">
        <f>'[2]Return on capital'!H61</f>
        <v>5.6379509581119501E-3</v>
      </c>
      <c r="F61" s="180">
        <f>'[2]Tax rates'!H62</f>
        <v>0.19309502380562807</v>
      </c>
      <c r="G61" s="181">
        <f>[2]Beta!H64</f>
        <v>0.44330464743495768</v>
      </c>
      <c r="H61" s="181">
        <f>[2]Beta!C64</f>
        <v>0.72851850030208987</v>
      </c>
      <c r="I61" s="180">
        <f>[2]WACC!D72</f>
        <v>9.693577632410677E-2</v>
      </c>
      <c r="J61" s="180">
        <f>[2]optvar!C66</f>
        <v>0.25944771221610685</v>
      </c>
      <c r="K61" s="180">
        <f>[2]WACC!G72</f>
        <v>6.9500000000000006E-2</v>
      </c>
      <c r="L61" s="180">
        <f>'[2]Debt fundamentals'!F61</f>
        <v>0.49018534791706631</v>
      </c>
      <c r="M61" s="180">
        <f>[2]WACC!K72</f>
        <v>7.5082614350785434E-2</v>
      </c>
      <c r="N61" s="181">
        <f>'[2]Cap Ex'!J61</f>
        <v>0.72896487550187217</v>
      </c>
      <c r="O61" s="181">
        <f>[2]PS!E61</f>
        <v>1.7852315254855147</v>
      </c>
      <c r="P61" s="181">
        <f>[2]EVEBITDA!D62</f>
        <v>11.802718510592392</v>
      </c>
      <c r="Q61" s="181">
        <f>[2]EVEBITDA!E62</f>
        <v>185.00972997805684</v>
      </c>
      <c r="R61" s="181">
        <f>[2]PBV!C61</f>
        <v>1.4577656930951783</v>
      </c>
      <c r="S61" s="181">
        <f>[2]PE!E61</f>
        <v>35.263872090999307</v>
      </c>
      <c r="T61" s="180">
        <f>'[2]Working capital'!F61</f>
        <v>-6.4300492957312716E-2</v>
      </c>
      <c r="U61" s="180">
        <f>'[2]Summary sheet uValue'!G70</f>
        <v>0.12634435319825676</v>
      </c>
      <c r="V61" s="180">
        <f>'[2]Cap Ex'!H61</f>
        <v>6.8802991514656131E-2</v>
      </c>
      <c r="W61" s="180" t="str">
        <f>[2]fundgrEB!D61</f>
        <v>NA</v>
      </c>
      <c r="X61" s="180">
        <f>[2]Fundgr!C61</f>
        <v>2.5145559391345728E-2</v>
      </c>
      <c r="Y61" s="180">
        <f>'[2]Dividend fundamentals'!E61</f>
        <v>2.3563791476947751</v>
      </c>
      <c r="Z61" s="180">
        <f>1-[2]Fundgr!D61</f>
        <v>2.3563791476947751</v>
      </c>
      <c r="AA61" s="182">
        <f>[2]Margins!J62</f>
        <v>9.0650879058015495E-3</v>
      </c>
    </row>
    <row r="62" spans="1:27" s="151" customFormat="1" ht="13">
      <c r="A62" s="178" t="str">
        <f>'[2]Master data'!A62</f>
        <v>Precious Metals</v>
      </c>
      <c r="B62" s="179">
        <f>'[2]Master data'!B62</f>
        <v>930</v>
      </c>
      <c r="C62" s="180">
        <f>'[2]Hist Growth'!D62</f>
        <v>0.22946125628140696</v>
      </c>
      <c r="D62" s="180">
        <f>[2]Margins!F63</f>
        <v>0.16469671534866936</v>
      </c>
      <c r="E62" s="180">
        <f>'[2]Return on capital'!H62</f>
        <v>0.1313128227330175</v>
      </c>
      <c r="F62" s="180">
        <f>'[2]Tax rates'!H63</f>
        <v>0.27927098666383909</v>
      </c>
      <c r="G62" s="181">
        <f>[2]Beta!H65</f>
        <v>1.1011319908908235</v>
      </c>
      <c r="H62" s="181">
        <f>[2]Beta!C65</f>
        <v>1.1408458156282186</v>
      </c>
      <c r="I62" s="180">
        <f>[2]WACC!D73</f>
        <v>0.12983949608713186</v>
      </c>
      <c r="J62" s="180">
        <f>[2]optvar!C67</f>
        <v>0.62912563546076816</v>
      </c>
      <c r="K62" s="180">
        <f>[2]WACC!G73</f>
        <v>7.3300000000000004E-2</v>
      </c>
      <c r="L62" s="180">
        <f>'[2]Debt fundamentals'!F62</f>
        <v>0.15433126027989771</v>
      </c>
      <c r="M62" s="180">
        <f>[2]WACC!K73</f>
        <v>0.11832289524433443</v>
      </c>
      <c r="N62" s="181">
        <f>'[2]Cap Ex'!J62</f>
        <v>0.82760527587667976</v>
      </c>
      <c r="O62" s="181">
        <f>[2]PS!E62</f>
        <v>2.2398890646875773</v>
      </c>
      <c r="P62" s="181">
        <f>[2]EVEBITDA!D63</f>
        <v>6.9681846412865802</v>
      </c>
      <c r="Q62" s="181">
        <f>[2]EVEBITDA!E63</f>
        <v>12.579527614682526</v>
      </c>
      <c r="R62" s="181">
        <f>[2]PBV!C62</f>
        <v>1.5934497426010152</v>
      </c>
      <c r="S62" s="181">
        <f>[2]PE!E62</f>
        <v>627.22580291642339</v>
      </c>
      <c r="T62" s="180">
        <f>'[2]Working capital'!F62</f>
        <v>0.11475012262399167</v>
      </c>
      <c r="U62" s="180">
        <f>'[2]Summary sheet uValue'!G71</f>
        <v>0.17449080042263629</v>
      </c>
      <c r="V62" s="180">
        <f>'[2]Cap Ex'!H62</f>
        <v>0.11013130656603419</v>
      </c>
      <c r="W62" s="180">
        <f>[2]fundgrEB!D62</f>
        <v>1.0172987135360556</v>
      </c>
      <c r="X62" s="180">
        <f>[2]Fundgr!C62</f>
        <v>7.8535027733689977E-2</v>
      </c>
      <c r="Y62" s="180">
        <f>'[2]Dividend fundamentals'!E62</f>
        <v>0.73625171843106163</v>
      </c>
      <c r="Z62" s="180">
        <f>1-[2]Fundgr!D62</f>
        <v>0.73625171843106163</v>
      </c>
      <c r="AA62" s="182">
        <f>[2]Margins!J63</f>
        <v>0.16545429871456141</v>
      </c>
    </row>
    <row r="63" spans="1:27" s="151" customFormat="1" ht="13">
      <c r="A63" s="178" t="str">
        <f>'[2]Master data'!A63</f>
        <v>Publishing &amp; Newspapers</v>
      </c>
      <c r="B63" s="179">
        <f>'[2]Master data'!B63</f>
        <v>327</v>
      </c>
      <c r="C63" s="180">
        <f>'[2]Hist Growth'!D63</f>
        <v>1.6786992481203009E-2</v>
      </c>
      <c r="D63" s="180">
        <f>[2]Margins!F64</f>
        <v>6.8047405467743752E-2</v>
      </c>
      <c r="E63" s="180">
        <f>'[2]Return on capital'!H63</f>
        <v>6.9816045888240669E-2</v>
      </c>
      <c r="F63" s="180">
        <f>'[2]Tax rates'!H64</f>
        <v>0.16412591831025117</v>
      </c>
      <c r="G63" s="181">
        <f>[2]Beta!H66</f>
        <v>0.86903952851253174</v>
      </c>
      <c r="H63" s="181">
        <f>[2]Beta!C66</f>
        <v>0.88913332691145819</v>
      </c>
      <c r="I63" s="180">
        <f>[2]WACC!D74</f>
        <v>0.10975283948753436</v>
      </c>
      <c r="J63" s="180">
        <f>[2]optvar!C68</f>
        <v>0.31440209547156556</v>
      </c>
      <c r="K63" s="180">
        <f>[2]WACC!G74</f>
        <v>6.9500000000000006E-2</v>
      </c>
      <c r="L63" s="180">
        <f>'[2]Debt fundamentals'!F63</f>
        <v>0.22992110847420524</v>
      </c>
      <c r="M63" s="180">
        <f>[2]WACC!K74</f>
        <v>9.6555715159815453E-2</v>
      </c>
      <c r="N63" s="181">
        <f>'[2]Cap Ex'!J63</f>
        <v>1.2217649449167178</v>
      </c>
      <c r="O63" s="181">
        <f>[2]PS!E63</f>
        <v>1.1602232971528561</v>
      </c>
      <c r="P63" s="181">
        <f>[2]EVEBITDA!D64</f>
        <v>9.6468280876694159</v>
      </c>
      <c r="Q63" s="181">
        <f>[2]EVEBITDA!E64</f>
        <v>16.151701374998392</v>
      </c>
      <c r="R63" s="181">
        <f>[2]PBV!C63</f>
        <v>1.3219210745300178</v>
      </c>
      <c r="S63" s="181">
        <f>[2]PE!E63</f>
        <v>33.167267570476426</v>
      </c>
      <c r="T63" s="180">
        <f>'[2]Working capital'!F63</f>
        <v>0.11020902121217334</v>
      </c>
      <c r="U63" s="180">
        <f>'[2]Summary sheet uValue'!G72</f>
        <v>3.2449887861531329E-2</v>
      </c>
      <c r="V63" s="180">
        <f>'[2]Cap Ex'!H63</f>
        <v>2.5056726303420367E-2</v>
      </c>
      <c r="W63" s="180">
        <f>[2]fundgrEB!D63</f>
        <v>0.61457801131291045</v>
      </c>
      <c r="X63" s="180">
        <f>[2]Fundgr!C63</f>
        <v>2.9633954369228457E-2</v>
      </c>
      <c r="Y63" s="180">
        <f>'[2]Dividend fundamentals'!E63</f>
        <v>0.89648700518886948</v>
      </c>
      <c r="Z63" s="180">
        <f>1-[2]Fundgr!D63</f>
        <v>0.89648700518886948</v>
      </c>
      <c r="AA63" s="182">
        <f>[2]Margins!J64</f>
        <v>6.6598008587568716E-2</v>
      </c>
    </row>
    <row r="64" spans="1:27" s="151" customFormat="1" ht="13">
      <c r="A64" s="178" t="str">
        <f>'[2]Master data'!A64</f>
        <v>R.E.I.T.</v>
      </c>
      <c r="B64" s="179">
        <f>'[2]Master data'!B64</f>
        <v>792</v>
      </c>
      <c r="C64" s="180">
        <f>'[2]Hist Growth'!D64</f>
        <v>9.401075971731436E-2</v>
      </c>
      <c r="D64" s="180">
        <f>[2]Margins!F65</f>
        <v>0.33803600955498653</v>
      </c>
      <c r="E64" s="180">
        <f>'[2]Return on capital'!H64</f>
        <v>3.5771025211289796E-2</v>
      </c>
      <c r="F64" s="180">
        <f>'[2]Tax rates'!H65</f>
        <v>4.4876200270087915E-2</v>
      </c>
      <c r="G64" s="181">
        <f>[2]Beta!H67</f>
        <v>0.50916998451540341</v>
      </c>
      <c r="H64" s="181">
        <f>[2]Beta!C67</f>
        <v>0.79260643027832334</v>
      </c>
      <c r="I64" s="180">
        <f>[2]WACC!D75</f>
        <v>0.1020499931362102</v>
      </c>
      <c r="J64" s="180">
        <f>[2]optvar!C69</f>
        <v>0.188502700447128</v>
      </c>
      <c r="K64" s="180">
        <f>[2]WACC!G75</f>
        <v>6.1800000000000001E-2</v>
      </c>
      <c r="L64" s="180">
        <f>'[2]Debt fundamentals'!F64</f>
        <v>0.4393257428399891</v>
      </c>
      <c r="M64" s="180">
        <f>[2]WACC!K75</f>
        <v>7.7669148367457155E-2</v>
      </c>
      <c r="N64" s="181">
        <f>'[2]Cap Ex'!J64</f>
        <v>0.11475356271315791</v>
      </c>
      <c r="O64" s="181">
        <f>[2]PS!E64</f>
        <v>11.531042195662517</v>
      </c>
      <c r="P64" s="181">
        <f>[2]EVEBITDA!D65</f>
        <v>20.236307238218217</v>
      </c>
      <c r="Q64" s="181">
        <f>[2]EVEBITDA!E65</f>
        <v>31.551898219621943</v>
      </c>
      <c r="R64" s="181">
        <f>[2]PBV!C64</f>
        <v>1.3917441013942691</v>
      </c>
      <c r="S64" s="181">
        <f>[2]PE!E64</f>
        <v>29.010844155919504</v>
      </c>
      <c r="T64" s="180">
        <f>'[2]Working capital'!F64</f>
        <v>0.88906144737506287</v>
      </c>
      <c r="U64" s="180">
        <f>'[2]Summary sheet uValue'!G73</f>
        <v>5.1005426695245375E-2</v>
      </c>
      <c r="V64" s="180">
        <f>'[2]Cap Ex'!H64</f>
        <v>2.5883461310246391E-2</v>
      </c>
      <c r="W64" s="180">
        <f>[2]fundgrEB!D64</f>
        <v>9.464086024167101E-2</v>
      </c>
      <c r="X64" s="180">
        <f>[2]Fundgr!C64</f>
        <v>9.2519075438043677E-2</v>
      </c>
      <c r="Y64" s="180">
        <f>'[2]Dividend fundamentals'!E64</f>
        <v>0.70088392829994195</v>
      </c>
      <c r="Z64" s="180">
        <f>1-[2]Fundgr!D64</f>
        <v>0.70088392829994195</v>
      </c>
      <c r="AA64" s="182">
        <f>[2]Margins!J65</f>
        <v>0.32145434499735054</v>
      </c>
    </row>
    <row r="65" spans="1:27" s="151" customFormat="1" ht="13">
      <c r="A65" s="178" t="str">
        <f>'[2]Master data'!A65</f>
        <v>Real Estate (Development)</v>
      </c>
      <c r="B65" s="179">
        <f>'[2]Master data'!B65</f>
        <v>869</v>
      </c>
      <c r="C65" s="180">
        <f>'[2]Hist Growth'!D65</f>
        <v>7.3651298076923083E-2</v>
      </c>
      <c r="D65" s="180">
        <f>[2]Margins!F66</f>
        <v>0.10490271872236499</v>
      </c>
      <c r="E65" s="180">
        <f>'[2]Return on capital'!H65</f>
        <v>4.6488813199838747E-2</v>
      </c>
      <c r="F65" s="180">
        <f>'[2]Tax rates'!H66</f>
        <v>0.32537487639676393</v>
      </c>
      <c r="G65" s="181">
        <f>[2]Beta!H68</f>
        <v>0.50125460232442209</v>
      </c>
      <c r="H65" s="181">
        <f>[2]Beta!C68</f>
        <v>1.0176524508975406</v>
      </c>
      <c r="I65" s="180">
        <f>[2]WACC!D76</f>
        <v>0.12000866558162374</v>
      </c>
      <c r="J65" s="180">
        <f>[2]optvar!C70</f>
        <v>0.32556181158049086</v>
      </c>
      <c r="K65" s="180">
        <f>[2]WACC!G76</f>
        <v>6.9500000000000006E-2</v>
      </c>
      <c r="L65" s="180">
        <f>'[2]Debt fundamentals'!F65</f>
        <v>0.66950390839006624</v>
      </c>
      <c r="M65" s="180">
        <f>[2]WACC!K76</f>
        <v>7.4713836880271695E-2</v>
      </c>
      <c r="N65" s="181">
        <f>'[2]Cap Ex'!J65</f>
        <v>0.52893270500810741</v>
      </c>
      <c r="O65" s="181">
        <f>[2]PS!E65</f>
        <v>1.5312131208338273</v>
      </c>
      <c r="P65" s="181">
        <f>[2]EVEBITDA!D66</f>
        <v>10.217278961542926</v>
      </c>
      <c r="Q65" s="181">
        <f>[2]EVEBITDA!E66</f>
        <v>12.510382289782783</v>
      </c>
      <c r="R65" s="181">
        <f>[2]PBV!C65</f>
        <v>0.47581440970018868</v>
      </c>
      <c r="S65" s="181">
        <f>[2]PE!E65</f>
        <v>93.428636892287287</v>
      </c>
      <c r="T65" s="180">
        <f>'[2]Working capital'!F65</f>
        <v>1.8806993528177163</v>
      </c>
      <c r="U65" s="180">
        <f>'[2]Summary sheet uValue'!G74</f>
        <v>2.2769633151219978E-2</v>
      </c>
      <c r="V65" s="180">
        <f>'[2]Cap Ex'!H65</f>
        <v>1.7039267244275656E-2</v>
      </c>
      <c r="W65" s="180">
        <f>[2]fundgrEB!D65</f>
        <v>0.16278381269454029</v>
      </c>
      <c r="X65" s="180">
        <f>[2]Fundgr!C65</f>
        <v>4.5763966797147754E-2</v>
      </c>
      <c r="Y65" s="180">
        <f>'[2]Dividend fundamentals'!E65</f>
        <v>1.0751257428507728</v>
      </c>
      <c r="Z65" s="180">
        <f>1-[2]Fundgr!D65</f>
        <v>1.0751257428507728</v>
      </c>
      <c r="AA65" s="182">
        <f>[2]Margins!J66</f>
        <v>0.10454275297579443</v>
      </c>
    </row>
    <row r="66" spans="1:27" s="151" customFormat="1" ht="13">
      <c r="A66" s="178" t="str">
        <f>'[2]Master data'!A66</f>
        <v>Real Estate (General/Diversified)</v>
      </c>
      <c r="B66" s="179">
        <f>'[2]Master data'!B66</f>
        <v>342</v>
      </c>
      <c r="C66" s="180">
        <f>'[2]Hist Growth'!D66</f>
        <v>4.9859999999999995E-2</v>
      </c>
      <c r="D66" s="180">
        <f>[2]Margins!F67</f>
        <v>0.14757079111695964</v>
      </c>
      <c r="E66" s="180">
        <f>'[2]Return on capital'!H66</f>
        <v>3.0628603680595022E-2</v>
      </c>
      <c r="F66" s="180">
        <f>'[2]Tax rates'!H67</f>
        <v>0.2669365744455201</v>
      </c>
      <c r="G66" s="181">
        <f>[2]Beta!H69</f>
        <v>0.52970275755712826</v>
      </c>
      <c r="H66" s="181">
        <f>[2]Beta!C69</f>
        <v>0.93422776635121907</v>
      </c>
      <c r="I66" s="180">
        <f>[2]WACC!D77</f>
        <v>0.11335137575482727</v>
      </c>
      <c r="J66" s="180">
        <f>[2]optvar!C71</f>
        <v>0.26803347575607533</v>
      </c>
      <c r="K66" s="180">
        <f>[2]WACC!G77</f>
        <v>6.9500000000000006E-2</v>
      </c>
      <c r="L66" s="180">
        <f>'[2]Debt fundamentals'!F66</f>
        <v>0.5549975323855354</v>
      </c>
      <c r="M66" s="180">
        <f>[2]WACC!K77</f>
        <v>7.949817697804118E-2</v>
      </c>
      <c r="N66" s="181">
        <f>'[2]Cap Ex'!J66</f>
        <v>0.23569371461739638</v>
      </c>
      <c r="O66" s="181">
        <f>[2]PS!E66</f>
        <v>3.4160312457346205</v>
      </c>
      <c r="P66" s="181">
        <f>[2]EVEBITDA!D67</f>
        <v>13.346468325691228</v>
      </c>
      <c r="Q66" s="181">
        <f>[2]EVEBITDA!E67</f>
        <v>20.678663385063345</v>
      </c>
      <c r="R66" s="181">
        <f>[2]PBV!C66</f>
        <v>0.64268461730126691</v>
      </c>
      <c r="S66" s="181">
        <f>[2]PE!E66</f>
        <v>44.690395758888215</v>
      </c>
      <c r="T66" s="180">
        <f>'[2]Working capital'!F66</f>
        <v>1.1832741086452718</v>
      </c>
      <c r="U66" s="180">
        <f>'[2]Summary sheet uValue'!G75</f>
        <v>9.1111875376455473E-2</v>
      </c>
      <c r="V66" s="180">
        <f>'[2]Cap Ex'!H66</f>
        <v>7.1706126778043278E-2</v>
      </c>
      <c r="W66" s="180">
        <f>[2]fundgrEB!D66</f>
        <v>0.93134238136231007</v>
      </c>
      <c r="X66" s="180">
        <f>[2]Fundgr!C66</f>
        <v>4.0329748272550953E-2</v>
      </c>
      <c r="Y66" s="180">
        <f>'[2]Dividend fundamentals'!E66</f>
        <v>0.54498146633642408</v>
      </c>
      <c r="Z66" s="180">
        <f>1-[2]Fundgr!D66</f>
        <v>0.54498146633642408</v>
      </c>
      <c r="AA66" s="182">
        <f>[2]Margins!J67</f>
        <v>0.15380910896269037</v>
      </c>
    </row>
    <row r="67" spans="1:27" s="151" customFormat="1" ht="13">
      <c r="A67" s="178" t="str">
        <f>'[2]Master data'!A67</f>
        <v>Real Estate (Operations &amp; Services)</v>
      </c>
      <c r="B67" s="179">
        <f>'[2]Master data'!B67</f>
        <v>730</v>
      </c>
      <c r="C67" s="180">
        <f>'[2]Hist Growth'!D67</f>
        <v>9.9823312500000122E-2</v>
      </c>
      <c r="D67" s="180">
        <f>[2]Margins!F68</f>
        <v>0.1442484586934426</v>
      </c>
      <c r="E67" s="180">
        <f>'[2]Return on capital'!H67</f>
        <v>3.2149555025986189E-2</v>
      </c>
      <c r="F67" s="180">
        <f>'[2]Tax rates'!H68</f>
        <v>0.22618473161019664</v>
      </c>
      <c r="G67" s="181">
        <f>[2]Beta!H70</f>
        <v>0.55215535355669476</v>
      </c>
      <c r="H67" s="181">
        <f>[2]Beta!C70</f>
        <v>0.90118806772324567</v>
      </c>
      <c r="I67" s="180">
        <f>[2]WACC!D78</f>
        <v>0.110714807804315</v>
      </c>
      <c r="J67" s="180">
        <f>[2]optvar!C72</f>
        <v>0.29972973723472146</v>
      </c>
      <c r="K67" s="180">
        <f>[2]WACC!G78</f>
        <v>6.9500000000000006E-2</v>
      </c>
      <c r="L67" s="180">
        <f>'[2]Debt fundamentals'!F67</f>
        <v>0.49710493526141969</v>
      </c>
      <c r="M67" s="180">
        <f>[2]WACC!K78</f>
        <v>8.1703536205674179E-2</v>
      </c>
      <c r="N67" s="181">
        <f>'[2]Cap Ex'!J67</f>
        <v>0.25341437544914164</v>
      </c>
      <c r="O67" s="181">
        <f>[2]PS!E67</f>
        <v>3.7203359838466712</v>
      </c>
      <c r="P67" s="181">
        <f>[2]EVEBITDA!D68</f>
        <v>16.148892324279235</v>
      </c>
      <c r="Q67" s="181">
        <f>[2]EVEBITDA!E68</f>
        <v>23.69469503174183</v>
      </c>
      <c r="R67" s="181">
        <f>[2]PBV!C67</f>
        <v>0.8197490370417182</v>
      </c>
      <c r="S67" s="181">
        <f>[2]PE!E67</f>
        <v>23.760402106394217</v>
      </c>
      <c r="T67" s="180">
        <f>'[2]Working capital'!F67</f>
        <v>0.21232391694041827</v>
      </c>
      <c r="U67" s="180">
        <f>'[2]Summary sheet uValue'!G76</f>
        <v>2.3909758518659972E-2</v>
      </c>
      <c r="V67" s="180">
        <f>'[2]Cap Ex'!H67</f>
        <v>7.7174872024271202E-2</v>
      </c>
      <c r="W67" s="180">
        <f>[2]fundgrEB!D67</f>
        <v>0.88999270872123326</v>
      </c>
      <c r="X67" s="180">
        <f>[2]Fundgr!C67</f>
        <v>6.5265588445008613E-2</v>
      </c>
      <c r="Y67" s="180">
        <f>'[2]Dividend fundamentals'!E67</f>
        <v>0.53211526909566764</v>
      </c>
      <c r="Z67" s="180">
        <f>1-[2]Fundgr!D67</f>
        <v>0.53211526909566764</v>
      </c>
      <c r="AA67" s="182">
        <f>[2]Margins!J68</f>
        <v>0.14816464671686094</v>
      </c>
    </row>
    <row r="68" spans="1:27" s="151" customFormat="1" ht="13">
      <c r="A68" s="178" t="str">
        <f>'[2]Master data'!A68</f>
        <v>Recreation</v>
      </c>
      <c r="B68" s="179">
        <f>'[2]Master data'!B68</f>
        <v>323</v>
      </c>
      <c r="C68" s="180">
        <f>'[2]Hist Growth'!D68</f>
        <v>5.1076739130434812E-2</v>
      </c>
      <c r="D68" s="180">
        <f>[2]Margins!F69</f>
        <v>0.10008498258676168</v>
      </c>
      <c r="E68" s="180">
        <f>'[2]Return on capital'!H68</f>
        <v>8.731459038120859E-2</v>
      </c>
      <c r="F68" s="180">
        <f>'[2]Tax rates'!H69</f>
        <v>0.23260571570121216</v>
      </c>
      <c r="G68" s="181">
        <f>[2]Beta!H71</f>
        <v>0.98589762336376341</v>
      </c>
      <c r="H68" s="181">
        <f>[2]Beta!C71</f>
        <v>1.1091960963190381</v>
      </c>
      <c r="I68" s="180">
        <f>[2]WACC!D79</f>
        <v>0.12731384848625923</v>
      </c>
      <c r="J68" s="180">
        <f>[2]optvar!C73</f>
        <v>0.33179399049670577</v>
      </c>
      <c r="K68" s="180">
        <f>[2]WACC!G79</f>
        <v>6.9500000000000006E-2</v>
      </c>
      <c r="L68" s="180">
        <f>'[2]Debt fundamentals'!F68</f>
        <v>0.24702270915957644</v>
      </c>
      <c r="M68" s="180">
        <f>[2]WACC!K79</f>
        <v>0.10879715009294032</v>
      </c>
      <c r="N68" s="181">
        <f>'[2]Cap Ex'!J68</f>
        <v>1.0486354163424807</v>
      </c>
      <c r="O68" s="181">
        <f>[2]PS!E68</f>
        <v>2.0974276344108858</v>
      </c>
      <c r="P68" s="181">
        <f>[2]EVEBITDA!D69</f>
        <v>12.274712507193845</v>
      </c>
      <c r="Q68" s="181">
        <f>[2]EVEBITDA!E69</f>
        <v>20.530732767244604</v>
      </c>
      <c r="R68" s="181">
        <f>[2]PBV!C68</f>
        <v>2.5725258921040592</v>
      </c>
      <c r="S68" s="181">
        <f>[2]PE!E68</f>
        <v>47.175784717711394</v>
      </c>
      <c r="T68" s="180">
        <f>'[2]Working capital'!F68</f>
        <v>0.31389391948549566</v>
      </c>
      <c r="U68" s="180">
        <f>'[2]Summary sheet uValue'!G77</f>
        <v>6.850083656836245E-2</v>
      </c>
      <c r="V68" s="180">
        <f>'[2]Cap Ex'!H68</f>
        <v>6.1053441623273752E-2</v>
      </c>
      <c r="W68" s="180">
        <f>[2]fundgrEB!D68</f>
        <v>1.3640377199332356</v>
      </c>
      <c r="X68" s="180">
        <f>[2]Fundgr!C68</f>
        <v>7.5242702559188704E-2</v>
      </c>
      <c r="Y68" s="180">
        <f>'[2]Dividend fundamentals'!E68</f>
        <v>0.56847876316386725</v>
      </c>
      <c r="Z68" s="180">
        <f>1-[2]Fundgr!D68</f>
        <v>0.56847876316386725</v>
      </c>
      <c r="AA68" s="182">
        <f>[2]Margins!J69</f>
        <v>9.6808973253023456E-2</v>
      </c>
    </row>
    <row r="69" spans="1:27" s="151" customFormat="1" ht="13">
      <c r="A69" s="178" t="str">
        <f>'[2]Master data'!A69</f>
        <v>Reinsurance</v>
      </c>
      <c r="B69" s="179">
        <f>'[2]Master data'!B69</f>
        <v>34</v>
      </c>
      <c r="C69" s="180">
        <f>'[2]Hist Growth'!D69</f>
        <v>3.1153928571428572E-2</v>
      </c>
      <c r="D69" s="180">
        <f>[2]Margins!F70</f>
        <v>1.6007690019154888E-2</v>
      </c>
      <c r="E69" s="180">
        <f>'[2]Return on capital'!H69</f>
        <v>2.2689180850825514E-2</v>
      </c>
      <c r="F69" s="180">
        <f>'[2]Tax rates'!H70</f>
        <v>0.17978159203569749</v>
      </c>
      <c r="G69" s="181">
        <f>[2]Beta!H72</f>
        <v>1.0895323174584777</v>
      </c>
      <c r="H69" s="181">
        <f>[2]Beta!C72</f>
        <v>1.1599096579998216</v>
      </c>
      <c r="I69" s="180">
        <f>[2]WACC!D80</f>
        <v>0.13136079070838574</v>
      </c>
      <c r="J69" s="180">
        <f>[2]optvar!C74</f>
        <v>0.28323303408098666</v>
      </c>
      <c r="K69" s="180">
        <f>[2]WACC!G80</f>
        <v>6.9500000000000006E-2</v>
      </c>
      <c r="L69" s="180">
        <f>'[2]Debt fundamentals'!F69</f>
        <v>0.2601501525257125</v>
      </c>
      <c r="M69" s="180">
        <f>[2]WACC!K80</f>
        <v>0.11080725310758553</v>
      </c>
      <c r="N69" s="181">
        <f>'[2]Cap Ex'!J69</f>
        <v>1.5733691708079169</v>
      </c>
      <c r="O69" s="181">
        <f>[2]PS!E69</f>
        <v>0.69619790925658542</v>
      </c>
      <c r="P69" s="181">
        <f>[2]EVEBITDA!D70</f>
        <v>17.766280415975285</v>
      </c>
      <c r="Q69" s="181">
        <f>[2]EVEBITDA!E70</f>
        <v>37.829126562955587</v>
      </c>
      <c r="R69" s="181">
        <f>[2]PBV!C69</f>
        <v>1.3931599445632008</v>
      </c>
      <c r="S69" s="181">
        <f>[2]PE!E69</f>
        <v>15.643852704032815</v>
      </c>
      <c r="T69" s="180">
        <f>'[2]Working capital'!F69</f>
        <v>-0.52624383723667811</v>
      </c>
      <c r="U69" s="180">
        <f>'[2]Summary sheet uValue'!G78</f>
        <v>7.5924451645731437E-4</v>
      </c>
      <c r="V69" s="180">
        <f>'[2]Cap Ex'!H69</f>
        <v>1.6224944864916987E-2</v>
      </c>
      <c r="W69" s="180">
        <f>[2]fundgrEB!D69</f>
        <v>2.8942118934640808</v>
      </c>
      <c r="X69" s="180">
        <f>[2]Fundgr!C69</f>
        <v>1.9833468303193061E-2</v>
      </c>
      <c r="Y69" s="180">
        <f>'[2]Dividend fundamentals'!E69</f>
        <v>1.15165212446575</v>
      </c>
      <c r="Z69" s="180">
        <f>1-[2]Fundgr!D69</f>
        <v>1.15165212446575</v>
      </c>
      <c r="AA69" s="182">
        <f>[2]Margins!J70</f>
        <v>1.5999325835102884E-2</v>
      </c>
    </row>
    <row r="70" spans="1:27" s="151" customFormat="1" ht="13">
      <c r="A70" s="178" t="str">
        <f>'[2]Master data'!A70</f>
        <v>Restaurant/Dining</v>
      </c>
      <c r="B70" s="179">
        <f>'[2]Master data'!B70</f>
        <v>382</v>
      </c>
      <c r="C70" s="180">
        <f>'[2]Hist Growth'!D70</f>
        <v>-2.8214814814814916E-3</v>
      </c>
      <c r="D70" s="180">
        <f>[2]Margins!F71</f>
        <v>0.10371730864332976</v>
      </c>
      <c r="E70" s="180">
        <f>'[2]Return on capital'!H70</f>
        <v>0.12983632228962561</v>
      </c>
      <c r="F70" s="180">
        <f>'[2]Tax rates'!H71</f>
        <v>0.20821250637663763</v>
      </c>
      <c r="G70" s="181">
        <f>[2]Beta!H73</f>
        <v>0.82892528781008357</v>
      </c>
      <c r="H70" s="181">
        <f>[2]Beta!C73</f>
        <v>0.99532073680959354</v>
      </c>
      <c r="I70" s="180">
        <f>[2]WACC!D81</f>
        <v>0.11822659479740556</v>
      </c>
      <c r="J70" s="180">
        <f>[2]optvar!C75</f>
        <v>0.31360962157416999</v>
      </c>
      <c r="K70" s="180">
        <f>[2]WACC!G81</f>
        <v>6.9500000000000006E-2</v>
      </c>
      <c r="L70" s="180">
        <f>'[2]Debt fundamentals'!F70</f>
        <v>0.24614511902439928</v>
      </c>
      <c r="M70" s="180">
        <f>[2]WACC!K81</f>
        <v>0.10201246326134381</v>
      </c>
      <c r="N70" s="181">
        <f>'[2]Cap Ex'!J70</f>
        <v>1.6243248607297194</v>
      </c>
      <c r="O70" s="181">
        <f>[2]PS!E70</f>
        <v>2.8684616918327772</v>
      </c>
      <c r="P70" s="181">
        <f>[2]EVEBITDA!D71</f>
        <v>16.545467724021872</v>
      </c>
      <c r="Q70" s="181">
        <f>[2]EVEBITDA!E71</f>
        <v>30.621314288660123</v>
      </c>
      <c r="R70" s="181">
        <f>[2]PBV!C70</f>
        <v>14.381817822236322</v>
      </c>
      <c r="S70" s="181">
        <f>[2]PE!E70</f>
        <v>55.544561710281627</v>
      </c>
      <c r="T70" s="180">
        <f>'[2]Working capital'!F70</f>
        <v>-7.7442229665044505E-3</v>
      </c>
      <c r="U70" s="180">
        <f>'[2]Summary sheet uValue'!G79</f>
        <v>4.5756035907612375E-2</v>
      </c>
      <c r="V70" s="180">
        <f>'[2]Cap Ex'!H70</f>
        <v>2.4723541317790931E-2</v>
      </c>
      <c r="W70" s="180">
        <f>[2]fundgrEB!D70</f>
        <v>0.37280426770845015</v>
      </c>
      <c r="X70" s="180">
        <f>[2]Fundgr!C70</f>
        <v>0.36850752125706215</v>
      </c>
      <c r="Y70" s="180">
        <f>'[2]Dividend fundamentals'!E70</f>
        <v>0.6213721003208682</v>
      </c>
      <c r="Z70" s="180">
        <f>1-[2]Fundgr!D70</f>
        <v>0.6213721003208682</v>
      </c>
      <c r="AA70" s="182">
        <f>[2]Margins!J71</f>
        <v>9.1942554059624565E-2</v>
      </c>
    </row>
    <row r="71" spans="1:27" s="151" customFormat="1" ht="13">
      <c r="A71" s="178" t="str">
        <f>'[2]Master data'!A71</f>
        <v>Retail (Automotive)</v>
      </c>
      <c r="B71" s="179">
        <f>'[2]Master data'!B71</f>
        <v>193</v>
      </c>
      <c r="C71" s="180">
        <f>'[2]Hist Growth'!D71</f>
        <v>8.8188805970149248E-2</v>
      </c>
      <c r="D71" s="180">
        <f>[2]Margins!F72</f>
        <v>5.0574673529283576E-2</v>
      </c>
      <c r="E71" s="180">
        <f>'[2]Return on capital'!H71</f>
        <v>0.12384134362101419</v>
      </c>
      <c r="F71" s="180">
        <f>'[2]Tax rates'!H72</f>
        <v>0.23668024474890867</v>
      </c>
      <c r="G71" s="181">
        <f>[2]Beta!H74</f>
        <v>0.71856893323128923</v>
      </c>
      <c r="H71" s="181">
        <f>[2]Beta!C74</f>
        <v>0.98313395219463651</v>
      </c>
      <c r="I71" s="180">
        <f>[2]WACC!D82</f>
        <v>0.11725408938513199</v>
      </c>
      <c r="J71" s="180">
        <f>[2]optvar!C76</f>
        <v>0.30421163829693049</v>
      </c>
      <c r="K71" s="180">
        <f>[2]WACC!G82</f>
        <v>6.9500000000000006E-2</v>
      </c>
      <c r="L71" s="180">
        <f>'[2]Debt fundamentals'!F71</f>
        <v>0.36886129425022746</v>
      </c>
      <c r="M71" s="180">
        <f>[2]WACC!K82</f>
        <v>9.3315087519029755E-2</v>
      </c>
      <c r="N71" s="181">
        <f>'[2]Cap Ex'!J71</f>
        <v>3.174007342761481</v>
      </c>
      <c r="O71" s="181">
        <f>[2]PS!E71</f>
        <v>0.71672834524414897</v>
      </c>
      <c r="P71" s="181">
        <f>[2]EVEBITDA!D72</f>
        <v>9.6320449463007645</v>
      </c>
      <c r="Q71" s="181">
        <f>[2]EVEBITDA!E72</f>
        <v>14.248870595972095</v>
      </c>
      <c r="R71" s="181">
        <f>[2]PBV!C71</f>
        <v>3.1314193213403589</v>
      </c>
      <c r="S71" s="181">
        <f>[2]PE!E71</f>
        <v>24.10470482847775</v>
      </c>
      <c r="T71" s="180">
        <f>'[2]Working capital'!F71</f>
        <v>9.6236266427468103E-2</v>
      </c>
      <c r="U71" s="180">
        <f>'[2]Summary sheet uValue'!G80</f>
        <v>1.7901244840279967E-2</v>
      </c>
      <c r="V71" s="180">
        <f>'[2]Cap Ex'!H71</f>
        <v>3.3179051086357797E-2</v>
      </c>
      <c r="W71" s="180">
        <f>[2]fundgrEB!D71</f>
        <v>1.269679651746447</v>
      </c>
      <c r="X71" s="180">
        <f>[2]Fundgr!C71</f>
        <v>0.21267051934563361</v>
      </c>
      <c r="Y71" s="180">
        <f>'[2]Dividend fundamentals'!E71</f>
        <v>0.25656588413790438</v>
      </c>
      <c r="Z71" s="180">
        <f>1-[2]Fundgr!D71</f>
        <v>0.25656588413790438</v>
      </c>
      <c r="AA71" s="182">
        <f>[2]Margins!J72</f>
        <v>4.8343338883621523E-2</v>
      </c>
    </row>
    <row r="72" spans="1:27" s="151" customFormat="1" ht="13">
      <c r="A72" s="178" t="str">
        <f>'[2]Master data'!A72</f>
        <v>Retail (Building Supply)</v>
      </c>
      <c r="B72" s="179">
        <f>'[2]Master data'!B72</f>
        <v>98</v>
      </c>
      <c r="C72" s="180">
        <f>'[2]Hist Growth'!D72</f>
        <v>4.9730985915492958E-2</v>
      </c>
      <c r="D72" s="180">
        <f>[2]Margins!F73</f>
        <v>0.12456492607372097</v>
      </c>
      <c r="E72" s="180">
        <f>'[2]Return on capital'!H72</f>
        <v>0.29843243697346</v>
      </c>
      <c r="F72" s="180">
        <f>'[2]Tax rates'!H73</f>
        <v>0.24858851652914152</v>
      </c>
      <c r="G72" s="181">
        <f>[2]Beta!H75</f>
        <v>0.93437765921000759</v>
      </c>
      <c r="H72" s="181">
        <f>[2]Beta!C75</f>
        <v>1.0792224241204762</v>
      </c>
      <c r="I72" s="180">
        <f>[2]WACC!D83</f>
        <v>0.124921949444814</v>
      </c>
      <c r="J72" s="180">
        <f>[2]optvar!C77</f>
        <v>0.27792365922032364</v>
      </c>
      <c r="K72" s="180">
        <f>[2]WACC!G83</f>
        <v>6.9500000000000006E-2</v>
      </c>
      <c r="L72" s="180">
        <f>'[2]Debt fundamentals'!F72</f>
        <v>0.19388701670171191</v>
      </c>
      <c r="M72" s="180">
        <f>[2]WACC!K83</f>
        <v>0.1108520340792542</v>
      </c>
      <c r="N72" s="181">
        <f>'[2]Cap Ex'!J72</f>
        <v>3.0101136822043171</v>
      </c>
      <c r="O72" s="181">
        <f>[2]PS!E72</f>
        <v>1.7330803063087947</v>
      </c>
      <c r="P72" s="181">
        <f>[2]EVEBITDA!D73</f>
        <v>11.182812043204136</v>
      </c>
      <c r="Q72" s="181">
        <f>[2]EVEBITDA!E73</f>
        <v>13.9844036785419</v>
      </c>
      <c r="R72" s="181">
        <f>[2]PBV!C72</f>
        <v>16.942098977439436</v>
      </c>
      <c r="S72" s="181">
        <f>[2]PE!E72</f>
        <v>20.808375889952647</v>
      </c>
      <c r="T72" s="180">
        <f>'[2]Working capital'!F72</f>
        <v>0.10268186081306206</v>
      </c>
      <c r="U72" s="180">
        <f>'[2]Summary sheet uValue'!G81</f>
        <v>2.3713589272572867E-2</v>
      </c>
      <c r="V72" s="180">
        <f>'[2]Cap Ex'!H72</f>
        <v>5.5379604041460315E-3</v>
      </c>
      <c r="W72" s="180">
        <f>[2]fundgrEB!D72</f>
        <v>0.4152885052448525</v>
      </c>
      <c r="X72" s="180">
        <f>[2]Fundgr!C72</f>
        <v>0.62069170974216659</v>
      </c>
      <c r="Y72" s="180">
        <f>'[2]Dividend fundamentals'!E72</f>
        <v>0.40523933459490058</v>
      </c>
      <c r="Z72" s="180">
        <f>1-[2]Fundgr!D72</f>
        <v>0.40523933459490058</v>
      </c>
      <c r="AA72" s="182">
        <f>[2]Margins!J73</f>
        <v>0.12376877725925094</v>
      </c>
    </row>
    <row r="73" spans="1:27" s="151" customFormat="1" ht="13">
      <c r="A73" s="178" t="str">
        <f>'[2]Master data'!A73</f>
        <v>Retail (Distributors)</v>
      </c>
      <c r="B73" s="179">
        <f>'[2]Master data'!B73</f>
        <v>1006</v>
      </c>
      <c r="C73" s="180">
        <f>'[2]Hist Growth'!D73</f>
        <v>7.3500151933701671E-2</v>
      </c>
      <c r="D73" s="180">
        <f>[2]Margins!F74</f>
        <v>5.4783056960455628E-2</v>
      </c>
      <c r="E73" s="180">
        <f>'[2]Return on capital'!H73</f>
        <v>8.9652886701252557E-2</v>
      </c>
      <c r="F73" s="180">
        <f>'[2]Tax rates'!H74</f>
        <v>0.22892357039635011</v>
      </c>
      <c r="G73" s="181">
        <f>[2]Beta!H76</f>
        <v>0.59760159969496118</v>
      </c>
      <c r="H73" s="181">
        <f>[2]Beta!C76</f>
        <v>0.82885193903775201</v>
      </c>
      <c r="I73" s="180">
        <f>[2]WACC!D84</f>
        <v>0.10494238473521261</v>
      </c>
      <c r="J73" s="180">
        <f>[2]optvar!C78</f>
        <v>0.3263950009608495</v>
      </c>
      <c r="K73" s="180">
        <f>[2]WACC!G84</f>
        <v>6.9500000000000006E-2</v>
      </c>
      <c r="L73" s="180">
        <f>'[2]Debt fundamentals'!F73</f>
        <v>0.40906163103204718</v>
      </c>
      <c r="M73" s="180">
        <f>[2]WACC!K84</f>
        <v>8.3430637473656588E-2</v>
      </c>
      <c r="N73" s="181">
        <f>'[2]Cap Ex'!J73</f>
        <v>1.961608220217619</v>
      </c>
      <c r="O73" s="181">
        <f>[2]PS!E73</f>
        <v>0.73383443433382778</v>
      </c>
      <c r="P73" s="181">
        <f>[2]EVEBITDA!D74</f>
        <v>10.202912254657335</v>
      </c>
      <c r="Q73" s="181">
        <f>[2]EVEBITDA!E74</f>
        <v>12.808650887242223</v>
      </c>
      <c r="R73" s="181">
        <f>[2]PBV!C73</f>
        <v>1.5112950518177228</v>
      </c>
      <c r="S73" s="181">
        <f>[2]PE!E73</f>
        <v>51.298192963003395</v>
      </c>
      <c r="T73" s="180">
        <f>'[2]Working capital'!F73</f>
        <v>0.16339131497172923</v>
      </c>
      <c r="U73" s="180">
        <f>'[2]Summary sheet uValue'!G82</f>
        <v>2.5127813159468149E-2</v>
      </c>
      <c r="V73" s="180">
        <f>'[2]Cap Ex'!H73</f>
        <v>3.5509615216160868E-2</v>
      </c>
      <c r="W73" s="180">
        <f>[2]fundgrEB!D73</f>
        <v>1.2620694542181561</v>
      </c>
      <c r="X73" s="180">
        <f>[2]Fundgr!C73</f>
        <v>0.14904706797430581</v>
      </c>
      <c r="Y73" s="180">
        <f>'[2]Dividend fundamentals'!E73</f>
        <v>0.30974771474443691</v>
      </c>
      <c r="Z73" s="180">
        <f>1-[2]Fundgr!D73</f>
        <v>0.30974771474443696</v>
      </c>
      <c r="AA73" s="182">
        <f>[2]Margins!J74</f>
        <v>5.5210020602748142E-2</v>
      </c>
    </row>
    <row r="74" spans="1:27" s="151" customFormat="1" ht="13">
      <c r="A74" s="178" t="str">
        <f>'[2]Master data'!A74</f>
        <v>Retail (General)</v>
      </c>
      <c r="B74" s="179">
        <f>'[2]Master data'!B74</f>
        <v>189</v>
      </c>
      <c r="C74" s="180">
        <f>'[2]Hist Growth'!D74</f>
        <v>-2.8960848484848482E-2</v>
      </c>
      <c r="D74" s="180">
        <f>[2]Margins!F75</f>
        <v>4.7344064491521044E-2</v>
      </c>
      <c r="E74" s="180">
        <f>'[2]Return on capital'!H74</f>
        <v>0.11649691349253601</v>
      </c>
      <c r="F74" s="180">
        <f>'[2]Tax rates'!H75</f>
        <v>0.25420587989524052</v>
      </c>
      <c r="G74" s="181">
        <f>[2]Beta!H77</f>
        <v>0.73476065744121066</v>
      </c>
      <c r="H74" s="181">
        <f>[2]Beta!C77</f>
        <v>0.89053705625931245</v>
      </c>
      <c r="I74" s="180">
        <f>[2]WACC!D85</f>
        <v>0.10986485708949313</v>
      </c>
      <c r="J74" s="180">
        <f>[2]optvar!C79</f>
        <v>0.27275967897216363</v>
      </c>
      <c r="K74" s="180">
        <f>[2]WACC!G85</f>
        <v>6.9500000000000006E-2</v>
      </c>
      <c r="L74" s="180">
        <f>'[2]Debt fundamentals'!F74</f>
        <v>0.26731537858518772</v>
      </c>
      <c r="M74" s="180">
        <f>[2]WACC!K85</f>
        <v>9.4491414114239156E-2</v>
      </c>
      <c r="N74" s="181">
        <f>'[2]Cap Ex'!J74</f>
        <v>3.0944631955801012</v>
      </c>
      <c r="O74" s="181">
        <f>[2]PS!E74</f>
        <v>0.86456494951190732</v>
      </c>
      <c r="P74" s="181">
        <f>[2]EVEBITDA!D75</f>
        <v>11.278125345956994</v>
      </c>
      <c r="Q74" s="181">
        <f>[2]EVEBITDA!E75</f>
        <v>18.60676665621412</v>
      </c>
      <c r="R74" s="181">
        <f>[2]PBV!C74</f>
        <v>3.3512422579158496</v>
      </c>
      <c r="S74" s="181">
        <f>[2]PE!E74</f>
        <v>36.680357857768897</v>
      </c>
      <c r="T74" s="180">
        <f>'[2]Working capital'!F74</f>
        <v>5.1208978463735495E-3</v>
      </c>
      <c r="U74" s="180">
        <f>'[2]Summary sheet uValue'!G83</f>
        <v>3.0384482805711776E-2</v>
      </c>
      <c r="V74" s="180">
        <f>'[2]Cap Ex'!H74</f>
        <v>1.2404123717395098E-2</v>
      </c>
      <c r="W74" s="180">
        <f>[2]fundgrEB!D74</f>
        <v>0.79241997634249972</v>
      </c>
      <c r="X74" s="180">
        <f>[2]Fundgr!C74</f>
        <v>0.12667539417897708</v>
      </c>
      <c r="Y74" s="180">
        <f>'[2]Dividend fundamentals'!E74</f>
        <v>0.46569953644887679</v>
      </c>
      <c r="Z74" s="180">
        <f>1-[2]Fundgr!D74</f>
        <v>0.46569953644887674</v>
      </c>
      <c r="AA74" s="182">
        <f>[2]Margins!J75</f>
        <v>4.611346599102132E-2</v>
      </c>
    </row>
    <row r="75" spans="1:27" s="151" customFormat="1" ht="13">
      <c r="A75" s="178" t="str">
        <f>'[2]Master data'!A75</f>
        <v>Retail (Grocery and Food)</v>
      </c>
      <c r="B75" s="179">
        <f>'[2]Master data'!B75</f>
        <v>181</v>
      </c>
      <c r="C75" s="180">
        <f>'[2]Hist Growth'!D75</f>
        <v>4.6530136054421807E-2</v>
      </c>
      <c r="D75" s="180">
        <f>[2]Margins!F76</f>
        <v>4.5257568991636785E-2</v>
      </c>
      <c r="E75" s="180">
        <f>'[2]Return on capital'!H75</f>
        <v>0.109306157945409</v>
      </c>
      <c r="F75" s="180">
        <f>'[2]Tax rates'!H76</f>
        <v>0.23438924127155367</v>
      </c>
      <c r="G75" s="181">
        <f>[2]Beta!H78</f>
        <v>0.52854536395017226</v>
      </c>
      <c r="H75" s="181">
        <f>[2]Beta!C78</f>
        <v>0.70540273569157119</v>
      </c>
      <c r="I75" s="180">
        <f>[2]WACC!D86</f>
        <v>9.5091138308187384E-2</v>
      </c>
      <c r="J75" s="180">
        <f>[2]optvar!C80</f>
        <v>0.2395250060619005</v>
      </c>
      <c r="K75" s="180">
        <f>[2]WACC!G86</f>
        <v>6.1800000000000001E-2</v>
      </c>
      <c r="L75" s="180">
        <f>'[2]Debt fundamentals'!F75</f>
        <v>0.36670130796647049</v>
      </c>
      <c r="M75" s="180">
        <f>[2]WACC!K86</f>
        <v>7.7292484203547118E-2</v>
      </c>
      <c r="N75" s="181">
        <f>'[2]Cap Ex'!J75</f>
        <v>3.1264014495235903</v>
      </c>
      <c r="O75" s="181">
        <f>[2]PS!E75</f>
        <v>0.64814723325310775</v>
      </c>
      <c r="P75" s="181">
        <f>[2]EVEBITDA!D76</f>
        <v>9.0398278110872159</v>
      </c>
      <c r="Q75" s="181">
        <f>[2]EVEBITDA!E76</f>
        <v>14.284968868266562</v>
      </c>
      <c r="R75" s="181">
        <f>[2]PBV!C75</f>
        <v>2.3047587413431696</v>
      </c>
      <c r="S75" s="181">
        <f>[2]PE!E75</f>
        <v>35.317018895544528</v>
      </c>
      <c r="T75" s="180">
        <f>'[2]Working capital'!F75</f>
        <v>-2.9975171328978954E-2</v>
      </c>
      <c r="U75" s="180">
        <f>'[2]Summary sheet uValue'!G84</f>
        <v>2.7134911493777378E-2</v>
      </c>
      <c r="V75" s="180">
        <f>'[2]Cap Ex'!H75</f>
        <v>7.8426614836429581E-3</v>
      </c>
      <c r="W75" s="180">
        <f>[2]fundgrEB!D75</f>
        <v>0.26020992647242941</v>
      </c>
      <c r="X75" s="180">
        <f>[2]Fundgr!C75</f>
        <v>0.14692867887469693</v>
      </c>
      <c r="Y75" s="180">
        <f>'[2]Dividend fundamentals'!E75</f>
        <v>0.33680698768837153</v>
      </c>
      <c r="Z75" s="180">
        <f>1-[2]Fundgr!D75</f>
        <v>0.33680698768837147</v>
      </c>
      <c r="AA75" s="182">
        <f>[2]Margins!J76</f>
        <v>4.4358506222621961E-2</v>
      </c>
    </row>
    <row r="76" spans="1:27" s="151" customFormat="1" ht="13">
      <c r="A76" s="178" t="str">
        <f>'[2]Master data'!A76</f>
        <v>Retail (Online)</v>
      </c>
      <c r="B76" s="179">
        <f>'[2]Master data'!B76</f>
        <v>342</v>
      </c>
      <c r="C76" s="180">
        <f>'[2]Hist Growth'!D76</f>
        <v>0.16550980645161301</v>
      </c>
      <c r="D76" s="180">
        <f>[2]Margins!F77</f>
        <v>1.7967025086749759E-3</v>
      </c>
      <c r="E76" s="180">
        <f>'[2]Return on capital'!H76</f>
        <v>1.9274102795920161E-2</v>
      </c>
      <c r="F76" s="180">
        <f>'[2]Tax rates'!H77</f>
        <v>4.0840600088227999E-2</v>
      </c>
      <c r="G76" s="181">
        <f>[2]Beta!H79</f>
        <v>1.490503406647991</v>
      </c>
      <c r="H76" s="181">
        <f>[2]Beta!C79</f>
        <v>1.5920102722913301</v>
      </c>
      <c r="I76" s="180">
        <f>[2]WACC!D87</f>
        <v>0.16584241972884814</v>
      </c>
      <c r="J76" s="180">
        <f>[2]optvar!C81</f>
        <v>0.46350736287125799</v>
      </c>
      <c r="K76" s="180">
        <f>[2]WACC!G87</f>
        <v>6.9500000000000006E-2</v>
      </c>
      <c r="L76" s="180">
        <f>'[2]Debt fundamentals'!F76</f>
        <v>0.17038387188172086</v>
      </c>
      <c r="M76" s="180">
        <f>[2]WACC!K87</f>
        <v>0.14650588299606426</v>
      </c>
      <c r="N76" s="181">
        <f>'[2]Cap Ex'!J76</f>
        <v>1.3082127267773387</v>
      </c>
      <c r="O76" s="181">
        <f>[2]PS!E76</f>
        <v>2.0433500802590556</v>
      </c>
      <c r="P76" s="181">
        <f>[2]EVEBITDA!D77</f>
        <v>16.998339824456181</v>
      </c>
      <c r="Q76" s="181" t="str">
        <f>[2]EVEBITDA!E77</f>
        <v>NA</v>
      </c>
      <c r="R76" s="181">
        <f>[2]PBV!C76</f>
        <v>4.2425838010175134</v>
      </c>
      <c r="S76" s="181">
        <f>[2]PE!E76</f>
        <v>90.302588284217236</v>
      </c>
      <c r="T76" s="180">
        <f>'[2]Working capital'!F76</f>
        <v>-2.2871400697795554E-2</v>
      </c>
      <c r="U76" s="180">
        <f>'[2]Summary sheet uValue'!G85</f>
        <v>9.4952242949320712E-2</v>
      </c>
      <c r="V76" s="180">
        <f>'[2]Cap Ex'!H76</f>
        <v>6.433562988524151E-2</v>
      </c>
      <c r="W76" s="180" t="str">
        <f>[2]fundgrEB!D76</f>
        <v>NA</v>
      </c>
      <c r="X76" s="180">
        <f>[2]Fundgr!C76</f>
        <v>-1.2913862822285392E-3</v>
      </c>
      <c r="Y76" s="180">
        <f>'[2]Dividend fundamentals'!E76</f>
        <v>3.8494175802843227E-3</v>
      </c>
      <c r="Z76" s="180">
        <f>1-[2]Fundgr!D76</f>
        <v>3.8494175802843422E-3</v>
      </c>
      <c r="AA76" s="182">
        <f>[2]Margins!J77</f>
        <v>1.4596961257935463E-2</v>
      </c>
    </row>
    <row r="77" spans="1:27" s="151" customFormat="1" ht="13">
      <c r="A77" s="178" t="str">
        <f>'[2]Master data'!A77</f>
        <v>Retail (Special Lines)</v>
      </c>
      <c r="B77" s="179">
        <f>'[2]Master data'!B77</f>
        <v>495</v>
      </c>
      <c r="C77" s="180">
        <f>'[2]Hist Growth'!D77</f>
        <v>2.7746815642458116E-2</v>
      </c>
      <c r="D77" s="180">
        <f>[2]Margins!F78</f>
        <v>5.6411119653417642E-2</v>
      </c>
      <c r="E77" s="180">
        <f>'[2]Return on capital'!H77</f>
        <v>0.12108557504627562</v>
      </c>
      <c r="F77" s="180">
        <f>'[2]Tax rates'!H78</f>
        <v>0.23039497643783879</v>
      </c>
      <c r="G77" s="181">
        <f>[2]Beta!H80</f>
        <v>0.95617888872243273</v>
      </c>
      <c r="H77" s="181">
        <f>[2]Beta!C80</f>
        <v>1.0901256163386903</v>
      </c>
      <c r="I77" s="180">
        <f>[2]WACC!D88</f>
        <v>0.12579202418382748</v>
      </c>
      <c r="J77" s="180">
        <f>[2]optvar!C82</f>
        <v>0.31791100266989658</v>
      </c>
      <c r="K77" s="180">
        <f>[2]WACC!G88</f>
        <v>6.9500000000000006E-2</v>
      </c>
      <c r="L77" s="180">
        <f>'[2]Debt fundamentals'!F77</f>
        <v>0.23738748343322327</v>
      </c>
      <c r="M77" s="180">
        <f>[2]WACC!K88</f>
        <v>0.10835883952013969</v>
      </c>
      <c r="N77" s="181">
        <f>'[2]Cap Ex'!J77</f>
        <v>2.5174585784193328</v>
      </c>
      <c r="O77" s="181">
        <f>[2]PS!E77</f>
        <v>1.1055168146420087</v>
      </c>
      <c r="P77" s="181">
        <f>[2]EVEBITDA!D78</f>
        <v>10.562927567967403</v>
      </c>
      <c r="Q77" s="181">
        <f>[2]EVEBITDA!E78</f>
        <v>18.29261382753738</v>
      </c>
      <c r="R77" s="181">
        <f>[2]PBV!C77</f>
        <v>3.3664874019124715</v>
      </c>
      <c r="S77" s="181">
        <f>[2]PE!E77</f>
        <v>29.906383975982227</v>
      </c>
      <c r="T77" s="180">
        <f>'[2]Working capital'!F77</f>
        <v>8.3668947606292884E-2</v>
      </c>
      <c r="U77" s="180">
        <f>'[2]Summary sheet uValue'!G86</f>
        <v>2.245102870529796E-2</v>
      </c>
      <c r="V77" s="180">
        <f>'[2]Cap Ex'!H77</f>
        <v>6.8208137188517049E-3</v>
      </c>
      <c r="W77" s="180">
        <f>[2]fundgrEB!D77</f>
        <v>0.6221607841938781</v>
      </c>
      <c r="X77" s="180">
        <f>[2]Fundgr!C77</f>
        <v>0.12040782319843941</v>
      </c>
      <c r="Y77" s="180">
        <f>'[2]Dividend fundamentals'!E77</f>
        <v>0.525527360937459</v>
      </c>
      <c r="Z77" s="180">
        <f>1-[2]Fundgr!D77</f>
        <v>0.525527360937459</v>
      </c>
      <c r="AA77" s="182">
        <f>[2]Margins!J78</f>
        <v>5.8366703266215236E-2</v>
      </c>
    </row>
    <row r="78" spans="1:27" s="151" customFormat="1" ht="13">
      <c r="A78" s="178" t="str">
        <f>'[2]Master data'!A78</f>
        <v>Rubber&amp; Tires</v>
      </c>
      <c r="B78" s="179">
        <f>'[2]Master data'!B78</f>
        <v>89</v>
      </c>
      <c r="C78" s="180">
        <f>'[2]Hist Growth'!D78</f>
        <v>5.632847222222228E-2</v>
      </c>
      <c r="D78" s="180">
        <f>[2]Margins!F79</f>
        <v>7.506181514407724E-2</v>
      </c>
      <c r="E78" s="180">
        <f>'[2]Return on capital'!H78</f>
        <v>6.7278924218009309E-2</v>
      </c>
      <c r="F78" s="180">
        <f>'[2]Tax rates'!H79</f>
        <v>0.21697853221406468</v>
      </c>
      <c r="G78" s="181">
        <f>[2]Beta!H81</f>
        <v>0.93006424566882906</v>
      </c>
      <c r="H78" s="181">
        <f>[2]Beta!C81</f>
        <v>1.1594988998620432</v>
      </c>
      <c r="I78" s="180">
        <f>[2]WACC!D89</f>
        <v>0.13132801220899104</v>
      </c>
      <c r="J78" s="180">
        <f>[2]optvar!C83</f>
        <v>0.27734767794889681</v>
      </c>
      <c r="K78" s="180">
        <f>[2]WACC!G89</f>
        <v>6.9500000000000006E-2</v>
      </c>
      <c r="L78" s="180">
        <f>'[2]Debt fundamentals'!F78</f>
        <v>0.3385984307682709</v>
      </c>
      <c r="M78" s="180">
        <f>[2]WACC!K89</f>
        <v>0.10458765411300318</v>
      </c>
      <c r="N78" s="181">
        <f>'[2]Cap Ex'!J78</f>
        <v>1.0936166560589926</v>
      </c>
      <c r="O78" s="181">
        <f>[2]PS!E78</f>
        <v>0.97477368100522854</v>
      </c>
      <c r="P78" s="181">
        <f>[2]EVEBITDA!D79</f>
        <v>7.1119579931066124</v>
      </c>
      <c r="Q78" s="181">
        <f>[2]EVEBITDA!E79</f>
        <v>12.765153148732912</v>
      </c>
      <c r="R78" s="181">
        <f>[2]PBV!C78</f>
        <v>1.1120791343085825</v>
      </c>
      <c r="S78" s="181">
        <f>[2]PE!E78</f>
        <v>60.490352513412041</v>
      </c>
      <c r="T78" s="180">
        <f>'[2]Working capital'!F78</f>
        <v>0.24507414707859465</v>
      </c>
      <c r="U78" s="180">
        <f>'[2]Summary sheet uValue'!G87</f>
        <v>6.2484383129195534E-2</v>
      </c>
      <c r="V78" s="180">
        <f>'[2]Cap Ex'!H78</f>
        <v>2.2036302112200399E-2</v>
      </c>
      <c r="W78" s="180">
        <f>[2]fundgrEB!D78</f>
        <v>1.2578311950085885</v>
      </c>
      <c r="X78" s="180">
        <f>[2]Fundgr!C78</f>
        <v>6.9080050211145549E-2</v>
      </c>
      <c r="Y78" s="180">
        <f>'[2]Dividend fundamentals'!E78</f>
        <v>0.45219331797462237</v>
      </c>
      <c r="Z78" s="180">
        <f>1-[2]Fundgr!D78</f>
        <v>0.45219331797462237</v>
      </c>
      <c r="AA78" s="182">
        <f>[2]Margins!J79</f>
        <v>7.3578562426349539E-2</v>
      </c>
    </row>
    <row r="79" spans="1:27" s="151" customFormat="1" ht="13">
      <c r="A79" s="178" t="str">
        <f>'[2]Master data'!A79</f>
        <v>Semiconductor</v>
      </c>
      <c r="B79" s="179">
        <f>'[2]Master data'!B79</f>
        <v>624</v>
      </c>
      <c r="C79" s="180">
        <f>'[2]Hist Growth'!D79</f>
        <v>8.8133280898876495E-2</v>
      </c>
      <c r="D79" s="180">
        <f>[2]Margins!F80</f>
        <v>0.22958951515279774</v>
      </c>
      <c r="E79" s="180">
        <f>'[2]Return on capital'!H79</f>
        <v>0.18215285247984078</v>
      </c>
      <c r="F79" s="180">
        <f>'[2]Tax rates'!H80</f>
        <v>0.12833630069414675</v>
      </c>
      <c r="G79" s="181">
        <f>[2]Beta!H82</f>
        <v>1.6715997850986177</v>
      </c>
      <c r="H79" s="181">
        <f>[2]Beta!C82</f>
        <v>1.6915425349552258</v>
      </c>
      <c r="I79" s="180">
        <f>[2]WACC!D90</f>
        <v>0.17378509428942701</v>
      </c>
      <c r="J79" s="180">
        <f>[2]optvar!C84</f>
        <v>0.37344951833670342</v>
      </c>
      <c r="K79" s="180">
        <f>[2]WACC!G90</f>
        <v>6.9500000000000006E-2</v>
      </c>
      <c r="L79" s="180">
        <f>'[2]Debt fundamentals'!F79</f>
        <v>0.10404370853456175</v>
      </c>
      <c r="M79" s="180">
        <f>[2]WACC!K90</f>
        <v>0.16115098932344296</v>
      </c>
      <c r="N79" s="181">
        <f>'[2]Cap Ex'!J79</f>
        <v>0.83496770904191153</v>
      </c>
      <c r="O79" s="181">
        <f>[2]PS!E79</f>
        <v>3.7548796165230502</v>
      </c>
      <c r="P79" s="181">
        <f>[2]EVEBITDA!D80</f>
        <v>10.50343169900737</v>
      </c>
      <c r="Q79" s="181">
        <f>[2]EVEBITDA!E80</f>
        <v>15.996951092288359</v>
      </c>
      <c r="R79" s="181">
        <f>[2]PBV!C79</f>
        <v>3.261468298173543</v>
      </c>
      <c r="S79" s="181">
        <f>[2]PE!E79</f>
        <v>74.133120315946627</v>
      </c>
      <c r="T79" s="180">
        <f>'[2]Working capital'!F79</f>
        <v>0.16627221479469054</v>
      </c>
      <c r="U79" s="180">
        <f>'[2]Summary sheet uValue'!G88</f>
        <v>0.18860060299516715</v>
      </c>
      <c r="V79" s="180">
        <f>'[2]Cap Ex'!H79</f>
        <v>0.12206170568941127</v>
      </c>
      <c r="W79" s="180">
        <f>[2]fundgrEB!D79</f>
        <v>0.87615023789822055</v>
      </c>
      <c r="X79" s="180">
        <f>[2]Fundgr!C79</f>
        <v>0.22004463854331047</v>
      </c>
      <c r="Y79" s="180">
        <f>'[2]Dividend fundamentals'!E79</f>
        <v>0.32598202249818786</v>
      </c>
      <c r="Z79" s="180">
        <f>1-[2]Fundgr!D79</f>
        <v>0.32598202249818786</v>
      </c>
      <c r="AA79" s="182">
        <f>[2]Margins!J80</f>
        <v>0.24193399820083566</v>
      </c>
    </row>
    <row r="80" spans="1:27" s="151" customFormat="1" ht="13">
      <c r="A80" s="178" t="str">
        <f>'[2]Master data'!A80</f>
        <v>Semiconductor Equip</v>
      </c>
      <c r="B80" s="179">
        <f>'[2]Master data'!B80</f>
        <v>342</v>
      </c>
      <c r="C80" s="180">
        <f>'[2]Hist Growth'!D80</f>
        <v>0.10496736842105271</v>
      </c>
      <c r="D80" s="180">
        <f>[2]Margins!F81</f>
        <v>0.24370132674286299</v>
      </c>
      <c r="E80" s="180">
        <f>'[2]Return on capital'!H80</f>
        <v>0.26386467981679268</v>
      </c>
      <c r="F80" s="180">
        <f>'[2]Tax rates'!H81</f>
        <v>0.16461321416951447</v>
      </c>
      <c r="G80" s="181">
        <f>[2]Beta!H83</f>
        <v>1.9829052012920763</v>
      </c>
      <c r="H80" s="181">
        <f>[2]Beta!C83</f>
        <v>1.9625184452168636</v>
      </c>
      <c r="I80" s="180">
        <f>[2]WACC!D91</f>
        <v>0.1954089719283057</v>
      </c>
      <c r="J80" s="180">
        <f>[2]optvar!C85</f>
        <v>0.33267871506038227</v>
      </c>
      <c r="K80" s="180">
        <f>[2]WACC!G91</f>
        <v>6.9500000000000006E-2</v>
      </c>
      <c r="L80" s="180">
        <f>'[2]Debt fundamentals'!F80</f>
        <v>6.6204624535447815E-2</v>
      </c>
      <c r="M80" s="180">
        <f>[2]WACC!K91</f>
        <v>0.18593809439548178</v>
      </c>
      <c r="N80" s="181">
        <f>'[2]Cap Ex'!J80</f>
        <v>1.2343126023017275</v>
      </c>
      <c r="O80" s="181">
        <f>[2]PS!E80</f>
        <v>4.1441869993736047</v>
      </c>
      <c r="P80" s="181">
        <f>[2]EVEBITDA!D81</f>
        <v>14.386690785614098</v>
      </c>
      <c r="Q80" s="181">
        <f>[2]EVEBITDA!E81</f>
        <v>16.622260371440802</v>
      </c>
      <c r="R80" s="181">
        <f>[2]PBV!C80</f>
        <v>5.367884030333931</v>
      </c>
      <c r="S80" s="181">
        <f>[2]PE!E80</f>
        <v>28.744369420890074</v>
      </c>
      <c r="T80" s="180">
        <f>'[2]Working capital'!F80</f>
        <v>0.29309898081044888</v>
      </c>
      <c r="U80" s="180">
        <f>'[2]Summary sheet uValue'!G89</f>
        <v>8.2518511943681719E-2</v>
      </c>
      <c r="V80" s="180">
        <f>'[2]Cap Ex'!H80</f>
        <v>0.11219404476537231</v>
      </c>
      <c r="W80" s="180">
        <f>[2]fundgrEB!D80</f>
        <v>0.89577065377444465</v>
      </c>
      <c r="X80" s="180">
        <f>[2]Fundgr!C80</f>
        <v>0.30321818101232301</v>
      </c>
      <c r="Y80" s="180">
        <f>'[2]Dividend fundamentals'!E80</f>
        <v>0.24045618885891673</v>
      </c>
      <c r="Z80" s="180">
        <f>1-[2]Fundgr!D80</f>
        <v>0.24045618885891673</v>
      </c>
      <c r="AA80" s="182">
        <f>[2]Margins!J81</f>
        <v>0.24894160017681496</v>
      </c>
    </row>
    <row r="81" spans="1:27" s="151" customFormat="1" ht="13">
      <c r="A81" s="178" t="str">
        <f>'[2]Master data'!A81</f>
        <v>Shipbuilding &amp; Marine</v>
      </c>
      <c r="B81" s="179">
        <f>'[2]Master data'!B81</f>
        <v>349</v>
      </c>
      <c r="C81" s="180">
        <f>'[2]Hist Growth'!D81</f>
        <v>0.1134618587360595</v>
      </c>
      <c r="D81" s="180">
        <f>[2]Margins!F82</f>
        <v>0.33192029756440922</v>
      </c>
      <c r="E81" s="180">
        <f>'[2]Return on capital'!H81</f>
        <v>0.32699317521985316</v>
      </c>
      <c r="F81" s="180">
        <f>'[2]Tax rates'!H82</f>
        <v>9.2904370765916289E-2</v>
      </c>
      <c r="G81" s="181">
        <f>[2]Beta!H84</f>
        <v>1.0486074968125012</v>
      </c>
      <c r="H81" s="181">
        <f>[2]Beta!C84</f>
        <v>1.095060022552661</v>
      </c>
      <c r="I81" s="180">
        <f>[2]WACC!D92</f>
        <v>0.12618578979970235</v>
      </c>
      <c r="J81" s="180">
        <f>[2]optvar!C86</f>
        <v>0.33913461678437984</v>
      </c>
      <c r="K81" s="180">
        <f>[2]WACC!G92</f>
        <v>6.9500000000000006E-2</v>
      </c>
      <c r="L81" s="180">
        <f>'[2]Debt fundamentals'!F81</f>
        <v>0.3334209359136372</v>
      </c>
      <c r="M81" s="180">
        <f>[2]WACC!K92</f>
        <v>0.10156884204183424</v>
      </c>
      <c r="N81" s="181">
        <f>'[2]Cap Ex'!J81</f>
        <v>1.1192465562494063</v>
      </c>
      <c r="O81" s="181">
        <f>[2]PS!E81</f>
        <v>1.0044824108835042</v>
      </c>
      <c r="P81" s="181">
        <f>[2]EVEBITDA!D82</f>
        <v>2.5752079359512443</v>
      </c>
      <c r="Q81" s="181">
        <f>[2]EVEBITDA!E82</f>
        <v>2.9370669871985133</v>
      </c>
      <c r="R81" s="181">
        <f>[2]PBV!C81</f>
        <v>0.90298360986176784</v>
      </c>
      <c r="S81" s="181">
        <f>[2]PE!E81</f>
        <v>17.544139036158338</v>
      </c>
      <c r="T81" s="180">
        <f>'[2]Working capital'!F81</f>
        <v>3.2629919851120501E-2</v>
      </c>
      <c r="U81" s="180">
        <f>'[2]Summary sheet uValue'!G90</f>
        <v>6.8500068023270466E-2</v>
      </c>
      <c r="V81" s="180">
        <f>'[2]Cap Ex'!H81</f>
        <v>3.711561558510823E-2</v>
      </c>
      <c r="W81" s="180">
        <f>[2]fundgrEB!D81</f>
        <v>0.10442336279857994</v>
      </c>
      <c r="X81" s="180">
        <f>[2]Fundgr!C81</f>
        <v>0.52203977353633646</v>
      </c>
      <c r="Y81" s="180">
        <f>'[2]Dividend fundamentals'!E81</f>
        <v>0.31311541565817647</v>
      </c>
      <c r="Z81" s="180">
        <f>1-[2]Fundgr!D81</f>
        <v>0.31311541565817647</v>
      </c>
      <c r="AA81" s="182">
        <f>[2]Margins!J82</f>
        <v>0.33302425887017123</v>
      </c>
    </row>
    <row r="82" spans="1:27" s="151" customFormat="1" ht="13">
      <c r="A82" s="178" t="str">
        <f>'[2]Master data'!A82</f>
        <v>Shoe</v>
      </c>
      <c r="B82" s="179">
        <f>'[2]Master data'!B82</f>
        <v>85</v>
      </c>
      <c r="C82" s="180">
        <f>'[2]Hist Growth'!D82</f>
        <v>2.7776190476190526E-3</v>
      </c>
      <c r="D82" s="180">
        <f>[2]Margins!F83</f>
        <v>9.940805273593413E-2</v>
      </c>
      <c r="E82" s="180">
        <f>'[2]Return on capital'!H82</f>
        <v>0.17156391646728414</v>
      </c>
      <c r="F82" s="180">
        <f>'[2]Tax rates'!H83</f>
        <v>0.16296001845602212</v>
      </c>
      <c r="G82" s="181">
        <f>[2]Beta!H85</f>
        <v>0.97918154671132795</v>
      </c>
      <c r="H82" s="181">
        <f>[2]Beta!C85</f>
        <v>1.0205314602380813</v>
      </c>
      <c r="I82" s="180">
        <f>[2]WACC!D93</f>
        <v>0.12023841052699888</v>
      </c>
      <c r="J82" s="180">
        <f>[2]optvar!C87</f>
        <v>0.35254293112020701</v>
      </c>
      <c r="K82" s="180">
        <f>[2]WACC!G93</f>
        <v>6.9500000000000006E-2</v>
      </c>
      <c r="L82" s="180">
        <f>'[2]Debt fundamentals'!F82</f>
        <v>0.11028060105470616</v>
      </c>
      <c r="M82" s="180">
        <f>[2]WACC!K93</f>
        <v>0.11275211553004739</v>
      </c>
      <c r="N82" s="181">
        <f>'[2]Cap Ex'!J82</f>
        <v>2.0177263229114235</v>
      </c>
      <c r="O82" s="181">
        <f>[2]PS!E82</f>
        <v>2.4223029557587625</v>
      </c>
      <c r="P82" s="181">
        <f>[2]EVEBITDA!D83</f>
        <v>17.712472761700401</v>
      </c>
      <c r="Q82" s="181">
        <f>[2]EVEBITDA!E83</f>
        <v>23.47411167886975</v>
      </c>
      <c r="R82" s="181">
        <f>[2]PBV!C82</f>
        <v>5.25688738442242</v>
      </c>
      <c r="S82" s="181">
        <f>[2]PE!E82</f>
        <v>44.479428183203773</v>
      </c>
      <c r="T82" s="180">
        <f>'[2]Working capital'!F82</f>
        <v>0.23433778345356734</v>
      </c>
      <c r="U82" s="180">
        <f>'[2]Summary sheet uValue'!G91</f>
        <v>1.8699871340976237E-2</v>
      </c>
      <c r="V82" s="180">
        <f>'[2]Cap Ex'!H82</f>
        <v>1.3903215448473651E-2</v>
      </c>
      <c r="W82" s="180">
        <f>[2]fundgrEB!D82</f>
        <v>0.55734544636254946</v>
      </c>
      <c r="X82" s="180">
        <f>[2]Fundgr!C82</f>
        <v>0.21068525458903517</v>
      </c>
      <c r="Y82" s="180">
        <f>'[2]Dividend fundamentals'!E82</f>
        <v>0.30772156513652943</v>
      </c>
      <c r="Z82" s="180">
        <f>1-[2]Fundgr!D82</f>
        <v>0.30772156513652948</v>
      </c>
      <c r="AA82" s="182">
        <f>[2]Margins!J83</f>
        <v>9.9308561479847096E-2</v>
      </c>
    </row>
    <row r="83" spans="1:27" s="151" customFormat="1" ht="13">
      <c r="A83" s="178" t="str">
        <f>'[2]Master data'!A83</f>
        <v>Software (Entertainment)</v>
      </c>
      <c r="B83" s="179">
        <f>'[2]Master data'!B83</f>
        <v>320</v>
      </c>
      <c r="C83" s="180">
        <f>'[2]Hist Growth'!D83</f>
        <v>0.14282</v>
      </c>
      <c r="D83" s="180">
        <f>[2]Margins!F84</f>
        <v>0.22953463962982901</v>
      </c>
      <c r="E83" s="180">
        <f>'[2]Return on capital'!H83</f>
        <v>0.15976086690423852</v>
      </c>
      <c r="F83" s="180">
        <f>'[2]Tax rates'!H84</f>
        <v>0.15681674531735063</v>
      </c>
      <c r="G83" s="181">
        <f>[2]Beta!H86</f>
        <v>1.4648921606853302</v>
      </c>
      <c r="H83" s="181">
        <f>[2]Beta!C86</f>
        <v>1.4800451918455317</v>
      </c>
      <c r="I83" s="180">
        <f>[2]WACC!D94</f>
        <v>0.15690760630927342</v>
      </c>
      <c r="J83" s="180">
        <f>[2]optvar!C88</f>
        <v>0.47746935346140246</v>
      </c>
      <c r="K83" s="180">
        <f>[2]WACC!G94</f>
        <v>6.9500000000000006E-2</v>
      </c>
      <c r="L83" s="180">
        <f>'[2]Debt fundamentals'!F83</f>
        <v>6.7282894806011295E-2</v>
      </c>
      <c r="M83" s="180">
        <f>[2]WACC!K94</f>
        <v>0.14987296056339064</v>
      </c>
      <c r="N83" s="181">
        <f>'[2]Cap Ex'!J83</f>
        <v>0.68847708198285007</v>
      </c>
      <c r="O83" s="181">
        <f>[2]PS!E83</f>
        <v>3.8511078295195338</v>
      </c>
      <c r="P83" s="181">
        <f>[2]EVEBITDA!D84</f>
        <v>12.118199448898602</v>
      </c>
      <c r="Q83" s="181">
        <f>[2]EVEBITDA!E84</f>
        <v>16.402238187938835</v>
      </c>
      <c r="R83" s="181">
        <f>[2]PBV!C83</f>
        <v>3.5083472685377823</v>
      </c>
      <c r="S83" s="181">
        <f>[2]PE!E83</f>
        <v>127.3905077202935</v>
      </c>
      <c r="T83" s="180">
        <f>'[2]Working capital'!F83</f>
        <v>3.1636797197512549E-2</v>
      </c>
      <c r="U83" s="180">
        <f>'[2]Summary sheet uValue'!G92</f>
        <v>0.11085585663611436</v>
      </c>
      <c r="V83" s="180">
        <f>'[2]Cap Ex'!H83</f>
        <v>0.12181383405728993</v>
      </c>
      <c r="W83" s="180">
        <f>[2]fundgrEB!D83</f>
        <v>0.6400453768028459</v>
      </c>
      <c r="X83" s="180">
        <f>[2]Fundgr!C83</f>
        <v>0.18663687839130547</v>
      </c>
      <c r="Y83" s="180">
        <f>'[2]Dividend fundamentals'!E83</f>
        <v>2.7321544447000384E-2</v>
      </c>
      <c r="Z83" s="180">
        <f>1-[2]Fundgr!D83</f>
        <v>2.7321544447000412E-2</v>
      </c>
      <c r="AA83" s="182">
        <f>[2]Margins!J84</f>
        <v>0.25356431486459097</v>
      </c>
    </row>
    <row r="84" spans="1:27" s="151" customFormat="1" ht="13">
      <c r="A84" s="178" t="str">
        <f>'[2]Master data'!A84</f>
        <v>Software (Internet)</v>
      </c>
      <c r="B84" s="179">
        <f>'[2]Master data'!B84</f>
        <v>152</v>
      </c>
      <c r="C84" s="180">
        <f>'[2]Hist Growth'!D84</f>
        <v>0.27269325301204816</v>
      </c>
      <c r="D84" s="180">
        <f>[2]Margins!F85</f>
        <v>-2.010271295519131E-2</v>
      </c>
      <c r="E84" s="180">
        <f>'[2]Return on capital'!H84</f>
        <v>5.5120342075433504E-3</v>
      </c>
      <c r="F84" s="180">
        <f>'[2]Tax rates'!H85</f>
        <v>0.20940716004868964</v>
      </c>
      <c r="G84" s="181">
        <f>[2]Beta!H87</f>
        <v>1.2628480564068731</v>
      </c>
      <c r="H84" s="181">
        <f>[2]Beta!C87</f>
        <v>1.3494055466433648</v>
      </c>
      <c r="I84" s="180">
        <f>[2]WACC!D95</f>
        <v>0.14648256262214049</v>
      </c>
      <c r="J84" s="180">
        <f>[2]optvar!C89</f>
        <v>0.43243045103017308</v>
      </c>
      <c r="K84" s="180">
        <f>[2]WACC!G95</f>
        <v>6.9500000000000006E-2</v>
      </c>
      <c r="L84" s="180">
        <f>'[2]Debt fundamentals'!F84</f>
        <v>0.14289541246400556</v>
      </c>
      <c r="M84" s="180">
        <f>[2]WACC!K95</f>
        <v>0.1330320728550001</v>
      </c>
      <c r="N84" s="181">
        <f>'[2]Cap Ex'!J84</f>
        <v>0.87012726304513266</v>
      </c>
      <c r="O84" s="181">
        <f>[2]PS!E84</f>
        <v>4.1806294495066085</v>
      </c>
      <c r="P84" s="181">
        <f>[2]EVEBITDA!D85</f>
        <v>15.881419590093561</v>
      </c>
      <c r="Q84" s="181" t="str">
        <f>[2]EVEBITDA!E85</f>
        <v>NA</v>
      </c>
      <c r="R84" s="181">
        <f>[2]PBV!C84</f>
        <v>4.6083218345324841</v>
      </c>
      <c r="S84" s="181">
        <f>[2]PE!E84</f>
        <v>69.669400451103826</v>
      </c>
      <c r="T84" s="180">
        <f>'[2]Working capital'!F84</f>
        <v>5.014284936774209E-2</v>
      </c>
      <c r="U84" s="180">
        <f>'[2]Summary sheet uValue'!G93</f>
        <v>6.8994925798208623E-2</v>
      </c>
      <c r="V84" s="180">
        <f>'[2]Cap Ex'!H84</f>
        <v>0.10911160059070062</v>
      </c>
      <c r="W84" s="180" t="str">
        <f>[2]fundgrEB!D84</f>
        <v>NA</v>
      </c>
      <c r="X84" s="180">
        <f>[2]Fundgr!C84</f>
        <v>-0.14640466217181433</v>
      </c>
      <c r="Y84" s="180">
        <f>'[2]Dividend fundamentals'!E84</f>
        <v>4.1529204862765573E-3</v>
      </c>
      <c r="Z84" s="180">
        <f>1-[2]Fundgr!D84</f>
        <v>4.1529204862765789E-3</v>
      </c>
      <c r="AA84" s="182">
        <f>[2]Margins!J85</f>
        <v>4.6187908283204715E-3</v>
      </c>
    </row>
    <row r="85" spans="1:27" s="151" customFormat="1" ht="13">
      <c r="A85" s="178" t="str">
        <f>'[2]Master data'!A85</f>
        <v>Software (System &amp; Application)</v>
      </c>
      <c r="B85" s="179">
        <f>'[2]Master data'!B85</f>
        <v>1648</v>
      </c>
      <c r="C85" s="180">
        <f>'[2]Hist Growth'!D85</f>
        <v>0.16911827995255052</v>
      </c>
      <c r="D85" s="180">
        <f>[2]Margins!F86</f>
        <v>0.17725169673656516</v>
      </c>
      <c r="E85" s="180">
        <f>'[2]Return on capital'!H85</f>
        <v>0.173054641209129</v>
      </c>
      <c r="F85" s="180">
        <f>'[2]Tax rates'!H86</f>
        <v>0.18564555974970864</v>
      </c>
      <c r="G85" s="181">
        <f>[2]Beta!H88</f>
        <v>1.3178605209622307</v>
      </c>
      <c r="H85" s="181">
        <f>[2]Beta!C88</f>
        <v>1.3540948759786284</v>
      </c>
      <c r="I85" s="180">
        <f>[2]WACC!D96</f>
        <v>0.14685677110309453</v>
      </c>
      <c r="J85" s="180">
        <f>[2]optvar!C90</f>
        <v>0.44540749279606739</v>
      </c>
      <c r="K85" s="180">
        <f>[2]WACC!G96</f>
        <v>6.9500000000000006E-2</v>
      </c>
      <c r="L85" s="180">
        <f>'[2]Debt fundamentals'!F85</f>
        <v>8.207902347015307E-2</v>
      </c>
      <c r="M85" s="180">
        <f>[2]WACC!K96</f>
        <v>0.13910010466338735</v>
      </c>
      <c r="N85" s="181">
        <f>'[2]Cap Ex'!J85</f>
        <v>0.94647831787590087</v>
      </c>
      <c r="O85" s="181">
        <f>[2]PS!E85</f>
        <v>6.7180138013623134</v>
      </c>
      <c r="P85" s="181">
        <f>[2]EVEBITDA!D86</f>
        <v>21.774817579847788</v>
      </c>
      <c r="Q85" s="181">
        <f>[2]EVEBITDA!E86</f>
        <v>33.846686642289974</v>
      </c>
      <c r="R85" s="181">
        <f>[2]PBV!C85</f>
        <v>6.7650917422035324</v>
      </c>
      <c r="S85" s="181">
        <f>[2]PE!E85</f>
        <v>81.170186502471253</v>
      </c>
      <c r="T85" s="180">
        <f>'[2]Working capital'!F85</f>
        <v>0.14041979304897989</v>
      </c>
      <c r="U85" s="180">
        <f>'[2]Summary sheet uValue'!G94</f>
        <v>7.1717567851905251E-2</v>
      </c>
      <c r="V85" s="180">
        <f>'[2]Cap Ex'!H85</f>
        <v>0.17698341089820932</v>
      </c>
      <c r="W85" s="180">
        <f>[2]fundgrEB!D85</f>
        <v>1.4772666888447972</v>
      </c>
      <c r="X85" s="180">
        <f>[2]Fundgr!C85</f>
        <v>0.13415189960739474</v>
      </c>
      <c r="Y85" s="180">
        <f>'[2]Dividend fundamentals'!E85</f>
        <v>0.42167938062996485</v>
      </c>
      <c r="Z85" s="180">
        <f>1-[2]Fundgr!D85</f>
        <v>0.4216793806299648</v>
      </c>
      <c r="AA85" s="182">
        <f>[2]Margins!J86</f>
        <v>0.19688448580761525</v>
      </c>
    </row>
    <row r="86" spans="1:27" s="151" customFormat="1" ht="13">
      <c r="A86" s="178" t="str">
        <f>'[2]Master data'!A86</f>
        <v>Steel</v>
      </c>
      <c r="B86" s="179">
        <f>'[2]Master data'!B86</f>
        <v>710</v>
      </c>
      <c r="C86" s="180">
        <f>'[2]Hist Growth'!D86</f>
        <v>0.17691252873563204</v>
      </c>
      <c r="D86" s="180">
        <f>[2]Margins!F87</f>
        <v>0.11983144761390822</v>
      </c>
      <c r="E86" s="180">
        <f>'[2]Return on capital'!H86</f>
        <v>0.15474452778417921</v>
      </c>
      <c r="F86" s="180">
        <f>'[2]Tax rates'!H87</f>
        <v>0.2080865325449755</v>
      </c>
      <c r="G86" s="181">
        <f>[2]Beta!H89</f>
        <v>1.0387463631868152</v>
      </c>
      <c r="H86" s="181">
        <f>[2]Beta!C89</f>
        <v>1.2339858111510127</v>
      </c>
      <c r="I86" s="180">
        <f>[2]WACC!D97</f>
        <v>0.13727206772985079</v>
      </c>
      <c r="J86" s="180">
        <f>[2]optvar!C91</f>
        <v>0.36054916600984277</v>
      </c>
      <c r="K86" s="180">
        <f>[2]WACC!G97</f>
        <v>6.9500000000000006E-2</v>
      </c>
      <c r="L86" s="180">
        <f>'[2]Debt fundamentals'!F86</f>
        <v>0.32124888739024365</v>
      </c>
      <c r="M86" s="180">
        <f>[2]WACC!K97</f>
        <v>0.10999234538941745</v>
      </c>
      <c r="N86" s="181">
        <f>'[2]Cap Ex'!J86</f>
        <v>1.5324538849846425</v>
      </c>
      <c r="O86" s="181">
        <f>[2]PS!E86</f>
        <v>0.68252630940677284</v>
      </c>
      <c r="P86" s="181">
        <f>[2]EVEBITDA!D87</f>
        <v>4.2421310055380514</v>
      </c>
      <c r="Q86" s="181">
        <f>[2]EVEBITDA!E87</f>
        <v>5.4961468710107608</v>
      </c>
      <c r="R86" s="181">
        <f>[2]PBV!C86</f>
        <v>1.0334392437356485</v>
      </c>
      <c r="S86" s="181">
        <f>[2]PE!E86</f>
        <v>34.010112280980266</v>
      </c>
      <c r="T86" s="180">
        <f>'[2]Working capital'!F86</f>
        <v>0.1414384207393182</v>
      </c>
      <c r="U86" s="180">
        <f>'[2]Summary sheet uValue'!G95</f>
        <v>4.6986460400492681E-2</v>
      </c>
      <c r="V86" s="180">
        <f>'[2]Cap Ex'!H86</f>
        <v>3.1233063526508904E-2</v>
      </c>
      <c r="W86" s="180">
        <f>[2]fundgrEB!D86</f>
        <v>0.69060940526576531</v>
      </c>
      <c r="X86" s="180">
        <f>[2]Fundgr!C86</f>
        <v>0.19513585801447908</v>
      </c>
      <c r="Y86" s="180">
        <f>'[2]Dividend fundamentals'!E86</f>
        <v>0.34425266167339813</v>
      </c>
      <c r="Z86" s="180">
        <f>1-[2]Fundgr!D86</f>
        <v>0.34425266167339807</v>
      </c>
      <c r="AA86" s="182">
        <f>[2]Margins!J87</f>
        <v>0.11976279919759207</v>
      </c>
    </row>
    <row r="87" spans="1:27" s="151" customFormat="1" ht="13">
      <c r="A87" s="178" t="str">
        <f>'[2]Master data'!A87</f>
        <v>Telecom (Wireless)</v>
      </c>
      <c r="B87" s="179">
        <f>'[2]Master data'!B87</f>
        <v>99</v>
      </c>
      <c r="C87" s="180">
        <f>'[2]Hist Growth'!D87</f>
        <v>3.9863866666666657E-2</v>
      </c>
      <c r="D87" s="180">
        <f>[2]Margins!F88</f>
        <v>0.14612907847070811</v>
      </c>
      <c r="E87" s="180">
        <f>'[2]Return on capital'!H87</f>
        <v>7.1853804995165846E-2</v>
      </c>
      <c r="F87" s="180">
        <f>'[2]Tax rates'!H88</f>
        <v>0.26856038903020835</v>
      </c>
      <c r="G87" s="181">
        <f>[2]Beta!H90</f>
        <v>0.59944869496241837</v>
      </c>
      <c r="H87" s="181">
        <f>[2]Beta!C90</f>
        <v>0.8356105248266873</v>
      </c>
      <c r="I87" s="180">
        <f>[2]WACC!D98</f>
        <v>0.10548171988116964</v>
      </c>
      <c r="J87" s="180">
        <f>[2]optvar!C92</f>
        <v>0.27376891988486907</v>
      </c>
      <c r="K87" s="180">
        <f>[2]WACC!G98</f>
        <v>6.9500000000000006E-2</v>
      </c>
      <c r="L87" s="180">
        <f>'[2]Debt fundamentals'!F87</f>
        <v>0.40997135229477483</v>
      </c>
      <c r="M87" s="180">
        <f>[2]WACC!K98</f>
        <v>8.3701020207121835E-2</v>
      </c>
      <c r="N87" s="181">
        <f>'[2]Cap Ex'!J87</f>
        <v>0.59875669525319775</v>
      </c>
      <c r="O87" s="181">
        <f>[2]PS!E87</f>
        <v>2.1639337464462898</v>
      </c>
      <c r="P87" s="181">
        <f>[2]EVEBITDA!D88</f>
        <v>6.7674351253486078</v>
      </c>
      <c r="Q87" s="181">
        <f>[2]EVEBITDA!E88</f>
        <v>14.969037905540716</v>
      </c>
      <c r="R87" s="181">
        <f>[2]PBV!C87</f>
        <v>1.4016862038068374</v>
      </c>
      <c r="S87" s="181">
        <f>[2]PE!E87</f>
        <v>24.327805212795383</v>
      </c>
      <c r="T87" s="180">
        <f>'[2]Working capital'!F87</f>
        <v>-6.568226483759157E-2</v>
      </c>
      <c r="U87" s="180">
        <f>'[2]Summary sheet uValue'!G96</f>
        <v>0.17045118193113834</v>
      </c>
      <c r="V87" s="180">
        <f>'[2]Cap Ex'!H87</f>
        <v>1.0045620758875377E-2</v>
      </c>
      <c r="W87" s="180">
        <f>[2]fundgrEB!D87</f>
        <v>0.23431849746915523</v>
      </c>
      <c r="X87" s="180">
        <f>[2]Fundgr!C87</f>
        <v>5.9656101073844982E-2</v>
      </c>
      <c r="Y87" s="180">
        <f>'[2]Dividend fundamentals'!E87</f>
        <v>0.94566204010401345</v>
      </c>
      <c r="Z87" s="180">
        <f>1-[2]Fundgr!D87</f>
        <v>0.94566204010401345</v>
      </c>
      <c r="AA87" s="182">
        <f>[2]Margins!J88</f>
        <v>0.14331345320592245</v>
      </c>
    </row>
    <row r="88" spans="1:27" s="151" customFormat="1" ht="13">
      <c r="A88" s="178" t="str">
        <f>'[2]Master data'!A88</f>
        <v>Telecom. Equipment</v>
      </c>
      <c r="B88" s="179">
        <f>'[2]Master data'!B88</f>
        <v>461</v>
      </c>
      <c r="C88" s="180">
        <f>'[2]Hist Growth'!D88</f>
        <v>4.4529398907103827E-2</v>
      </c>
      <c r="D88" s="180">
        <f>[2]Margins!F89</f>
        <v>0.10803883058790111</v>
      </c>
      <c r="E88" s="180">
        <f>'[2]Return on capital'!H88</f>
        <v>0.12105446393642671</v>
      </c>
      <c r="F88" s="180">
        <f>'[2]Tax rates'!H89</f>
        <v>0.16798552646066092</v>
      </c>
      <c r="G88" s="181">
        <f>[2]Beta!H91</f>
        <v>1.1754366702843682</v>
      </c>
      <c r="H88" s="181">
        <f>[2]Beta!C91</f>
        <v>1.1987978378632358</v>
      </c>
      <c r="I88" s="180">
        <f>[2]WACC!D99</f>
        <v>0.1344640674614862</v>
      </c>
      <c r="J88" s="180">
        <f>[2]optvar!C93</f>
        <v>0.35575957529107116</v>
      </c>
      <c r="K88" s="180">
        <f>[2]WACC!G99</f>
        <v>6.9500000000000006E-2</v>
      </c>
      <c r="L88" s="180">
        <f>'[2]Debt fundamentals'!F88</f>
        <v>0.12271568825108702</v>
      </c>
      <c r="M88" s="180">
        <f>[2]WACC!K99</f>
        <v>0.12438791697109762</v>
      </c>
      <c r="N88" s="181">
        <f>'[2]Cap Ex'!J88</f>
        <v>1.2296782460866211</v>
      </c>
      <c r="O88" s="181">
        <f>[2]PS!E88</f>
        <v>2.2056685736550157</v>
      </c>
      <c r="P88" s="181">
        <f>[2]EVEBITDA!D89</f>
        <v>13.982133050228981</v>
      </c>
      <c r="Q88" s="181">
        <f>[2]EVEBITDA!E89</f>
        <v>19.267327671178666</v>
      </c>
      <c r="R88" s="181">
        <f>[2]PBV!C88</f>
        <v>3.2789066545616312</v>
      </c>
      <c r="S88" s="181">
        <f>[2]PE!E88</f>
        <v>48.329999560360697</v>
      </c>
      <c r="T88" s="180">
        <f>'[2]Working capital'!F88</f>
        <v>0.24547671050793304</v>
      </c>
      <c r="U88" s="180">
        <f>'[2]Summary sheet uValue'!G97</f>
        <v>3.0967972014556554E-2</v>
      </c>
      <c r="V88" s="180">
        <f>'[2]Cap Ex'!H88</f>
        <v>3.5067191787542577E-2</v>
      </c>
      <c r="W88" s="180">
        <f>[2]fundgrEB!D88</f>
        <v>0.80979020806717117</v>
      </c>
      <c r="X88" s="180">
        <f>[2]Fundgr!C88</f>
        <v>0.12699399947863158</v>
      </c>
      <c r="Y88" s="180">
        <f>'[2]Dividend fundamentals'!E88</f>
        <v>0.48118218970957899</v>
      </c>
      <c r="Z88" s="180">
        <f>1-[2]Fundgr!D88</f>
        <v>0.48118218970957893</v>
      </c>
      <c r="AA88" s="182">
        <f>[2]Margins!J89</f>
        <v>0.1076245089719039</v>
      </c>
    </row>
    <row r="89" spans="1:27" s="151" customFormat="1" ht="13">
      <c r="A89" s="178" t="str">
        <f>'[2]Master data'!A89</f>
        <v>Telecom. Services</v>
      </c>
      <c r="B89" s="179">
        <f>'[2]Master data'!B89</f>
        <v>295</v>
      </c>
      <c r="C89" s="180">
        <f>'[2]Hist Growth'!D89</f>
        <v>9.3719248826291068E-2</v>
      </c>
      <c r="D89" s="180">
        <f>[2]Margins!F90</f>
        <v>0.14564770212095915</v>
      </c>
      <c r="E89" s="180">
        <f>'[2]Return on capital'!H89</f>
        <v>8.3002848233363569E-2</v>
      </c>
      <c r="F89" s="180">
        <f>'[2]Tax rates'!H90</f>
        <v>0.20636862175772658</v>
      </c>
      <c r="G89" s="181">
        <f>[2]Beta!H92</f>
        <v>0.53286343841338268</v>
      </c>
      <c r="H89" s="181">
        <f>[2]Beta!C92</f>
        <v>0.83120448295402005</v>
      </c>
      <c r="I89" s="180">
        <f>[2]WACC!D100</f>
        <v>0.1051301177397308</v>
      </c>
      <c r="J89" s="180">
        <f>[2]optvar!C94</f>
        <v>0.33234588224425837</v>
      </c>
      <c r="K89" s="180">
        <f>[2]WACC!G100</f>
        <v>6.9500000000000006E-2</v>
      </c>
      <c r="L89" s="180">
        <f>'[2]Debt fundamentals'!F89</f>
        <v>0.45523285018801557</v>
      </c>
      <c r="M89" s="180">
        <f>[2]WACC!K100</f>
        <v>8.1104854570712426E-2</v>
      </c>
      <c r="N89" s="181">
        <f>'[2]Cap Ex'!J89</f>
        <v>0.66302528624879975</v>
      </c>
      <c r="O89" s="181">
        <f>[2]PS!E89</f>
        <v>2.0938341981018391</v>
      </c>
      <c r="P89" s="181">
        <f>[2]EVEBITDA!D90</f>
        <v>6.8143143019397634</v>
      </c>
      <c r="Q89" s="181">
        <f>[2]EVEBITDA!E90</f>
        <v>14.316491404336567</v>
      </c>
      <c r="R89" s="181">
        <f>[2]PBV!C89</f>
        <v>1.3406890906280109</v>
      </c>
      <c r="S89" s="181">
        <f>[2]PE!E89</f>
        <v>38.642893253116668</v>
      </c>
      <c r="T89" s="180">
        <f>'[2]Working capital'!F89</f>
        <v>8.4981712220580687E-3</v>
      </c>
      <c r="U89" s="180">
        <f>'[2]Summary sheet uValue'!G98</f>
        <v>0.15451691162113007</v>
      </c>
      <c r="V89" s="180">
        <f>'[2]Cap Ex'!H89</f>
        <v>1.8398303676254975E-3</v>
      </c>
      <c r="W89" s="180">
        <f>[2]fundgrEB!D89</f>
        <v>6.3041372120910863E-2</v>
      </c>
      <c r="X89" s="180">
        <f>[2]Fundgr!C89</f>
        <v>9.7927580759062105E-2</v>
      </c>
      <c r="Y89" s="180">
        <f>'[2]Dividend fundamentals'!E89</f>
        <v>0.63969274552605071</v>
      </c>
      <c r="Z89" s="180">
        <f>1-[2]Fundgr!D89</f>
        <v>0.63969274552605071</v>
      </c>
      <c r="AA89" s="182">
        <f>[2]Margins!J90</f>
        <v>0.145102802727752</v>
      </c>
    </row>
    <row r="90" spans="1:27" s="151" customFormat="1" ht="13">
      <c r="A90" s="178" t="str">
        <f>'[2]Master data'!A90</f>
        <v>Tobacco</v>
      </c>
      <c r="B90" s="179">
        <f>'[2]Master data'!B90</f>
        <v>56</v>
      </c>
      <c r="C90" s="180">
        <f>'[2]Hist Growth'!D90</f>
        <v>9.822864864864865E-2</v>
      </c>
      <c r="D90" s="180">
        <f>[2]Margins!F91</f>
        <v>0.33474559408861121</v>
      </c>
      <c r="E90" s="180">
        <f>'[2]Return on capital'!H90</f>
        <v>0.20013728578995296</v>
      </c>
      <c r="F90" s="180">
        <f>'[2]Tax rates'!H91</f>
        <v>0.26807548682122645</v>
      </c>
      <c r="G90" s="181">
        <f>[2]Beta!H93</f>
        <v>0.77526113772172134</v>
      </c>
      <c r="H90" s="181">
        <f>[2]Beta!C93</f>
        <v>0.89286131889100684</v>
      </c>
      <c r="I90" s="180">
        <f>[2]WACC!D101</f>
        <v>0.11005033324750234</v>
      </c>
      <c r="J90" s="180">
        <f>[2]optvar!C95</f>
        <v>0.28815132980992253</v>
      </c>
      <c r="K90" s="180">
        <f>[2]WACC!G101</f>
        <v>6.9500000000000006E-2</v>
      </c>
      <c r="L90" s="180">
        <f>'[2]Debt fundamentals'!F90</f>
        <v>0.21150591899864943</v>
      </c>
      <c r="M90" s="180">
        <f>[2]WACC!K101</f>
        <v>9.7847291288208668E-2</v>
      </c>
      <c r="N90" s="181">
        <f>'[2]Cap Ex'!J90</f>
        <v>0.73483182839642613</v>
      </c>
      <c r="O90" s="181">
        <f>[2]PS!E90</f>
        <v>3.7714885665907185</v>
      </c>
      <c r="P90" s="181">
        <f>[2]EVEBITDA!D91</f>
        <v>10.157432415100599</v>
      </c>
      <c r="Q90" s="181">
        <f>[2]EVEBITDA!E91</f>
        <v>11.217270381251886</v>
      </c>
      <c r="R90" s="181">
        <f>[2]PBV!C90</f>
        <v>3.4958341314125998</v>
      </c>
      <c r="S90" s="181">
        <f>[2]PE!E90</f>
        <v>12.602231253306266</v>
      </c>
      <c r="T90" s="180">
        <f>'[2]Working capital'!F90</f>
        <v>0.14326577092025009</v>
      </c>
      <c r="U90" s="180">
        <f>'[2]Summary sheet uValue'!G99</f>
        <v>2.7114026871894421E-2</v>
      </c>
      <c r="V90" s="180">
        <f>'[2]Cap Ex'!H90</f>
        <v>1.2922319142159418E-2</v>
      </c>
      <c r="W90" s="180">
        <f>[2]fundgrEB!D90</f>
        <v>5.4294763263544675E-2</v>
      </c>
      <c r="X90" s="180">
        <f>[2]Fundgr!C90</f>
        <v>0.22341989038959192</v>
      </c>
      <c r="Y90" s="180">
        <f>'[2]Dividend fundamentals'!E90</f>
        <v>0.91180748886312335</v>
      </c>
      <c r="Z90" s="180">
        <f>1-[2]Fundgr!D90</f>
        <v>0.91180748886312335</v>
      </c>
      <c r="AA90" s="182">
        <f>[2]Margins!J91</f>
        <v>0.3353339430515232</v>
      </c>
    </row>
    <row r="91" spans="1:27" s="151" customFormat="1" ht="13">
      <c r="A91" s="178" t="str">
        <f>'[2]Master data'!A91</f>
        <v>Transportation</v>
      </c>
      <c r="B91" s="179">
        <f>'[2]Master data'!B91</f>
        <v>302</v>
      </c>
      <c r="C91" s="180">
        <f>'[2]Hist Growth'!D91</f>
        <v>0.10729344497607662</v>
      </c>
      <c r="D91" s="180">
        <f>[2]Margins!F92</f>
        <v>7.8816807017395477E-2</v>
      </c>
      <c r="E91" s="180">
        <f>'[2]Return on capital'!H91</f>
        <v>0.12720264109772611</v>
      </c>
      <c r="F91" s="180">
        <f>'[2]Tax rates'!H92</f>
        <v>0.23989417549818295</v>
      </c>
      <c r="G91" s="181">
        <f>[2]Beta!H94</f>
        <v>0.83086798417579999</v>
      </c>
      <c r="H91" s="181">
        <f>[2]Beta!C94</f>
        <v>1.0148110401540846</v>
      </c>
      <c r="I91" s="180">
        <f>[2]WACC!D102</f>
        <v>0.11978192100429595</v>
      </c>
      <c r="J91" s="180">
        <f>[2]optvar!C96</f>
        <v>0.31084297302653918</v>
      </c>
      <c r="K91" s="180">
        <f>[2]WACC!G102</f>
        <v>6.9500000000000006E-2</v>
      </c>
      <c r="L91" s="180">
        <f>'[2]Debt fundamentals'!F91</f>
        <v>0.31145967209766678</v>
      </c>
      <c r="M91" s="180">
        <f>[2]WACC!K102</f>
        <v>9.87809518489558E-2</v>
      </c>
      <c r="N91" s="181">
        <f>'[2]Cap Ex'!J91</f>
        <v>1.9460842931032309</v>
      </c>
      <c r="O91" s="181">
        <f>[2]PS!E91</f>
        <v>0.98900039785159</v>
      </c>
      <c r="P91" s="181">
        <f>[2]EVEBITDA!D92</f>
        <v>7.8927592818396839</v>
      </c>
      <c r="Q91" s="181">
        <f>[2]EVEBITDA!E92</f>
        <v>12.289046954707567</v>
      </c>
      <c r="R91" s="181">
        <f>[2]PBV!C91</f>
        <v>1.9154341025484678</v>
      </c>
      <c r="S91" s="181">
        <f>[2]PE!E91</f>
        <v>27.907558356540434</v>
      </c>
      <c r="T91" s="180">
        <f>'[2]Working capital'!F91</f>
        <v>4.6289247811254666E-2</v>
      </c>
      <c r="U91" s="180">
        <f>'[2]Summary sheet uValue'!G100</f>
        <v>4.1407170879204931E-2</v>
      </c>
      <c r="V91" s="180">
        <f>'[2]Cap Ex'!H91</f>
        <v>2.1304357895726649E-2</v>
      </c>
      <c r="W91" s="180">
        <f>[2]fundgrEB!D91</f>
        <v>0.56371293751510465</v>
      </c>
      <c r="X91" s="180">
        <f>[2]Fundgr!C91</f>
        <v>0.18047586417013964</v>
      </c>
      <c r="Y91" s="180">
        <f>'[2]Dividend fundamentals'!E91</f>
        <v>0.3759045643575265</v>
      </c>
      <c r="Z91" s="180">
        <f>1-[2]Fundgr!D91</f>
        <v>0.3759045643575265</v>
      </c>
      <c r="AA91" s="182">
        <f>[2]Margins!J92</f>
        <v>7.901879530087233E-2</v>
      </c>
    </row>
    <row r="92" spans="1:27" s="151" customFormat="1" ht="13">
      <c r="A92" s="178" t="str">
        <f>'[2]Master data'!A92</f>
        <v>Transportation (Railroads)</v>
      </c>
      <c r="B92" s="179">
        <f>'[2]Master data'!B92</f>
        <v>50</v>
      </c>
      <c r="C92" s="180">
        <f>'[2]Hist Growth'!D92</f>
        <v>5.1318604651162747E-3</v>
      </c>
      <c r="D92" s="180">
        <f>[2]Margins!F93</f>
        <v>0.22937544917128982</v>
      </c>
      <c r="E92" s="180">
        <f>'[2]Return on capital'!H92</f>
        <v>6.3106474006416002E-2</v>
      </c>
      <c r="F92" s="180">
        <f>'[2]Tax rates'!H93</f>
        <v>0.23455439053515723</v>
      </c>
      <c r="G92" s="181">
        <f>[2]Beta!H95</f>
        <v>0.53771205524892773</v>
      </c>
      <c r="H92" s="181">
        <f>[2]Beta!C95</f>
        <v>0.67261472581248538</v>
      </c>
      <c r="I92" s="180">
        <f>[2]WACC!D103</f>
        <v>9.2474655119836324E-2</v>
      </c>
      <c r="J92" s="180">
        <f>[2]optvar!C97</f>
        <v>0.1904649831765268</v>
      </c>
      <c r="K92" s="180">
        <f>[2]WACC!G103</f>
        <v>6.1800000000000001E-2</v>
      </c>
      <c r="L92" s="180">
        <f>'[2]Debt fundamentals'!F92</f>
        <v>0.28093173916735564</v>
      </c>
      <c r="M92" s="180">
        <f>[2]WACC!K103</f>
        <v>7.957406875741202E-2</v>
      </c>
      <c r="N92" s="181">
        <f>'[2]Cap Ex'!J92</f>
        <v>0.35264141209829214</v>
      </c>
      <c r="O92" s="181">
        <f>[2]PS!E92</f>
        <v>4.9514550191904148</v>
      </c>
      <c r="P92" s="181">
        <f>[2]EVEBITDA!D93</f>
        <v>14.391882936833516</v>
      </c>
      <c r="Q92" s="181">
        <f>[2]EVEBITDA!E93</f>
        <v>21.521720661372516</v>
      </c>
      <c r="R92" s="181">
        <f>[2]PBV!C92</f>
        <v>2.5233071875662696</v>
      </c>
      <c r="S92" s="181">
        <f>[2]PE!E92</f>
        <v>47.926146065216102</v>
      </c>
      <c r="T92" s="180">
        <f>'[2]Working capital'!F92</f>
        <v>5.6540294359728252E-2</v>
      </c>
      <c r="U92" s="180">
        <f>'[2]Summary sheet uValue'!G101</f>
        <v>0.15530197652565753</v>
      </c>
      <c r="V92" s="180">
        <f>'[2]Cap Ex'!H92</f>
        <v>8.1073848062129403E-2</v>
      </c>
      <c r="W92" s="180">
        <f>[2]fundgrEB!D92</f>
        <v>0.49777850427936171</v>
      </c>
      <c r="X92" s="180">
        <f>[2]Fundgr!C92</f>
        <v>0.10779442786699867</v>
      </c>
      <c r="Y92" s="180">
        <f>'[2]Dividend fundamentals'!E92</f>
        <v>0.42288213474408926</v>
      </c>
      <c r="Z92" s="180">
        <f>1-[2]Fundgr!D92</f>
        <v>0.4228821347440892</v>
      </c>
      <c r="AA92" s="182">
        <f>[2]Margins!J93</f>
        <v>0.22782025938466396</v>
      </c>
    </row>
    <row r="93" spans="1:27" s="151" customFormat="1" ht="13">
      <c r="A93" s="178" t="str">
        <f>'[2]Master data'!A93</f>
        <v>Trucking</v>
      </c>
      <c r="B93" s="179">
        <f>'[2]Master data'!B93</f>
        <v>220</v>
      </c>
      <c r="C93" s="180">
        <f>'[2]Hist Growth'!D93</f>
        <v>6.7412287581699343E-2</v>
      </c>
      <c r="D93" s="180">
        <f>[2]Margins!F94</f>
        <v>8.1825960469875447E-2</v>
      </c>
      <c r="E93" s="180">
        <f>'[2]Return on capital'!H93</f>
        <v>9.325941401187661E-2</v>
      </c>
      <c r="F93" s="180">
        <f>'[2]Tax rates'!H94</f>
        <v>0.25137746140461076</v>
      </c>
      <c r="G93" s="181">
        <f>[2]Beta!H96</f>
        <v>0.80103060507905366</v>
      </c>
      <c r="H93" s="181">
        <f>[2]Beta!C96</f>
        <v>1.0796626585301576</v>
      </c>
      <c r="I93" s="180">
        <f>[2]WACC!D104</f>
        <v>0.12495708015070657</v>
      </c>
      <c r="J93" s="180">
        <f>[2]optvar!C98</f>
        <v>0.31796488514967647</v>
      </c>
      <c r="K93" s="180">
        <f>[2]WACC!G104</f>
        <v>6.9500000000000006E-2</v>
      </c>
      <c r="L93" s="180">
        <f>'[2]Debt fundamentals'!F93</f>
        <v>0.37028006138641539</v>
      </c>
      <c r="M93" s="180">
        <f>[2]WACC!K104</f>
        <v>9.8073736773681586E-2</v>
      </c>
      <c r="N93" s="181">
        <f>'[2]Cap Ex'!J93</f>
        <v>1.2683662093737476</v>
      </c>
      <c r="O93" s="181">
        <f>[2]PS!E93</f>
        <v>1.4582532006532531</v>
      </c>
      <c r="P93" s="181">
        <f>[2]EVEBITDA!D94</f>
        <v>7.1812178949304286</v>
      </c>
      <c r="Q93" s="181">
        <f>[2]EVEBITDA!E94</f>
        <v>13.577420148175593</v>
      </c>
      <c r="R93" s="181">
        <f>[2]PBV!C93</f>
        <v>2.3093625400302482</v>
      </c>
      <c r="S93" s="181">
        <f>[2]PE!E93</f>
        <v>20.393774092471542</v>
      </c>
      <c r="T93" s="180">
        <f>'[2]Working capital'!F93</f>
        <v>6.1631284750963661E-2</v>
      </c>
      <c r="U93" s="180">
        <f>'[2]Summary sheet uValue'!G102</f>
        <v>9.0572486207290609E-2</v>
      </c>
      <c r="V93" s="180">
        <f>'[2]Cap Ex'!H93</f>
        <v>6.5333099457492758E-2</v>
      </c>
      <c r="W93" s="180">
        <f>[2]fundgrEB!D93</f>
        <v>1.2953650987044991</v>
      </c>
      <c r="X93" s="180">
        <f>[2]Fundgr!C93</f>
        <v>4.8007666832446935E-2</v>
      </c>
      <c r="Y93" s="180">
        <f>'[2]Dividend fundamentals'!E93</f>
        <v>0.47214545338387454</v>
      </c>
      <c r="Z93" s="180">
        <f>1-[2]Fundgr!D93</f>
        <v>0.47214545338387448</v>
      </c>
      <c r="AA93" s="182">
        <f>[2]Margins!J94</f>
        <v>8.7971142690093859E-2</v>
      </c>
    </row>
    <row r="94" spans="1:27" s="151" customFormat="1" ht="13">
      <c r="A94" s="178" t="str">
        <f>'[2]Master data'!A94</f>
        <v>Utility (General)</v>
      </c>
      <c r="B94" s="179">
        <f>'[2]Master data'!B94</f>
        <v>51</v>
      </c>
      <c r="C94" s="180">
        <f>'[2]Hist Growth'!D94</f>
        <v>7.792022222222221E-2</v>
      </c>
      <c r="D94" s="180">
        <f>[2]Margins!F95</f>
        <v>0.11456119771994193</v>
      </c>
      <c r="E94" s="180">
        <f>'[2]Return on capital'!H94</f>
        <v>7.6714423003748339E-2</v>
      </c>
      <c r="F94" s="180">
        <f>'[2]Tax rates'!H95</f>
        <v>0.18951235707131556</v>
      </c>
      <c r="G94" s="181">
        <f>[2]Beta!H97</f>
        <v>0.44555229098762261</v>
      </c>
      <c r="H94" s="181">
        <f>[2]Beta!C97</f>
        <v>0.68093285394007141</v>
      </c>
      <c r="I94" s="180">
        <f>[2]WACC!D105</f>
        <v>9.3138441744417697E-2</v>
      </c>
      <c r="J94" s="180">
        <f>[2]optvar!C99</f>
        <v>0.18373338360033689</v>
      </c>
      <c r="K94" s="180">
        <f>[2]WACC!G105</f>
        <v>6.1800000000000001E-2</v>
      </c>
      <c r="L94" s="180">
        <f>'[2]Debt fundamentals'!F94</f>
        <v>0.44647469066862239</v>
      </c>
      <c r="M94" s="180">
        <f>[2]WACC!K105</f>
        <v>7.2339640738126904E-2</v>
      </c>
      <c r="N94" s="181">
        <f>'[2]Cap Ex'!J94</f>
        <v>0.79592572670996531</v>
      </c>
      <c r="O94" s="181">
        <f>[2]PS!E94</f>
        <v>2.0587197648578983</v>
      </c>
      <c r="P94" s="181">
        <f>[2]EVEBITDA!D95</f>
        <v>11.022432960755802</v>
      </c>
      <c r="Q94" s="181">
        <f>[2]EVEBITDA!E95</f>
        <v>17.920870096933381</v>
      </c>
      <c r="R94" s="181">
        <f>[2]PBV!C94</f>
        <v>1.6077812288677511</v>
      </c>
      <c r="S94" s="181">
        <f>[2]PE!E94</f>
        <v>19.959924071772317</v>
      </c>
      <c r="T94" s="180">
        <f>'[2]Working capital'!F94</f>
        <v>2.1882787338106589E-2</v>
      </c>
      <c r="U94" s="180">
        <f>'[2]Summary sheet uValue'!G103</f>
        <v>0.1391916397622712</v>
      </c>
      <c r="V94" s="180">
        <f>'[2]Cap Ex'!H94</f>
        <v>7.4413848046799388E-2</v>
      </c>
      <c r="W94" s="180">
        <f>[2]fundgrEB!D94</f>
        <v>1.1281129759412232</v>
      </c>
      <c r="X94" s="180">
        <f>[2]Fundgr!C94</f>
        <v>0.12706804579670924</v>
      </c>
      <c r="Y94" s="180">
        <f>'[2]Dividend fundamentals'!E94</f>
        <v>0.56808177867298026</v>
      </c>
      <c r="Z94" s="180">
        <f>1-[2]Fundgr!D94</f>
        <v>0.56808177867298026</v>
      </c>
      <c r="AA94" s="182">
        <f>[2]Margins!J95</f>
        <v>0.11417047367535862</v>
      </c>
    </row>
    <row r="95" spans="1:27" s="151" customFormat="1" ht="13">
      <c r="A95" s="178" t="str">
        <f>'[2]Master data'!A95</f>
        <v>Utility (Water)</v>
      </c>
      <c r="B95" s="179">
        <f>'[2]Master data'!B95</f>
        <v>104</v>
      </c>
      <c r="C95" s="180">
        <f>'[2]Hist Growth'!D95</f>
        <v>7.9921733333333342E-2</v>
      </c>
      <c r="D95" s="180">
        <f>[2]Margins!F96</f>
        <v>0.23308027198201001</v>
      </c>
      <c r="E95" s="180">
        <f>'[2]Return on capital'!H95</f>
        <v>6.0083722599385478E-2</v>
      </c>
      <c r="F95" s="180">
        <f>'[2]Tax rates'!H96</f>
        <v>0.19550644712298801</v>
      </c>
      <c r="G95" s="181">
        <f>[2]Beta!H98</f>
        <v>0.48577767777887526</v>
      </c>
      <c r="H95" s="181">
        <f>[2]Beta!C98</f>
        <v>0.74037836279006486</v>
      </c>
      <c r="I95" s="180">
        <f>[2]WACC!D106</f>
        <v>9.7882193350647184E-2</v>
      </c>
      <c r="J95" s="180">
        <f>[2]optvar!C100</f>
        <v>0.29170204736386413</v>
      </c>
      <c r="K95" s="180">
        <f>[2]WACC!G106</f>
        <v>6.9500000000000006E-2</v>
      </c>
      <c r="L95" s="180">
        <f>'[2]Debt fundamentals'!F95</f>
        <v>0.45258505055032439</v>
      </c>
      <c r="M95" s="180">
        <f>[2]WACC!K106</f>
        <v>7.7276972066347274E-2</v>
      </c>
      <c r="N95" s="181">
        <f>'[2]Cap Ex'!J95</f>
        <v>0.2960000594907215</v>
      </c>
      <c r="O95" s="181">
        <f>[2]PS!E95</f>
        <v>4.7535462364637491</v>
      </c>
      <c r="P95" s="181">
        <f>[2]EVEBITDA!D96</f>
        <v>12.93134872040161</v>
      </c>
      <c r="Q95" s="181">
        <f>[2]EVEBITDA!E96</f>
        <v>20.069056769362522</v>
      </c>
      <c r="R95" s="181">
        <f>[2]PBV!C95</f>
        <v>1.5000124500603853</v>
      </c>
      <c r="S95" s="181">
        <f>[2]PE!E95</f>
        <v>27.005335813319128</v>
      </c>
      <c r="T95" s="180">
        <f>'[2]Working capital'!F95</f>
        <v>4.2979439477294483E-2</v>
      </c>
      <c r="U95" s="180">
        <f>'[2]Summary sheet uValue'!G104</f>
        <v>0.21460584021765075</v>
      </c>
      <c r="V95" s="180">
        <f>'[2]Cap Ex'!H95</f>
        <v>0.11132379540777157</v>
      </c>
      <c r="W95" s="180">
        <f>[2]fundgrEB!D95</f>
        <v>0.99074678758901424</v>
      </c>
      <c r="X95" s="180">
        <f>[2]Fundgr!C95</f>
        <v>5.007048841854516E-2</v>
      </c>
      <c r="Y95" s="180">
        <f>'[2]Dividend fundamentals'!E95</f>
        <v>0.80660637410407132</v>
      </c>
      <c r="Z95" s="180">
        <f>1-[2]Fundgr!D95</f>
        <v>0.41572668892840536</v>
      </c>
      <c r="AA95" s="182">
        <f>[2]Margins!J96</f>
        <v>0.23300787604616452</v>
      </c>
    </row>
  </sheetData>
  <pageMargins left="0.75" right="0.75" top="1" bottom="1" header="0.3" footer="0.3"/>
  <pageSetup orientation="portrait" horizontalDpi="0" verticalDpi="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94"/>
  <sheetViews>
    <sheetView workbookViewId="0">
      <selection sqref="A1:F1048576"/>
    </sheetView>
  </sheetViews>
  <sheetFormatPr baseColWidth="10" defaultRowHeight="14"/>
  <cols>
    <col min="1" max="1" width="23.5703125" bestFit="1" customWidth="1"/>
    <col min="2" max="2" width="12.85546875" bestFit="1" customWidth="1"/>
    <col min="3" max="3" width="15.85546875" bestFit="1" customWidth="1"/>
    <col min="4" max="4" width="18" bestFit="1" customWidth="1"/>
    <col min="5" max="5" width="17.140625" bestFit="1" customWidth="1"/>
    <col min="6" max="6" width="15.140625" bestFit="1" customWidth="1"/>
  </cols>
  <sheetData>
    <row r="1" spans="1:6">
      <c r="A1" t="s">
        <v>742</v>
      </c>
      <c r="B1" s="165">
        <v>5.9400000000000001E-2</v>
      </c>
      <c r="C1" t="s">
        <v>789</v>
      </c>
    </row>
    <row r="2" spans="1:6" s="36" customFormat="1">
      <c r="A2" s="250" t="s">
        <v>788</v>
      </c>
      <c r="B2" s="250"/>
      <c r="C2" s="250"/>
      <c r="D2" s="250"/>
      <c r="E2" s="250"/>
      <c r="F2" s="250"/>
    </row>
    <row r="4" spans="1:6" ht="16">
      <c r="A4" s="166" t="s">
        <v>407</v>
      </c>
      <c r="B4" s="167" t="s">
        <v>687</v>
      </c>
      <c r="C4" s="166" t="s">
        <v>457</v>
      </c>
      <c r="D4" s="183" t="s">
        <v>688</v>
      </c>
      <c r="E4" s="233" t="s">
        <v>458</v>
      </c>
      <c r="F4" s="233" t="s">
        <v>652</v>
      </c>
    </row>
    <row r="5" spans="1:6" ht="16">
      <c r="A5" s="168" t="s">
        <v>612</v>
      </c>
      <c r="B5" s="167" t="s">
        <v>689</v>
      </c>
      <c r="C5" s="169">
        <v>6.0399082568807346E-3</v>
      </c>
      <c r="D5" s="169">
        <f>$B$1+E5</f>
        <v>6.792004316400721E-2</v>
      </c>
      <c r="E5" s="184">
        <v>8.5200431640072103E-3</v>
      </c>
      <c r="F5" s="184">
        <v>0.15</v>
      </c>
    </row>
    <row r="6" spans="1:6" ht="16">
      <c r="A6" s="168" t="s">
        <v>459</v>
      </c>
      <c r="B6" s="167" t="s">
        <v>690</v>
      </c>
      <c r="C6" s="169">
        <v>5.5078211009174309E-2</v>
      </c>
      <c r="D6" s="169">
        <f t="shared" ref="D6:D69" si="0">$B$1+E6</f>
        <v>0.13709467932892289</v>
      </c>
      <c r="E6" s="184">
        <v>7.7694679328922892E-2</v>
      </c>
      <c r="F6" s="184">
        <v>0.15</v>
      </c>
    </row>
    <row r="7" spans="1:6" ht="16">
      <c r="A7" s="171" t="s">
        <v>691</v>
      </c>
      <c r="B7" s="125" t="s">
        <v>790</v>
      </c>
      <c r="C7" s="251">
        <v>0.18431551537473667</v>
      </c>
      <c r="D7" s="169">
        <f t="shared" si="0"/>
        <v>0.18431551537473667</v>
      </c>
      <c r="E7" s="252">
        <v>0.12491551537473666</v>
      </c>
      <c r="F7" s="253">
        <v>0.26</v>
      </c>
    </row>
    <row r="8" spans="1:6" ht="16">
      <c r="A8" s="168" t="s">
        <v>619</v>
      </c>
      <c r="B8" s="167" t="s">
        <v>692</v>
      </c>
      <c r="C8" s="169">
        <v>2.3296788990825688E-2</v>
      </c>
      <c r="D8" s="169">
        <f t="shared" si="0"/>
        <v>9.2263023632599236E-2</v>
      </c>
      <c r="E8" s="184">
        <v>3.2863023632599235E-2</v>
      </c>
      <c r="F8" s="184">
        <v>0.1898</v>
      </c>
    </row>
    <row r="9" spans="1:6" ht="16">
      <c r="A9" s="168" t="s">
        <v>461</v>
      </c>
      <c r="B9" s="167" t="s">
        <v>702</v>
      </c>
      <c r="C9" s="169">
        <v>7.9525458715596339E-2</v>
      </c>
      <c r="D9" s="169">
        <f t="shared" si="0"/>
        <v>0.17158056832609495</v>
      </c>
      <c r="E9" s="184">
        <v>0.11218056832609494</v>
      </c>
      <c r="F9" s="184">
        <v>0.25</v>
      </c>
    </row>
    <row r="10" spans="1:6" ht="16">
      <c r="A10" s="168" t="s">
        <v>463</v>
      </c>
      <c r="B10" s="167" t="s">
        <v>776</v>
      </c>
      <c r="C10" s="169">
        <v>0.14682729357798166</v>
      </c>
      <c r="D10" s="169">
        <f t="shared" si="0"/>
        <v>0.26651819215360384</v>
      </c>
      <c r="E10" s="184">
        <v>0.20711819215360386</v>
      </c>
      <c r="F10" s="184">
        <v>0.35</v>
      </c>
    </row>
    <row r="11" spans="1:6" ht="16">
      <c r="A11" s="168" t="s">
        <v>465</v>
      </c>
      <c r="B11" s="167" t="s">
        <v>699</v>
      </c>
      <c r="C11" s="169">
        <v>4.4005045871559637E-2</v>
      </c>
      <c r="D11" s="169">
        <f t="shared" si="0"/>
        <v>0.12147460019490969</v>
      </c>
      <c r="E11" s="184">
        <v>6.2074600194909679E-2</v>
      </c>
      <c r="F11" s="184">
        <v>0.18</v>
      </c>
    </row>
    <row r="12" spans="1:6" ht="16">
      <c r="A12" s="168" t="s">
        <v>608</v>
      </c>
      <c r="B12" s="167" t="s">
        <v>692</v>
      </c>
      <c r="C12" s="169">
        <v>2.3296788990825688E-2</v>
      </c>
      <c r="D12" s="169">
        <f t="shared" si="0"/>
        <v>9.2263023632599236E-2</v>
      </c>
      <c r="E12" s="184">
        <v>3.2863023632599235E-2</v>
      </c>
      <c r="F12" s="184">
        <v>0.25</v>
      </c>
    </row>
    <row r="13" spans="1:6" ht="16">
      <c r="A13" s="168" t="s">
        <v>466</v>
      </c>
      <c r="B13" s="167" t="s">
        <v>695</v>
      </c>
      <c r="C13" s="169">
        <v>0</v>
      </c>
      <c r="D13" s="169">
        <f t="shared" si="0"/>
        <v>5.9400000000000001E-2</v>
      </c>
      <c r="E13" s="184">
        <v>0</v>
      </c>
      <c r="F13" s="184">
        <v>0.3</v>
      </c>
    </row>
    <row r="14" spans="1:6" ht="16">
      <c r="A14" s="168" t="s">
        <v>564</v>
      </c>
      <c r="B14" s="167" t="s">
        <v>696</v>
      </c>
      <c r="C14" s="169">
        <v>4.8894495412844033E-3</v>
      </c>
      <c r="D14" s="169">
        <f t="shared" si="0"/>
        <v>6.6297177799434406E-2</v>
      </c>
      <c r="E14" s="184">
        <v>6.8971777994344076E-3</v>
      </c>
      <c r="F14" s="184">
        <v>0.24</v>
      </c>
    </row>
    <row r="15" spans="1:6" ht="16">
      <c r="A15" s="168" t="s">
        <v>469</v>
      </c>
      <c r="B15" s="167" t="s">
        <v>710</v>
      </c>
      <c r="C15" s="169">
        <v>3.0630963302752296E-2</v>
      </c>
      <c r="D15" s="169">
        <f t="shared" si="0"/>
        <v>0.10260879033175085</v>
      </c>
      <c r="E15" s="184">
        <v>4.3208790331750853E-2</v>
      </c>
      <c r="F15" s="184">
        <v>0.2</v>
      </c>
    </row>
    <row r="16" spans="1:6" ht="16">
      <c r="A16" s="168" t="s">
        <v>470</v>
      </c>
      <c r="B16" s="167" t="s">
        <v>690</v>
      </c>
      <c r="C16" s="169">
        <v>5.5078211009174309E-2</v>
      </c>
      <c r="D16" s="169">
        <f t="shared" si="0"/>
        <v>0.13709467932892289</v>
      </c>
      <c r="E16" s="184">
        <v>7.7694679328922892E-2</v>
      </c>
      <c r="F16" s="184">
        <v>0</v>
      </c>
    </row>
    <row r="17" spans="1:6" ht="16">
      <c r="A17" s="168" t="s">
        <v>472</v>
      </c>
      <c r="B17" s="167" t="s">
        <v>693</v>
      </c>
      <c r="C17" s="169">
        <v>6.7301834862385335E-2</v>
      </c>
      <c r="D17" s="169">
        <f t="shared" si="0"/>
        <v>0.15433762382750893</v>
      </c>
      <c r="E17" s="184">
        <v>9.4937623827508935E-2</v>
      </c>
      <c r="F17" s="184">
        <v>0</v>
      </c>
    </row>
    <row r="18" spans="1:6" ht="16">
      <c r="A18" s="168" t="s">
        <v>474</v>
      </c>
      <c r="B18" s="167" t="s">
        <v>699</v>
      </c>
      <c r="C18" s="169">
        <v>4.4005045871559637E-2</v>
      </c>
      <c r="D18" s="169">
        <f t="shared" si="0"/>
        <v>0.12147460019490969</v>
      </c>
      <c r="E18" s="184">
        <v>6.2074600194909679E-2</v>
      </c>
      <c r="F18" s="184">
        <v>0.32500000000000001</v>
      </c>
    </row>
    <row r="19" spans="1:6" ht="16">
      <c r="A19" s="168" t="s">
        <v>475</v>
      </c>
      <c r="B19" s="167" t="s">
        <v>700</v>
      </c>
      <c r="C19" s="169">
        <v>9.1749082568807344E-2</v>
      </c>
      <c r="D19" s="169">
        <f t="shared" si="0"/>
        <v>0.18882351282468096</v>
      </c>
      <c r="E19" s="184">
        <v>0.12942351282468095</v>
      </c>
      <c r="F19" s="184">
        <v>5.5E-2</v>
      </c>
    </row>
    <row r="20" spans="1:6" ht="16">
      <c r="A20" s="168" t="s">
        <v>476</v>
      </c>
      <c r="B20" s="167" t="s">
        <v>776</v>
      </c>
      <c r="C20" s="169">
        <v>0.14682729357798166</v>
      </c>
      <c r="D20" s="169">
        <f t="shared" si="0"/>
        <v>0.26651819215360384</v>
      </c>
      <c r="E20" s="184">
        <v>0.20711819215360386</v>
      </c>
      <c r="F20" s="184">
        <v>0.18</v>
      </c>
    </row>
    <row r="21" spans="1:6" ht="16">
      <c r="A21" s="168" t="s">
        <v>566</v>
      </c>
      <c r="B21" s="167" t="s">
        <v>701</v>
      </c>
      <c r="C21" s="169">
        <v>7.3341743119266058E-3</v>
      </c>
      <c r="D21" s="169">
        <f t="shared" si="0"/>
        <v>6.9745766699151612E-2</v>
      </c>
      <c r="E21" s="184">
        <v>1.0345766699151613E-2</v>
      </c>
      <c r="F21" s="184">
        <v>0.25</v>
      </c>
    </row>
    <row r="22" spans="1:6" ht="16">
      <c r="A22" s="168" t="s">
        <v>477</v>
      </c>
      <c r="B22" s="167" t="s">
        <v>707</v>
      </c>
      <c r="C22" s="169">
        <v>0.11015642201834862</v>
      </c>
      <c r="D22" s="169">
        <f t="shared" si="0"/>
        <v>0.21478935865784579</v>
      </c>
      <c r="E22" s="184">
        <v>0.15538935865784578</v>
      </c>
      <c r="F22" s="184">
        <v>0.27179999999999999</v>
      </c>
    </row>
    <row r="23" spans="1:6" ht="16">
      <c r="A23" s="168" t="s">
        <v>703</v>
      </c>
      <c r="B23" s="167" t="s">
        <v>690</v>
      </c>
      <c r="C23" s="169">
        <v>5.5078211009174309E-2</v>
      </c>
      <c r="D23" s="169">
        <f t="shared" si="0"/>
        <v>0.13709467932892289</v>
      </c>
      <c r="E23" s="184">
        <v>7.7694679328922892E-2</v>
      </c>
      <c r="F23" s="184">
        <v>0.3</v>
      </c>
    </row>
    <row r="24" spans="1:6" ht="16">
      <c r="A24" s="168" t="s">
        <v>478</v>
      </c>
      <c r="B24" s="167" t="s">
        <v>704</v>
      </c>
      <c r="C24" s="169">
        <v>1.0354128440366973E-2</v>
      </c>
      <c r="D24" s="169">
        <f t="shared" si="0"/>
        <v>7.4005788281155213E-2</v>
      </c>
      <c r="E24" s="184">
        <v>1.4605788281155217E-2</v>
      </c>
      <c r="F24" s="184">
        <v>0</v>
      </c>
    </row>
    <row r="25" spans="1:6" ht="16">
      <c r="A25" s="168" t="s">
        <v>412</v>
      </c>
      <c r="B25" s="167" t="s">
        <v>693</v>
      </c>
      <c r="C25" s="169">
        <v>6.7301834862385335E-2</v>
      </c>
      <c r="D25" s="169">
        <f t="shared" si="0"/>
        <v>0.15433762382750893</v>
      </c>
      <c r="E25" s="184">
        <v>9.4937623827508935E-2</v>
      </c>
      <c r="F25" s="184">
        <v>0.25</v>
      </c>
    </row>
    <row r="26" spans="1:6" ht="16">
      <c r="A26" s="168" t="s">
        <v>479</v>
      </c>
      <c r="B26" s="167" t="s">
        <v>702</v>
      </c>
      <c r="C26" s="169">
        <v>7.9525458715596339E-2</v>
      </c>
      <c r="D26" s="169">
        <f t="shared" si="0"/>
        <v>0.17158056832609495</v>
      </c>
      <c r="E26" s="184">
        <v>0.11218056832609494</v>
      </c>
      <c r="F26" s="184">
        <v>0.1</v>
      </c>
    </row>
    <row r="27" spans="1:6" ht="16">
      <c r="A27" s="168" t="s">
        <v>480</v>
      </c>
      <c r="B27" s="167" t="s">
        <v>708</v>
      </c>
      <c r="C27" s="169">
        <v>1.4668348623853212E-2</v>
      </c>
      <c r="D27" s="169">
        <f t="shared" si="0"/>
        <v>8.009153339830323E-2</v>
      </c>
      <c r="E27" s="184">
        <v>2.0691533398303225E-2</v>
      </c>
      <c r="F27" s="184">
        <v>0.22</v>
      </c>
    </row>
    <row r="28" spans="1:6" ht="16">
      <c r="A28" s="168" t="s">
        <v>481</v>
      </c>
      <c r="B28" s="167" t="s">
        <v>697</v>
      </c>
      <c r="C28" s="169">
        <v>3.6814678899082569E-2</v>
      </c>
      <c r="D28" s="169">
        <f t="shared" si="0"/>
        <v>0.11133169166632967</v>
      </c>
      <c r="E28" s="184">
        <v>5.193169166632966E-2</v>
      </c>
      <c r="F28" s="184">
        <v>0.34</v>
      </c>
    </row>
    <row r="29" spans="1:6" ht="16">
      <c r="A29" s="171" t="s">
        <v>705</v>
      </c>
      <c r="B29" s="125" t="s">
        <v>790</v>
      </c>
      <c r="C29" s="251">
        <v>0.13114757824740877</v>
      </c>
      <c r="D29" s="169">
        <f t="shared" si="0"/>
        <v>0.13114757824740877</v>
      </c>
      <c r="E29" s="252">
        <v>7.1747578247408766E-2</v>
      </c>
      <c r="F29" s="252">
        <v>0.185</v>
      </c>
    </row>
    <row r="30" spans="1:6" ht="16">
      <c r="A30" s="168" t="s">
        <v>482</v>
      </c>
      <c r="B30" s="167" t="s">
        <v>694</v>
      </c>
      <c r="C30" s="169">
        <v>1.9557798165137613E-2</v>
      </c>
      <c r="D30" s="169">
        <f t="shared" si="0"/>
        <v>8.6988711197737628E-2</v>
      </c>
      <c r="E30" s="184">
        <v>2.758871119773763E-2</v>
      </c>
      <c r="F30" s="184">
        <v>0.1</v>
      </c>
    </row>
    <row r="31" spans="1:6" ht="16">
      <c r="A31" s="168" t="s">
        <v>598</v>
      </c>
      <c r="B31" s="167" t="s">
        <v>700</v>
      </c>
      <c r="C31" s="169">
        <v>9.1749082568807344E-2</v>
      </c>
      <c r="D31" s="169">
        <f t="shared" si="0"/>
        <v>0.18882351282468096</v>
      </c>
      <c r="E31" s="184">
        <v>0.12942351282468095</v>
      </c>
      <c r="F31" s="184">
        <v>0.28000000000000003</v>
      </c>
    </row>
    <row r="32" spans="1:6" ht="16">
      <c r="A32" s="168" t="s">
        <v>483</v>
      </c>
      <c r="B32" s="167" t="s">
        <v>693</v>
      </c>
      <c r="C32" s="169">
        <v>6.7301834862385335E-2</v>
      </c>
      <c r="D32" s="169">
        <f t="shared" si="0"/>
        <v>0.15433762382750893</v>
      </c>
      <c r="E32" s="184">
        <v>9.4937623827508935E-2</v>
      </c>
      <c r="F32" s="184">
        <v>0.2</v>
      </c>
    </row>
    <row r="33" spans="1:6" ht="16">
      <c r="A33" s="168" t="s">
        <v>599</v>
      </c>
      <c r="B33" s="167" t="s">
        <v>693</v>
      </c>
      <c r="C33" s="169">
        <v>6.7301834862385335E-2</v>
      </c>
      <c r="D33" s="169">
        <f t="shared" si="0"/>
        <v>0.15433762382750893</v>
      </c>
      <c r="E33" s="184">
        <v>9.4937623827508935E-2</v>
      </c>
      <c r="F33" s="184">
        <v>0.33</v>
      </c>
    </row>
    <row r="34" spans="1:6" ht="16">
      <c r="A34" s="168" t="s">
        <v>484</v>
      </c>
      <c r="B34" s="167" t="s">
        <v>695</v>
      </c>
      <c r="C34" s="169">
        <v>0</v>
      </c>
      <c r="D34" s="169">
        <f t="shared" si="0"/>
        <v>5.9400000000000001E-2</v>
      </c>
      <c r="E34" s="184">
        <v>0</v>
      </c>
      <c r="F34" s="184">
        <v>0.25</v>
      </c>
    </row>
    <row r="35" spans="1:6" ht="16">
      <c r="A35" s="168" t="s">
        <v>600</v>
      </c>
      <c r="B35" s="167" t="s">
        <v>702</v>
      </c>
      <c r="C35" s="169">
        <v>7.9525458715596339E-2</v>
      </c>
      <c r="D35" s="169">
        <f t="shared" si="0"/>
        <v>0.17158056832609495</v>
      </c>
      <c r="E35" s="184">
        <v>0.11218056832609494</v>
      </c>
      <c r="F35" s="184">
        <v>0</v>
      </c>
    </row>
    <row r="36" spans="1:6" ht="16">
      <c r="A36" s="168" t="s">
        <v>486</v>
      </c>
      <c r="B36" s="167" t="s">
        <v>701</v>
      </c>
      <c r="C36" s="169">
        <v>7.3341743119266058E-3</v>
      </c>
      <c r="D36" s="169">
        <f t="shared" si="0"/>
        <v>6.9745766699151612E-2</v>
      </c>
      <c r="E36" s="184">
        <v>1.0345766699151613E-2</v>
      </c>
      <c r="F36" s="184">
        <v>0</v>
      </c>
    </row>
    <row r="37" spans="1:6" ht="16">
      <c r="A37" s="168" t="s">
        <v>487</v>
      </c>
      <c r="B37" s="167" t="s">
        <v>704</v>
      </c>
      <c r="C37" s="169">
        <v>1.0354128440366973E-2</v>
      </c>
      <c r="D37" s="169">
        <f t="shared" si="0"/>
        <v>7.4005788281155213E-2</v>
      </c>
      <c r="E37" s="184">
        <v>1.4605788281155217E-2</v>
      </c>
      <c r="F37" s="184">
        <v>0.27</v>
      </c>
    </row>
    <row r="38" spans="1:6" ht="16">
      <c r="A38" s="168" t="s">
        <v>488</v>
      </c>
      <c r="B38" s="167" t="s">
        <v>706</v>
      </c>
      <c r="C38" s="169">
        <v>8.6284403669724778E-3</v>
      </c>
      <c r="D38" s="169">
        <f t="shared" si="0"/>
        <v>7.1571490234296015E-2</v>
      </c>
      <c r="E38" s="184">
        <v>1.2171490234296015E-2</v>
      </c>
      <c r="F38" s="184">
        <v>0.25</v>
      </c>
    </row>
    <row r="39" spans="1:6" ht="16">
      <c r="A39" s="168" t="s">
        <v>489</v>
      </c>
      <c r="B39" s="167" t="s">
        <v>692</v>
      </c>
      <c r="C39" s="169">
        <v>2.3296788990825688E-2</v>
      </c>
      <c r="D39" s="169">
        <f t="shared" si="0"/>
        <v>9.2263023632599236E-2</v>
      </c>
      <c r="E39" s="184">
        <v>3.2863023632599235E-2</v>
      </c>
      <c r="F39" s="184">
        <v>0.35</v>
      </c>
    </row>
    <row r="40" spans="1:6" ht="16">
      <c r="A40" s="168" t="s">
        <v>620</v>
      </c>
      <c r="B40" s="167" t="s">
        <v>702</v>
      </c>
      <c r="C40" s="169">
        <v>7.9525458715596339E-2</v>
      </c>
      <c r="D40" s="169">
        <f t="shared" si="0"/>
        <v>0.17158056832609495</v>
      </c>
      <c r="E40" s="184">
        <v>0.11218056832609494</v>
      </c>
      <c r="F40" s="184">
        <v>0.3</v>
      </c>
    </row>
    <row r="41" spans="1:6" ht="16">
      <c r="A41" s="168" t="s">
        <v>621</v>
      </c>
      <c r="B41" s="167" t="s">
        <v>707</v>
      </c>
      <c r="C41" s="169">
        <v>0.11015642201834862</v>
      </c>
      <c r="D41" s="169">
        <f t="shared" si="0"/>
        <v>0.21478935865784579</v>
      </c>
      <c r="E41" s="184">
        <v>0.15538935865784578</v>
      </c>
      <c r="F41" s="184">
        <v>0.28000000000000003</v>
      </c>
    </row>
    <row r="42" spans="1:6" ht="16">
      <c r="A42" s="168" t="s">
        <v>607</v>
      </c>
      <c r="B42" s="167" t="s">
        <v>690</v>
      </c>
      <c r="C42" s="169">
        <v>5.5078211009174309E-2</v>
      </c>
      <c r="D42" s="169">
        <f t="shared" si="0"/>
        <v>0.13709467932892289</v>
      </c>
      <c r="E42" s="184">
        <v>7.7694679328922892E-2</v>
      </c>
      <c r="F42" s="184">
        <v>0.2843</v>
      </c>
    </row>
    <row r="43" spans="1:6" ht="16">
      <c r="A43" s="168" t="s">
        <v>490</v>
      </c>
      <c r="B43" s="167" t="s">
        <v>693</v>
      </c>
      <c r="C43" s="169">
        <v>6.7301834862385335E-2</v>
      </c>
      <c r="D43" s="169">
        <f t="shared" si="0"/>
        <v>0.15433762382750893</v>
      </c>
      <c r="E43" s="184">
        <v>9.4937623827508935E-2</v>
      </c>
      <c r="F43" s="184">
        <v>0.3</v>
      </c>
    </row>
    <row r="44" spans="1:6" ht="16">
      <c r="A44" s="168" t="s">
        <v>779</v>
      </c>
      <c r="B44" s="167" t="s">
        <v>699</v>
      </c>
      <c r="C44" s="169">
        <v>4.4005045871559637E-2</v>
      </c>
      <c r="D44" s="169">
        <f t="shared" si="0"/>
        <v>0.12147460019490969</v>
      </c>
      <c r="E44" s="184">
        <v>6.2074600194909679E-2</v>
      </c>
      <c r="F44" s="184">
        <v>0.25</v>
      </c>
    </row>
    <row r="45" spans="1:6" ht="16">
      <c r="A45" s="168" t="s">
        <v>491</v>
      </c>
      <c r="B45" s="167" t="s">
        <v>692</v>
      </c>
      <c r="C45" s="169">
        <v>2.3296788990825688E-2</v>
      </c>
      <c r="D45" s="169">
        <f t="shared" si="0"/>
        <v>9.2263023632599236E-2</v>
      </c>
      <c r="E45" s="184">
        <v>3.2863023632599235E-2</v>
      </c>
      <c r="F45" s="184">
        <v>0.18</v>
      </c>
    </row>
    <row r="46" spans="1:6" ht="16">
      <c r="A46" s="168" t="s">
        <v>492</v>
      </c>
      <c r="B46" s="167" t="s">
        <v>776</v>
      </c>
      <c r="C46" s="169">
        <v>0.14682729357798166</v>
      </c>
      <c r="D46" s="169">
        <f t="shared" si="0"/>
        <v>0.26651819215360384</v>
      </c>
      <c r="E46" s="184">
        <v>0.20711819215360386</v>
      </c>
      <c r="F46" s="184">
        <v>0.27179999999999999</v>
      </c>
    </row>
    <row r="47" spans="1:6" ht="16">
      <c r="A47" s="168" t="s">
        <v>780</v>
      </c>
      <c r="B47" s="167" t="s">
        <v>692</v>
      </c>
      <c r="C47" s="169">
        <v>2.3296788990825688E-2</v>
      </c>
      <c r="D47" s="169">
        <f t="shared" si="0"/>
        <v>9.2263023632599236E-2</v>
      </c>
      <c r="E47" s="184">
        <v>3.2863023632599235E-2</v>
      </c>
      <c r="F47" s="184">
        <v>0.22</v>
      </c>
    </row>
    <row r="48" spans="1:6" ht="16">
      <c r="A48" s="168" t="s">
        <v>567</v>
      </c>
      <c r="B48" s="167" t="s">
        <v>710</v>
      </c>
      <c r="C48" s="169">
        <v>3.0630963302752296E-2</v>
      </c>
      <c r="D48" s="169">
        <f t="shared" si="0"/>
        <v>0.10260879033175085</v>
      </c>
      <c r="E48" s="184">
        <v>4.3208790331750853E-2</v>
      </c>
      <c r="F48" s="184">
        <v>0.125</v>
      </c>
    </row>
    <row r="49" spans="1:6" ht="16">
      <c r="A49" s="168" t="s">
        <v>493</v>
      </c>
      <c r="B49" s="167" t="s">
        <v>701</v>
      </c>
      <c r="C49" s="169">
        <v>7.3341743119266058E-3</v>
      </c>
      <c r="D49" s="169">
        <f t="shared" si="0"/>
        <v>6.9745766699151612E-2</v>
      </c>
      <c r="E49" s="184">
        <v>1.0345766699151613E-2</v>
      </c>
      <c r="F49" s="184">
        <v>0.19</v>
      </c>
    </row>
    <row r="50" spans="1:6" ht="16">
      <c r="A50" s="168" t="s">
        <v>494</v>
      </c>
      <c r="B50" s="167" t="s">
        <v>695</v>
      </c>
      <c r="C50" s="169">
        <v>0</v>
      </c>
      <c r="D50" s="169">
        <f t="shared" si="0"/>
        <v>5.9400000000000001E-2</v>
      </c>
      <c r="E50" s="184">
        <v>0</v>
      </c>
      <c r="F50" s="184">
        <v>0.22</v>
      </c>
    </row>
    <row r="51" spans="1:6" ht="16">
      <c r="A51" s="168" t="s">
        <v>495</v>
      </c>
      <c r="B51" s="167" t="s">
        <v>699</v>
      </c>
      <c r="C51" s="169">
        <v>4.4005045871559637E-2</v>
      </c>
      <c r="D51" s="169">
        <f t="shared" si="0"/>
        <v>0.12147460019490969</v>
      </c>
      <c r="E51" s="184">
        <v>6.2074600194909679E-2</v>
      </c>
      <c r="F51" s="184">
        <v>0.27</v>
      </c>
    </row>
    <row r="52" spans="1:6" ht="16">
      <c r="A52" s="168" t="s">
        <v>414</v>
      </c>
      <c r="B52" s="167" t="s">
        <v>777</v>
      </c>
      <c r="C52" s="169">
        <v>0.12238004587155965</v>
      </c>
      <c r="D52" s="169">
        <f t="shared" si="0"/>
        <v>0.23203230315643184</v>
      </c>
      <c r="E52" s="184">
        <v>0.17263230315643183</v>
      </c>
      <c r="F52" s="184">
        <v>0.25</v>
      </c>
    </row>
    <row r="53" spans="1:6" ht="16">
      <c r="A53" s="168" t="s">
        <v>496</v>
      </c>
      <c r="B53" s="167" t="s">
        <v>693</v>
      </c>
      <c r="C53" s="169">
        <v>6.7301834862385335E-2</v>
      </c>
      <c r="D53" s="169">
        <f t="shared" si="0"/>
        <v>0.15433762382750893</v>
      </c>
      <c r="E53" s="184">
        <v>9.4937623827508935E-2</v>
      </c>
      <c r="F53" s="184">
        <v>0.22500000000000001</v>
      </c>
    </row>
    <row r="54" spans="1:6" ht="16">
      <c r="A54" s="168" t="s">
        <v>497</v>
      </c>
      <c r="B54" s="167" t="s">
        <v>777</v>
      </c>
      <c r="C54" s="169">
        <v>0.12238004587155965</v>
      </c>
      <c r="D54" s="169">
        <f t="shared" si="0"/>
        <v>0.23203230315643184</v>
      </c>
      <c r="E54" s="184">
        <v>0.17263230315643183</v>
      </c>
      <c r="F54" s="184">
        <v>0.3</v>
      </c>
    </row>
    <row r="55" spans="1:6" ht="16">
      <c r="A55" s="168" t="s">
        <v>498</v>
      </c>
      <c r="B55" s="167" t="s">
        <v>706</v>
      </c>
      <c r="C55" s="169">
        <v>8.6284403669724778E-3</v>
      </c>
      <c r="D55" s="169">
        <f t="shared" si="0"/>
        <v>7.1571490234296015E-2</v>
      </c>
      <c r="E55" s="184">
        <v>1.2171490234296015E-2</v>
      </c>
      <c r="F55" s="184">
        <v>0.2</v>
      </c>
    </row>
    <row r="56" spans="1:6" ht="16">
      <c r="A56" s="168" t="s">
        <v>622</v>
      </c>
      <c r="B56" s="167" t="s">
        <v>707</v>
      </c>
      <c r="C56" s="169">
        <v>0.11015642201834862</v>
      </c>
      <c r="D56" s="169">
        <f t="shared" si="0"/>
        <v>0.21478935865784579</v>
      </c>
      <c r="E56" s="184">
        <v>0.15538935865784578</v>
      </c>
      <c r="F56" s="184">
        <v>0.3</v>
      </c>
    </row>
    <row r="57" spans="1:6" ht="16">
      <c r="A57" s="168" t="s">
        <v>606</v>
      </c>
      <c r="B57" s="167" t="s">
        <v>690</v>
      </c>
      <c r="C57" s="169">
        <v>5.5078211009174309E-2</v>
      </c>
      <c r="D57" s="169">
        <f t="shared" si="0"/>
        <v>0.13709467932892289</v>
      </c>
      <c r="E57" s="184">
        <v>7.7694679328922892E-2</v>
      </c>
      <c r="F57" s="184">
        <v>0.2</v>
      </c>
    </row>
    <row r="58" spans="1:6" ht="16">
      <c r="A58" s="168" t="s">
        <v>568</v>
      </c>
      <c r="B58" s="167" t="s">
        <v>696</v>
      </c>
      <c r="C58" s="169">
        <v>4.8894495412844033E-3</v>
      </c>
      <c r="D58" s="169">
        <f t="shared" si="0"/>
        <v>6.6297177799434406E-2</v>
      </c>
      <c r="E58" s="184">
        <v>6.8971777994344076E-3</v>
      </c>
      <c r="F58" s="184">
        <v>0.2</v>
      </c>
    </row>
    <row r="59" spans="1:6" ht="16">
      <c r="A59" s="168" t="s">
        <v>569</v>
      </c>
      <c r="B59" s="167" t="s">
        <v>689</v>
      </c>
      <c r="C59" s="169">
        <v>6.0399082568807346E-3</v>
      </c>
      <c r="D59" s="169">
        <f t="shared" si="0"/>
        <v>6.792004316400721E-2</v>
      </c>
      <c r="E59" s="184">
        <v>8.5200431640072103E-3</v>
      </c>
      <c r="F59" s="184">
        <v>0.25</v>
      </c>
    </row>
    <row r="60" spans="1:6" ht="16">
      <c r="A60" s="168" t="s">
        <v>601</v>
      </c>
      <c r="B60" s="167" t="s">
        <v>700</v>
      </c>
      <c r="C60" s="169">
        <v>9.1749082568807344E-2</v>
      </c>
      <c r="D60" s="169">
        <f t="shared" si="0"/>
        <v>0.18882351282468096</v>
      </c>
      <c r="E60" s="184">
        <v>0.12942351282468095</v>
      </c>
      <c r="F60" s="184">
        <v>0.3</v>
      </c>
    </row>
    <row r="61" spans="1:6" ht="16">
      <c r="A61" s="171" t="s">
        <v>709</v>
      </c>
      <c r="B61" s="125" t="s">
        <v>790</v>
      </c>
      <c r="C61" s="251">
        <v>0.21976080679295523</v>
      </c>
      <c r="D61" s="169">
        <f t="shared" si="0"/>
        <v>0.21976080679295523</v>
      </c>
      <c r="E61" s="252">
        <v>0.16036080679295522</v>
      </c>
      <c r="F61" s="252">
        <v>0.31</v>
      </c>
    </row>
    <row r="62" spans="1:6" ht="16">
      <c r="A62" s="168" t="s">
        <v>499</v>
      </c>
      <c r="B62" s="167" t="s">
        <v>697</v>
      </c>
      <c r="C62" s="169">
        <v>3.6814678899082569E-2</v>
      </c>
      <c r="D62" s="169">
        <f t="shared" si="0"/>
        <v>0.11133169166632967</v>
      </c>
      <c r="E62" s="184">
        <v>5.193169166632966E-2</v>
      </c>
      <c r="F62" s="184">
        <v>0.15</v>
      </c>
    </row>
    <row r="63" spans="1:6" ht="16">
      <c r="A63" s="168" t="s">
        <v>570</v>
      </c>
      <c r="B63" s="167" t="s">
        <v>695</v>
      </c>
      <c r="C63" s="169">
        <v>0</v>
      </c>
      <c r="D63" s="169">
        <f t="shared" si="0"/>
        <v>5.9400000000000001E-2</v>
      </c>
      <c r="E63" s="184">
        <v>0</v>
      </c>
      <c r="F63" s="184">
        <v>0.3</v>
      </c>
    </row>
    <row r="64" spans="1:6" ht="16">
      <c r="A64" s="168" t="s">
        <v>602</v>
      </c>
      <c r="B64" s="167" t="s">
        <v>776</v>
      </c>
      <c r="C64" s="169">
        <v>0.14682729357798166</v>
      </c>
      <c r="D64" s="169">
        <f t="shared" si="0"/>
        <v>0.26651819215360384</v>
      </c>
      <c r="E64" s="184">
        <v>0.20711819215360386</v>
      </c>
      <c r="F64" s="184">
        <v>0.25</v>
      </c>
    </row>
    <row r="65" spans="1:6" ht="16">
      <c r="A65" s="168" t="s">
        <v>571</v>
      </c>
      <c r="B65" s="167" t="s">
        <v>699</v>
      </c>
      <c r="C65" s="169">
        <v>4.4005045871559637E-2</v>
      </c>
      <c r="D65" s="169">
        <f t="shared" si="0"/>
        <v>0.12147460019490969</v>
      </c>
      <c r="E65" s="184">
        <v>6.2074600194909679E-2</v>
      </c>
      <c r="F65" s="184">
        <v>0.22</v>
      </c>
    </row>
    <row r="66" spans="1:6" ht="16">
      <c r="A66" s="168" t="s">
        <v>500</v>
      </c>
      <c r="B66" s="167" t="s">
        <v>710</v>
      </c>
      <c r="C66" s="169">
        <v>3.0630963302752296E-2</v>
      </c>
      <c r="D66" s="169">
        <f t="shared" si="0"/>
        <v>0.10260879033175085</v>
      </c>
      <c r="E66" s="184">
        <v>4.3208790331750853E-2</v>
      </c>
      <c r="F66" s="184">
        <v>0.25</v>
      </c>
    </row>
    <row r="67" spans="1:6" ht="16">
      <c r="A67" s="168" t="s">
        <v>781</v>
      </c>
      <c r="B67" s="167" t="s">
        <v>695</v>
      </c>
      <c r="C67" s="169">
        <v>0</v>
      </c>
      <c r="D67" s="169">
        <f t="shared" si="0"/>
        <v>5.9400000000000001E-2</v>
      </c>
      <c r="E67" s="184">
        <v>0</v>
      </c>
      <c r="F67" s="184">
        <v>0</v>
      </c>
    </row>
    <row r="68" spans="1:6" ht="16">
      <c r="A68" s="171" t="s">
        <v>711</v>
      </c>
      <c r="B68" s="125" t="s">
        <v>790</v>
      </c>
      <c r="C68" s="251">
        <v>0.20664604896821434</v>
      </c>
      <c r="D68" s="169">
        <f t="shared" si="0"/>
        <v>0.20664604896821434</v>
      </c>
      <c r="E68" s="252">
        <v>0.14724604896821433</v>
      </c>
      <c r="F68" s="252">
        <v>0.29149999999999998</v>
      </c>
    </row>
    <row r="69" spans="1:6" ht="16">
      <c r="A69" s="171" t="s">
        <v>712</v>
      </c>
      <c r="B69" s="125" t="s">
        <v>790</v>
      </c>
      <c r="C69" s="251">
        <v>0.20664604896821434</v>
      </c>
      <c r="D69" s="169">
        <f t="shared" si="0"/>
        <v>0.20664604896821434</v>
      </c>
      <c r="E69" s="252">
        <v>0.14724604896821433</v>
      </c>
      <c r="F69" s="252">
        <v>0.29149999999999998</v>
      </c>
    </row>
    <row r="70" spans="1:6" ht="16">
      <c r="A70" s="171" t="s">
        <v>713</v>
      </c>
      <c r="B70" s="125" t="s">
        <v>790</v>
      </c>
      <c r="C70" s="251">
        <v>0.13214004640711891</v>
      </c>
      <c r="D70" s="169">
        <f t="shared" ref="D70:D133" si="1">$B$1+E70</f>
        <v>0.13214004640711891</v>
      </c>
      <c r="E70" s="252">
        <v>7.2740046407118897E-2</v>
      </c>
      <c r="F70" s="252">
        <v>0.18640000000000001</v>
      </c>
    </row>
    <row r="71" spans="1:6" ht="16">
      <c r="A71" s="171" t="s">
        <v>714</v>
      </c>
      <c r="B71" s="125" t="s">
        <v>790</v>
      </c>
      <c r="C71" s="251">
        <v>0.13214004640711891</v>
      </c>
      <c r="D71" s="169">
        <f t="shared" si="1"/>
        <v>0.13214004640711891</v>
      </c>
      <c r="E71" s="252">
        <v>7.2740046407118897E-2</v>
      </c>
      <c r="F71" s="252">
        <v>0.18640000000000001</v>
      </c>
    </row>
    <row r="72" spans="1:6" ht="16">
      <c r="A72" s="168" t="s">
        <v>501</v>
      </c>
      <c r="B72" s="167" t="s">
        <v>690</v>
      </c>
      <c r="C72" s="169">
        <v>5.5078211009174309E-2</v>
      </c>
      <c r="D72" s="169">
        <f t="shared" si="1"/>
        <v>0.13709467932892289</v>
      </c>
      <c r="E72" s="184">
        <v>7.7694679328922892E-2</v>
      </c>
      <c r="F72" s="184">
        <v>0.25</v>
      </c>
    </row>
    <row r="73" spans="1:6" ht="16">
      <c r="A73" s="168" t="s">
        <v>502</v>
      </c>
      <c r="B73" s="167" t="s">
        <v>701</v>
      </c>
      <c r="C73" s="169">
        <v>7.3341743119266058E-3</v>
      </c>
      <c r="D73" s="169">
        <f t="shared" si="1"/>
        <v>6.9745766699151612E-2</v>
      </c>
      <c r="E73" s="184">
        <v>1.0345766699151613E-2</v>
      </c>
      <c r="F73" s="184">
        <v>0.16500000000000001</v>
      </c>
    </row>
    <row r="74" spans="1:6" ht="16">
      <c r="A74" s="168" t="s">
        <v>503</v>
      </c>
      <c r="B74" s="167" t="s">
        <v>692</v>
      </c>
      <c r="C74" s="169">
        <v>2.3296788990825688E-2</v>
      </c>
      <c r="D74" s="169">
        <f t="shared" si="1"/>
        <v>9.2263023632599236E-2</v>
      </c>
      <c r="E74" s="184">
        <v>3.2863023632599235E-2</v>
      </c>
      <c r="F74" s="184">
        <v>0.09</v>
      </c>
    </row>
    <row r="75" spans="1:6" ht="16">
      <c r="A75" s="168" t="s">
        <v>504</v>
      </c>
      <c r="B75" s="167" t="s">
        <v>704</v>
      </c>
      <c r="C75" s="169">
        <v>1.0354128440366973E-2</v>
      </c>
      <c r="D75" s="169">
        <f t="shared" si="1"/>
        <v>7.4005788281155213E-2</v>
      </c>
      <c r="E75" s="184">
        <v>1.4605788281155217E-2</v>
      </c>
      <c r="F75" s="184">
        <v>0.2</v>
      </c>
    </row>
    <row r="76" spans="1:6" ht="16">
      <c r="A76" s="168" t="s">
        <v>505</v>
      </c>
      <c r="B76" s="167" t="s">
        <v>698</v>
      </c>
      <c r="C76" s="169">
        <v>2.6891972477064225E-2</v>
      </c>
      <c r="D76" s="169">
        <f t="shared" si="1"/>
        <v>9.733447789688926E-2</v>
      </c>
      <c r="E76" s="184">
        <v>3.7934477896889252E-2</v>
      </c>
      <c r="F76" s="184">
        <v>0.3</v>
      </c>
    </row>
    <row r="77" spans="1:6" ht="16">
      <c r="A77" s="168" t="s">
        <v>506</v>
      </c>
      <c r="B77" s="167" t="s">
        <v>692</v>
      </c>
      <c r="C77" s="169">
        <v>2.3296788990825688E-2</v>
      </c>
      <c r="D77" s="169">
        <f t="shared" si="1"/>
        <v>9.2263023632599236E-2</v>
      </c>
      <c r="E77" s="184">
        <v>3.2863023632599235E-2</v>
      </c>
      <c r="F77" s="184">
        <v>0.22</v>
      </c>
    </row>
    <row r="78" spans="1:6" ht="16">
      <c r="A78" s="171" t="s">
        <v>715</v>
      </c>
      <c r="B78" s="125" t="s">
        <v>790</v>
      </c>
      <c r="C78" s="251">
        <v>0.14341164907811241</v>
      </c>
      <c r="D78" s="169">
        <f t="shared" si="1"/>
        <v>0.14341164907811241</v>
      </c>
      <c r="E78" s="252">
        <v>8.4011649078112399E-2</v>
      </c>
      <c r="F78" s="252">
        <v>0.20230000000000001</v>
      </c>
    </row>
    <row r="79" spans="1:6" ht="16">
      <c r="A79" s="168" t="s">
        <v>653</v>
      </c>
      <c r="B79" s="167" t="s">
        <v>700</v>
      </c>
      <c r="C79" s="169">
        <v>9.1749082568807344E-2</v>
      </c>
      <c r="D79" s="169">
        <f t="shared" si="1"/>
        <v>0.18882351282468096</v>
      </c>
      <c r="E79" s="184">
        <v>0.12942351282468095</v>
      </c>
      <c r="F79" s="184">
        <v>0.15</v>
      </c>
    </row>
    <row r="80" spans="1:6" ht="16">
      <c r="A80" s="168" t="s">
        <v>572</v>
      </c>
      <c r="B80" s="167" t="s">
        <v>706</v>
      </c>
      <c r="C80" s="169">
        <v>8.6284403669724778E-3</v>
      </c>
      <c r="D80" s="169">
        <f t="shared" si="1"/>
        <v>7.1571490234296015E-2</v>
      </c>
      <c r="E80" s="184">
        <v>1.2171490234296015E-2</v>
      </c>
      <c r="F80" s="184">
        <v>0.125</v>
      </c>
    </row>
    <row r="81" spans="1:6" ht="16">
      <c r="A81" s="168" t="s">
        <v>507</v>
      </c>
      <c r="B81" s="167" t="s">
        <v>701</v>
      </c>
      <c r="C81" s="169">
        <v>7.3341743119266058E-3</v>
      </c>
      <c r="D81" s="169">
        <f t="shared" si="1"/>
        <v>6.9745766699151612E-2</v>
      </c>
      <c r="E81" s="184">
        <v>1.0345766699151613E-2</v>
      </c>
      <c r="F81" s="184">
        <v>0</v>
      </c>
    </row>
    <row r="82" spans="1:6" ht="16">
      <c r="A82" s="168" t="s">
        <v>508</v>
      </c>
      <c r="B82" s="167" t="s">
        <v>706</v>
      </c>
      <c r="C82" s="169">
        <v>8.6284403669724778E-3</v>
      </c>
      <c r="D82" s="169">
        <f t="shared" si="1"/>
        <v>7.1571490234296015E-2</v>
      </c>
      <c r="E82" s="184">
        <v>1.2171490234296015E-2</v>
      </c>
      <c r="F82" s="184">
        <v>0.23</v>
      </c>
    </row>
    <row r="83" spans="1:6" ht="16">
      <c r="A83" s="168" t="s">
        <v>573</v>
      </c>
      <c r="B83" s="167" t="s">
        <v>698</v>
      </c>
      <c r="C83" s="169">
        <v>2.6891972477064225E-2</v>
      </c>
      <c r="D83" s="169">
        <f t="shared" si="1"/>
        <v>9.733447789688926E-2</v>
      </c>
      <c r="E83" s="184">
        <v>3.7934477896889252E-2</v>
      </c>
      <c r="F83" s="184">
        <v>0.24</v>
      </c>
    </row>
    <row r="84" spans="1:6" ht="16">
      <c r="A84" s="168" t="s">
        <v>509</v>
      </c>
      <c r="B84" s="167" t="s">
        <v>693</v>
      </c>
      <c r="C84" s="169">
        <v>6.7301834862385335E-2</v>
      </c>
      <c r="D84" s="169">
        <f t="shared" si="1"/>
        <v>0.15433762382750893</v>
      </c>
      <c r="E84" s="184">
        <v>9.4937623827508935E-2</v>
      </c>
      <c r="F84" s="184">
        <v>0.25</v>
      </c>
    </row>
    <row r="85" spans="1:6" ht="16">
      <c r="A85" s="168" t="s">
        <v>510</v>
      </c>
      <c r="B85" s="167" t="s">
        <v>706</v>
      </c>
      <c r="C85" s="169">
        <v>8.6284403669724778E-3</v>
      </c>
      <c r="D85" s="169">
        <f t="shared" si="1"/>
        <v>7.1571490234296015E-2</v>
      </c>
      <c r="E85" s="184">
        <v>1.2171490234296015E-2</v>
      </c>
      <c r="F85" s="184">
        <v>0.23200000000000001</v>
      </c>
    </row>
    <row r="86" spans="1:6" ht="16">
      <c r="A86" s="168" t="s">
        <v>782</v>
      </c>
      <c r="B86" s="167" t="s">
        <v>695</v>
      </c>
      <c r="C86" s="169">
        <v>0</v>
      </c>
      <c r="D86" s="169">
        <f t="shared" si="1"/>
        <v>5.9400000000000001E-2</v>
      </c>
      <c r="E86" s="184">
        <v>0</v>
      </c>
      <c r="F86" s="184">
        <v>0</v>
      </c>
    </row>
    <row r="87" spans="1:6" ht="16">
      <c r="A87" s="168" t="s">
        <v>511</v>
      </c>
      <c r="B87" s="167" t="s">
        <v>690</v>
      </c>
      <c r="C87" s="169">
        <v>5.5078211009174309E-2</v>
      </c>
      <c r="D87" s="169">
        <f t="shared" si="1"/>
        <v>0.13709467932892289</v>
      </c>
      <c r="E87" s="184">
        <v>7.7694679328922892E-2</v>
      </c>
      <c r="F87" s="184">
        <v>0.2</v>
      </c>
    </row>
    <row r="88" spans="1:6" ht="16">
      <c r="A88" s="168" t="s">
        <v>512</v>
      </c>
      <c r="B88" s="167" t="s">
        <v>692</v>
      </c>
      <c r="C88" s="169">
        <v>2.3296788990825688E-2</v>
      </c>
      <c r="D88" s="169">
        <f t="shared" si="1"/>
        <v>9.2263023632599236E-2</v>
      </c>
      <c r="E88" s="184">
        <v>3.2863023632599235E-2</v>
      </c>
      <c r="F88" s="184">
        <v>0.2</v>
      </c>
    </row>
    <row r="89" spans="1:6" ht="16">
      <c r="A89" s="168" t="s">
        <v>574</v>
      </c>
      <c r="B89" s="167" t="s">
        <v>693</v>
      </c>
      <c r="C89" s="169">
        <v>6.7301834862385335E-2</v>
      </c>
      <c r="D89" s="169">
        <f t="shared" si="1"/>
        <v>0.15433762382750893</v>
      </c>
      <c r="E89" s="184">
        <v>9.4937623827508935E-2</v>
      </c>
      <c r="F89" s="184">
        <v>0.3</v>
      </c>
    </row>
    <row r="90" spans="1:6" ht="16">
      <c r="A90" s="168" t="s">
        <v>783</v>
      </c>
      <c r="B90" s="167" t="s">
        <v>689</v>
      </c>
      <c r="C90" s="169">
        <v>6.0399082568807346E-3</v>
      </c>
      <c r="D90" s="169">
        <f t="shared" si="1"/>
        <v>6.792004316400721E-2</v>
      </c>
      <c r="E90" s="184">
        <v>8.5200431640072103E-3</v>
      </c>
      <c r="F90" s="184">
        <v>0.25</v>
      </c>
    </row>
    <row r="91" spans="1:6" ht="16">
      <c r="A91" s="171" t="s">
        <v>716</v>
      </c>
      <c r="B91" s="125" t="s">
        <v>790</v>
      </c>
      <c r="C91" s="251">
        <v>0.16375724635216987</v>
      </c>
      <c r="D91" s="169">
        <f t="shared" si="1"/>
        <v>0.16375724635216987</v>
      </c>
      <c r="E91" s="252">
        <v>0.10435724635216986</v>
      </c>
      <c r="F91" s="252">
        <v>0.23100000000000001</v>
      </c>
    </row>
    <row r="92" spans="1:6" ht="16">
      <c r="A92" s="168" t="s">
        <v>513</v>
      </c>
      <c r="B92" s="167" t="s">
        <v>706</v>
      </c>
      <c r="C92" s="169">
        <v>8.6284403669724778E-3</v>
      </c>
      <c r="D92" s="169">
        <f t="shared" si="1"/>
        <v>7.1571490234296015E-2</v>
      </c>
      <c r="E92" s="184">
        <v>1.2171490234296015E-2</v>
      </c>
      <c r="F92" s="184">
        <v>0.15</v>
      </c>
    </row>
    <row r="93" spans="1:6" ht="16">
      <c r="A93" s="168" t="s">
        <v>654</v>
      </c>
      <c r="B93" s="167" t="s">
        <v>702</v>
      </c>
      <c r="C93" s="169">
        <v>7.9525458715596339E-2</v>
      </c>
      <c r="D93" s="169">
        <f t="shared" si="1"/>
        <v>0.17158056832609495</v>
      </c>
      <c r="E93" s="184">
        <v>0.11218056832609494</v>
      </c>
      <c r="F93" s="184">
        <v>0.1</v>
      </c>
    </row>
    <row r="94" spans="1:6" ht="16">
      <c r="A94" s="168" t="s">
        <v>775</v>
      </c>
      <c r="B94" s="167" t="s">
        <v>777</v>
      </c>
      <c r="C94" s="169">
        <v>0.12238004587155965</v>
      </c>
      <c r="D94" s="169">
        <f t="shared" si="1"/>
        <v>0.23203230315643184</v>
      </c>
      <c r="E94" s="184">
        <v>0.17263230315643183</v>
      </c>
      <c r="F94" s="184">
        <v>0.2281</v>
      </c>
    </row>
    <row r="95" spans="1:6" ht="16">
      <c r="A95" s="168" t="s">
        <v>514</v>
      </c>
      <c r="B95" s="167" t="s">
        <v>708</v>
      </c>
      <c r="C95" s="169">
        <v>1.4668348623853212E-2</v>
      </c>
      <c r="D95" s="169">
        <f t="shared" si="1"/>
        <v>8.009153339830323E-2</v>
      </c>
      <c r="E95" s="184">
        <v>2.0691533398303225E-2</v>
      </c>
      <c r="F95" s="184">
        <v>0.2</v>
      </c>
    </row>
    <row r="96" spans="1:6" ht="16">
      <c r="A96" s="168" t="s">
        <v>515</v>
      </c>
      <c r="B96" s="167" t="s">
        <v>746</v>
      </c>
      <c r="C96" s="169">
        <v>0.17499999999999999</v>
      </c>
      <c r="D96" s="169">
        <f t="shared" si="1"/>
        <v>0.30625930485826308</v>
      </c>
      <c r="E96" s="184">
        <v>0.2468593048582631</v>
      </c>
      <c r="F96" s="184">
        <v>0.17</v>
      </c>
    </row>
    <row r="97" spans="1:6" ht="16">
      <c r="A97" s="171" t="s">
        <v>717</v>
      </c>
      <c r="B97" s="125" t="s">
        <v>790</v>
      </c>
      <c r="C97" s="251">
        <v>0.20664604896821434</v>
      </c>
      <c r="D97" s="169">
        <f t="shared" si="1"/>
        <v>0.20664604896821434</v>
      </c>
      <c r="E97" s="252">
        <v>0.14724604896821433</v>
      </c>
      <c r="F97" s="252">
        <v>0.29149999999999998</v>
      </c>
    </row>
    <row r="98" spans="1:6" ht="16">
      <c r="A98" s="171" t="s">
        <v>718</v>
      </c>
      <c r="B98" s="125" t="s">
        <v>790</v>
      </c>
      <c r="C98" s="251">
        <v>0.14178116567287435</v>
      </c>
      <c r="D98" s="169">
        <f t="shared" si="1"/>
        <v>0.14178116567287435</v>
      </c>
      <c r="E98" s="252">
        <v>8.2381165672874346E-2</v>
      </c>
      <c r="F98" s="253">
        <v>0.2</v>
      </c>
    </row>
    <row r="99" spans="1:6" ht="16">
      <c r="A99" s="168" t="s">
        <v>613</v>
      </c>
      <c r="B99" s="167" t="s">
        <v>695</v>
      </c>
      <c r="C99" s="169">
        <v>0</v>
      </c>
      <c r="D99" s="169">
        <f t="shared" si="1"/>
        <v>5.9400000000000001E-2</v>
      </c>
      <c r="E99" s="184">
        <v>0</v>
      </c>
      <c r="F99" s="184">
        <v>0.125</v>
      </c>
    </row>
    <row r="100" spans="1:6" ht="16">
      <c r="A100" s="168" t="s">
        <v>516</v>
      </c>
      <c r="B100" s="167" t="s">
        <v>704</v>
      </c>
      <c r="C100" s="169">
        <v>1.0354128440366973E-2</v>
      </c>
      <c r="D100" s="169">
        <f t="shared" si="1"/>
        <v>7.4005788281155213E-2</v>
      </c>
      <c r="E100" s="184">
        <v>1.4605788281155217E-2</v>
      </c>
      <c r="F100" s="184">
        <v>0.15</v>
      </c>
    </row>
    <row r="101" spans="1:6" ht="16">
      <c r="A101" s="168" t="s">
        <v>575</v>
      </c>
      <c r="B101" s="167" t="s">
        <v>695</v>
      </c>
      <c r="C101" s="169">
        <v>0</v>
      </c>
      <c r="D101" s="169">
        <f t="shared" si="1"/>
        <v>5.9400000000000001E-2</v>
      </c>
      <c r="E101" s="184">
        <v>0</v>
      </c>
      <c r="F101" s="184">
        <v>0.24940000000000001</v>
      </c>
    </row>
    <row r="102" spans="1:6" ht="16">
      <c r="A102" s="168" t="s">
        <v>743</v>
      </c>
      <c r="B102" s="167" t="s">
        <v>701</v>
      </c>
      <c r="C102" s="169">
        <v>7.3341743119266058E-3</v>
      </c>
      <c r="D102" s="169">
        <f t="shared" si="1"/>
        <v>6.9745766699151612E-2</v>
      </c>
      <c r="E102" s="184">
        <v>1.0345766699151613E-2</v>
      </c>
      <c r="F102" s="184">
        <v>0.2281</v>
      </c>
    </row>
    <row r="103" spans="1:6" ht="16">
      <c r="A103" s="168" t="s">
        <v>610</v>
      </c>
      <c r="B103" s="167" t="s">
        <v>699</v>
      </c>
      <c r="C103" s="169">
        <v>4.4005045871559637E-2</v>
      </c>
      <c r="D103" s="169">
        <f t="shared" si="1"/>
        <v>0.12147460019490969</v>
      </c>
      <c r="E103" s="184">
        <v>6.2074600194909679E-2</v>
      </c>
      <c r="F103" s="184">
        <v>0.1</v>
      </c>
    </row>
    <row r="104" spans="1:6" ht="16">
      <c r="A104" s="171" t="s">
        <v>719</v>
      </c>
      <c r="B104" s="125" t="s">
        <v>790</v>
      </c>
      <c r="C104" s="251">
        <v>0.14178116567287435</v>
      </c>
      <c r="D104" s="169">
        <f t="shared" si="1"/>
        <v>0.14178116567287435</v>
      </c>
      <c r="E104" s="252">
        <v>8.2381165672874346E-2</v>
      </c>
      <c r="F104" s="252">
        <v>0.2</v>
      </c>
    </row>
    <row r="105" spans="1:6" ht="16">
      <c r="A105" s="171" t="s">
        <v>720</v>
      </c>
      <c r="B105" s="125" t="s">
        <v>790</v>
      </c>
      <c r="C105" s="251">
        <v>0.21267174850931153</v>
      </c>
      <c r="D105" s="169">
        <f t="shared" si="1"/>
        <v>0.21267174850931153</v>
      </c>
      <c r="E105" s="252">
        <v>0.15327174850931152</v>
      </c>
      <c r="F105" s="252">
        <v>0.3</v>
      </c>
    </row>
    <row r="106" spans="1:6" ht="16">
      <c r="A106" s="168" t="s">
        <v>517</v>
      </c>
      <c r="B106" s="167" t="s">
        <v>708</v>
      </c>
      <c r="C106" s="169">
        <v>1.4668348623853212E-2</v>
      </c>
      <c r="D106" s="169">
        <f t="shared" si="1"/>
        <v>8.009153339830323E-2</v>
      </c>
      <c r="E106" s="184">
        <v>2.0691533398303225E-2</v>
      </c>
      <c r="F106" s="184">
        <v>0.24</v>
      </c>
    </row>
    <row r="107" spans="1:6" ht="16">
      <c r="A107" s="168" t="s">
        <v>784</v>
      </c>
      <c r="B107" s="167" t="s">
        <v>700</v>
      </c>
      <c r="C107" s="169">
        <v>9.1749082568807344E-2</v>
      </c>
      <c r="D107" s="169">
        <f t="shared" si="1"/>
        <v>0.18882351282468096</v>
      </c>
      <c r="E107" s="184">
        <v>0.12942351282468095</v>
      </c>
      <c r="F107" s="184">
        <v>0.2281</v>
      </c>
    </row>
    <row r="108" spans="1:6" ht="16">
      <c r="A108" s="168" t="s">
        <v>721</v>
      </c>
      <c r="B108" s="167" t="s">
        <v>707</v>
      </c>
      <c r="C108" s="169">
        <v>0.11015642201834862</v>
      </c>
      <c r="D108" s="169">
        <f t="shared" si="1"/>
        <v>0.21478935865784579</v>
      </c>
      <c r="E108" s="184">
        <v>0.15538935865784578</v>
      </c>
      <c r="F108" s="184">
        <v>0.2281</v>
      </c>
    </row>
    <row r="109" spans="1:6" ht="16">
      <c r="A109" s="168" t="s">
        <v>576</v>
      </c>
      <c r="B109" s="167" t="s">
        <v>704</v>
      </c>
      <c r="C109" s="169">
        <v>1.0354128440366973E-2</v>
      </c>
      <c r="D109" s="169">
        <f t="shared" si="1"/>
        <v>7.4005788281155213E-2</v>
      </c>
      <c r="E109" s="184">
        <v>1.4605788281155217E-2</v>
      </c>
      <c r="F109" s="184">
        <v>0.35</v>
      </c>
    </row>
    <row r="110" spans="1:6" ht="16">
      <c r="A110" s="168" t="s">
        <v>518</v>
      </c>
      <c r="B110" s="167" t="s">
        <v>698</v>
      </c>
      <c r="C110" s="169">
        <v>2.6891972477064225E-2</v>
      </c>
      <c r="D110" s="169">
        <f t="shared" si="1"/>
        <v>9.733447789688926E-2</v>
      </c>
      <c r="E110" s="184">
        <v>3.7934477896889252E-2</v>
      </c>
      <c r="F110" s="184">
        <v>0.15</v>
      </c>
    </row>
    <row r="111" spans="1:6" ht="16">
      <c r="A111" s="168" t="s">
        <v>519</v>
      </c>
      <c r="B111" s="167" t="s">
        <v>692</v>
      </c>
      <c r="C111" s="169">
        <v>2.3296788990825688E-2</v>
      </c>
      <c r="D111" s="169">
        <f t="shared" si="1"/>
        <v>9.2263023632599236E-2</v>
      </c>
      <c r="E111" s="184">
        <v>3.2863023632599235E-2</v>
      </c>
      <c r="F111" s="184">
        <v>0.3</v>
      </c>
    </row>
    <row r="112" spans="1:6" ht="16">
      <c r="A112" s="168" t="s">
        <v>520</v>
      </c>
      <c r="B112" s="167" t="s">
        <v>702</v>
      </c>
      <c r="C112" s="169">
        <v>7.9525458715596339E-2</v>
      </c>
      <c r="D112" s="169">
        <f t="shared" si="1"/>
        <v>0.17158056832609495</v>
      </c>
      <c r="E112" s="184">
        <v>0.11218056832609494</v>
      </c>
      <c r="F112" s="184">
        <v>0.12</v>
      </c>
    </row>
    <row r="113" spans="1:6" ht="16">
      <c r="A113" s="168" t="s">
        <v>521</v>
      </c>
      <c r="B113" s="167" t="s">
        <v>702</v>
      </c>
      <c r="C113" s="169">
        <v>7.9525458715596339E-2</v>
      </c>
      <c r="D113" s="169">
        <f t="shared" si="1"/>
        <v>0.17158056832609495</v>
      </c>
      <c r="E113" s="184">
        <v>0.11218056832609494</v>
      </c>
      <c r="F113" s="184">
        <v>0.25</v>
      </c>
    </row>
    <row r="114" spans="1:6" ht="16">
      <c r="A114" s="168" t="s">
        <v>522</v>
      </c>
      <c r="B114" s="167" t="s">
        <v>690</v>
      </c>
      <c r="C114" s="169">
        <v>5.5078211009174309E-2</v>
      </c>
      <c r="D114" s="169">
        <f t="shared" si="1"/>
        <v>0.13709467932892289</v>
      </c>
      <c r="E114" s="184">
        <v>7.7694679328922892E-2</v>
      </c>
      <c r="F114" s="184">
        <v>0.15</v>
      </c>
    </row>
    <row r="115" spans="1:6" ht="16">
      <c r="A115" s="168" t="s">
        <v>609</v>
      </c>
      <c r="B115" s="167" t="s">
        <v>698</v>
      </c>
      <c r="C115" s="169">
        <v>2.6891972477064225E-2</v>
      </c>
      <c r="D115" s="169">
        <f t="shared" si="1"/>
        <v>9.733447789688926E-2</v>
      </c>
      <c r="E115" s="184">
        <v>3.7934477896889252E-2</v>
      </c>
      <c r="F115" s="184">
        <v>0.27179999999999999</v>
      </c>
    </row>
    <row r="116" spans="1:6" ht="16">
      <c r="A116" s="168" t="s">
        <v>523</v>
      </c>
      <c r="B116" s="167" t="s">
        <v>710</v>
      </c>
      <c r="C116" s="169">
        <v>3.0630963302752296E-2</v>
      </c>
      <c r="D116" s="169">
        <f t="shared" si="1"/>
        <v>0.10260879033175085</v>
      </c>
      <c r="E116" s="184">
        <v>4.3208790331750853E-2</v>
      </c>
      <c r="F116" s="184">
        <v>0.31</v>
      </c>
    </row>
    <row r="117" spans="1:6" ht="16">
      <c r="A117" s="168" t="s">
        <v>603</v>
      </c>
      <c r="B117" s="167" t="s">
        <v>707</v>
      </c>
      <c r="C117" s="169">
        <v>0.11015642201834862</v>
      </c>
      <c r="D117" s="169">
        <f t="shared" si="1"/>
        <v>0.21478935865784579</v>
      </c>
      <c r="E117" s="184">
        <v>0.15538935865784578</v>
      </c>
      <c r="F117" s="184">
        <v>0.32</v>
      </c>
    </row>
    <row r="118" spans="1:6" ht="16">
      <c r="A118" s="171" t="s">
        <v>722</v>
      </c>
      <c r="B118" s="125" t="s">
        <v>790</v>
      </c>
      <c r="C118" s="251">
        <v>0.17722645709109294</v>
      </c>
      <c r="D118" s="169">
        <f t="shared" si="1"/>
        <v>0.17722645709109294</v>
      </c>
      <c r="E118" s="252">
        <v>0.11782645709109293</v>
      </c>
      <c r="F118" s="252">
        <v>0.25</v>
      </c>
    </row>
    <row r="119" spans="1:6" ht="16">
      <c r="A119" s="168" t="s">
        <v>524</v>
      </c>
      <c r="B119" s="167" t="s">
        <v>690</v>
      </c>
      <c r="C119" s="169">
        <v>5.5078211009174309E-2</v>
      </c>
      <c r="D119" s="169">
        <f t="shared" si="1"/>
        <v>0.13709467932892289</v>
      </c>
      <c r="E119" s="184">
        <v>7.7694679328922892E-2</v>
      </c>
      <c r="F119" s="184">
        <v>0.32</v>
      </c>
    </row>
    <row r="120" spans="1:6" ht="16">
      <c r="A120" s="168" t="s">
        <v>577</v>
      </c>
      <c r="B120" s="167" t="s">
        <v>695</v>
      </c>
      <c r="C120" s="169">
        <v>0</v>
      </c>
      <c r="D120" s="169">
        <f t="shared" si="1"/>
        <v>5.9400000000000001E-2</v>
      </c>
      <c r="E120" s="184">
        <v>0</v>
      </c>
      <c r="F120" s="184">
        <v>0.25800000000000001</v>
      </c>
    </row>
    <row r="121" spans="1:6" ht="16">
      <c r="A121" s="168" t="s">
        <v>525</v>
      </c>
      <c r="B121" s="167" t="s">
        <v>695</v>
      </c>
      <c r="C121" s="169">
        <v>0</v>
      </c>
      <c r="D121" s="169">
        <f t="shared" si="1"/>
        <v>5.9400000000000001E-2</v>
      </c>
      <c r="E121" s="184">
        <v>0</v>
      </c>
      <c r="F121" s="184">
        <v>0.28000000000000003</v>
      </c>
    </row>
    <row r="122" spans="1:6" ht="16">
      <c r="A122" s="168" t="s">
        <v>526</v>
      </c>
      <c r="B122" s="167" t="s">
        <v>702</v>
      </c>
      <c r="C122" s="169">
        <v>7.9525458715596339E-2</v>
      </c>
      <c r="D122" s="169">
        <f t="shared" si="1"/>
        <v>0.17158056832609495</v>
      </c>
      <c r="E122" s="184">
        <v>0.11218056832609494</v>
      </c>
      <c r="F122" s="184">
        <v>0.3</v>
      </c>
    </row>
    <row r="123" spans="1:6" ht="16">
      <c r="A123" s="168" t="s">
        <v>723</v>
      </c>
      <c r="B123" s="167" t="s">
        <v>702</v>
      </c>
      <c r="C123" s="169">
        <v>7.9525458715596339E-2</v>
      </c>
      <c r="D123" s="169">
        <f t="shared" si="1"/>
        <v>0.17158056832609495</v>
      </c>
      <c r="E123" s="184">
        <v>0.11218056832609494</v>
      </c>
      <c r="F123" s="184">
        <v>0.2281</v>
      </c>
    </row>
    <row r="124" spans="1:6" ht="16">
      <c r="A124" s="168" t="s">
        <v>578</v>
      </c>
      <c r="B124" s="167" t="s">
        <v>702</v>
      </c>
      <c r="C124" s="169">
        <v>7.9525458715596339E-2</v>
      </c>
      <c r="D124" s="169">
        <f t="shared" si="1"/>
        <v>0.17158056832609495</v>
      </c>
      <c r="E124" s="184">
        <v>0.11218056832609494</v>
      </c>
      <c r="F124" s="184">
        <v>0.3</v>
      </c>
    </row>
    <row r="125" spans="1:6" ht="16">
      <c r="A125" s="168" t="s">
        <v>527</v>
      </c>
      <c r="B125" s="167" t="s">
        <v>695</v>
      </c>
      <c r="C125" s="169">
        <v>0</v>
      </c>
      <c r="D125" s="169">
        <f t="shared" si="1"/>
        <v>5.9400000000000001E-2</v>
      </c>
      <c r="E125" s="184">
        <v>0</v>
      </c>
      <c r="F125" s="184">
        <v>0.22</v>
      </c>
    </row>
    <row r="126" spans="1:6" ht="16">
      <c r="A126" s="168" t="s">
        <v>528</v>
      </c>
      <c r="B126" s="167" t="s">
        <v>699</v>
      </c>
      <c r="C126" s="169">
        <v>4.4005045871559637E-2</v>
      </c>
      <c r="D126" s="169">
        <f t="shared" si="1"/>
        <v>0.12147460019490969</v>
      </c>
      <c r="E126" s="184">
        <v>6.2074600194909679E-2</v>
      </c>
      <c r="F126" s="184">
        <v>0.15</v>
      </c>
    </row>
    <row r="127" spans="1:6" ht="16">
      <c r="A127" s="168" t="s">
        <v>529</v>
      </c>
      <c r="B127" s="167" t="s">
        <v>700</v>
      </c>
      <c r="C127" s="169">
        <v>9.1749082568807344E-2</v>
      </c>
      <c r="D127" s="169">
        <f t="shared" si="1"/>
        <v>0.18882351282468096</v>
      </c>
      <c r="E127" s="184">
        <v>0.12942351282468095</v>
      </c>
      <c r="F127" s="184">
        <v>0.28999999999999998</v>
      </c>
    </row>
    <row r="128" spans="1:6" ht="16">
      <c r="A128" s="168" t="s">
        <v>530</v>
      </c>
      <c r="B128" s="167" t="s">
        <v>692</v>
      </c>
      <c r="C128" s="169">
        <v>2.3296788990825688E-2</v>
      </c>
      <c r="D128" s="169">
        <f t="shared" si="1"/>
        <v>9.2263023632599236E-2</v>
      </c>
      <c r="E128" s="184">
        <v>3.2863023632599235E-2</v>
      </c>
      <c r="F128" s="184">
        <v>0.25</v>
      </c>
    </row>
    <row r="129" spans="1:6" ht="16">
      <c r="A129" s="168" t="s">
        <v>531</v>
      </c>
      <c r="B129" s="167" t="s">
        <v>693</v>
      </c>
      <c r="C129" s="169">
        <v>6.7301834862385335E-2</v>
      </c>
      <c r="D129" s="169">
        <f t="shared" si="1"/>
        <v>0.15433762382750893</v>
      </c>
      <c r="E129" s="184">
        <v>9.4937623827508935E-2</v>
      </c>
      <c r="F129" s="184">
        <v>0.3</v>
      </c>
    </row>
    <row r="130" spans="1:6" ht="16">
      <c r="A130" s="168" t="s">
        <v>532</v>
      </c>
      <c r="B130" s="167" t="s">
        <v>710</v>
      </c>
      <c r="C130" s="169">
        <v>3.0630963302752296E-2</v>
      </c>
      <c r="D130" s="169">
        <f t="shared" si="1"/>
        <v>0.10260879033175085</v>
      </c>
      <c r="E130" s="184">
        <v>4.3208790331750853E-2</v>
      </c>
      <c r="F130" s="184">
        <v>0.1</v>
      </c>
    </row>
    <row r="131" spans="1:6" ht="16">
      <c r="A131" s="168" t="s">
        <v>533</v>
      </c>
      <c r="B131" s="167" t="s">
        <v>694</v>
      </c>
      <c r="C131" s="169">
        <v>1.9557798165137613E-2</v>
      </c>
      <c r="D131" s="169">
        <f t="shared" si="1"/>
        <v>8.6988711197737628E-2</v>
      </c>
      <c r="E131" s="184">
        <v>2.758871119773763E-2</v>
      </c>
      <c r="F131" s="184">
        <v>0.29499999999999998</v>
      </c>
    </row>
    <row r="132" spans="1:6" ht="16">
      <c r="A132" s="168" t="s">
        <v>534</v>
      </c>
      <c r="B132" s="167" t="s">
        <v>692</v>
      </c>
      <c r="C132" s="169">
        <v>2.3296788990825688E-2</v>
      </c>
      <c r="D132" s="169">
        <f t="shared" si="1"/>
        <v>9.2263023632599236E-2</v>
      </c>
      <c r="E132" s="184">
        <v>3.2863023632599235E-2</v>
      </c>
      <c r="F132" s="184">
        <v>0.25</v>
      </c>
    </row>
    <row r="133" spans="1:6" ht="16">
      <c r="A133" s="168" t="s">
        <v>535</v>
      </c>
      <c r="B133" s="167" t="s">
        <v>704</v>
      </c>
      <c r="C133" s="169">
        <v>1.0354128440366973E-2</v>
      </c>
      <c r="D133" s="169">
        <f t="shared" si="1"/>
        <v>7.4005788281155213E-2</v>
      </c>
      <c r="E133" s="184">
        <v>1.4605788281155217E-2</v>
      </c>
      <c r="F133" s="184">
        <v>0.19</v>
      </c>
    </row>
    <row r="134" spans="1:6" ht="16">
      <c r="A134" s="168" t="s">
        <v>579</v>
      </c>
      <c r="B134" s="167" t="s">
        <v>692</v>
      </c>
      <c r="C134" s="169">
        <v>2.3296788990825688E-2</v>
      </c>
      <c r="D134" s="169">
        <f t="shared" ref="D134:D181" si="2">$B$1+E134</f>
        <v>9.2263023632599236E-2</v>
      </c>
      <c r="E134" s="184">
        <v>3.2863023632599235E-2</v>
      </c>
      <c r="F134" s="184">
        <v>0.21</v>
      </c>
    </row>
    <row r="135" spans="1:6" ht="16">
      <c r="A135" s="168" t="s">
        <v>536</v>
      </c>
      <c r="B135" s="167" t="s">
        <v>701</v>
      </c>
      <c r="C135" s="169">
        <v>7.3341743119266058E-3</v>
      </c>
      <c r="D135" s="169">
        <f t="shared" si="2"/>
        <v>6.9745766699151612E-2</v>
      </c>
      <c r="E135" s="184">
        <v>1.0345766699151613E-2</v>
      </c>
      <c r="F135" s="184">
        <v>0.1</v>
      </c>
    </row>
    <row r="136" spans="1:6" ht="16">
      <c r="A136" s="168" t="s">
        <v>623</v>
      </c>
      <c r="B136" s="167" t="s">
        <v>708</v>
      </c>
      <c r="C136" s="169">
        <v>1.4668348623853212E-2</v>
      </c>
      <c r="D136" s="169">
        <f t="shared" si="2"/>
        <v>8.009153339830323E-2</v>
      </c>
      <c r="E136" s="184">
        <v>2.0691533398303225E-2</v>
      </c>
      <c r="F136" s="184">
        <v>0</v>
      </c>
    </row>
    <row r="137" spans="1:6" ht="16">
      <c r="A137" s="168" t="s">
        <v>537</v>
      </c>
      <c r="B137" s="167" t="s">
        <v>698</v>
      </c>
      <c r="C137" s="169">
        <v>2.6891972477064225E-2</v>
      </c>
      <c r="D137" s="169">
        <f t="shared" si="2"/>
        <v>9.733447789688926E-2</v>
      </c>
      <c r="E137" s="184">
        <v>3.7934477896889252E-2</v>
      </c>
      <c r="F137" s="184">
        <v>0.16</v>
      </c>
    </row>
    <row r="138" spans="1:6" ht="16">
      <c r="A138" s="168" t="s">
        <v>538</v>
      </c>
      <c r="B138" s="167" t="s">
        <v>700</v>
      </c>
      <c r="C138" s="169">
        <v>9.1749082568807344E-2</v>
      </c>
      <c r="D138" s="169">
        <f t="shared" si="2"/>
        <v>0.18882351282468096</v>
      </c>
      <c r="E138" s="184">
        <v>0.12942351282468095</v>
      </c>
      <c r="F138" s="184">
        <v>0.2</v>
      </c>
    </row>
    <row r="139" spans="1:6" ht="16">
      <c r="A139" s="168" t="s">
        <v>604</v>
      </c>
      <c r="B139" s="167" t="s">
        <v>693</v>
      </c>
      <c r="C139" s="169">
        <v>6.7301834862385335E-2</v>
      </c>
      <c r="D139" s="169">
        <f t="shared" si="2"/>
        <v>0.15433762382750893</v>
      </c>
      <c r="E139" s="184">
        <v>9.4937623827508935E-2</v>
      </c>
      <c r="F139" s="184">
        <v>0.3</v>
      </c>
    </row>
    <row r="140" spans="1:6" ht="16">
      <c r="A140" s="168" t="s">
        <v>539</v>
      </c>
      <c r="B140" s="167" t="s">
        <v>706</v>
      </c>
      <c r="C140" s="169">
        <v>8.6284403669724778E-3</v>
      </c>
      <c r="D140" s="169">
        <f t="shared" si="2"/>
        <v>7.1571490234296015E-2</v>
      </c>
      <c r="E140" s="184">
        <v>1.2171490234296015E-2</v>
      </c>
      <c r="F140" s="184">
        <v>0.2</v>
      </c>
    </row>
    <row r="141" spans="1:6" ht="16">
      <c r="A141" s="168" t="s">
        <v>540</v>
      </c>
      <c r="B141" s="167" t="s">
        <v>699</v>
      </c>
      <c r="C141" s="169">
        <v>4.4005045871559637E-2</v>
      </c>
      <c r="D141" s="169">
        <f t="shared" si="2"/>
        <v>0.12147460019490969</v>
      </c>
      <c r="E141" s="184">
        <v>6.2074600194909679E-2</v>
      </c>
      <c r="F141" s="184">
        <v>0.3</v>
      </c>
    </row>
    <row r="142" spans="1:6" ht="16">
      <c r="A142" s="168" t="s">
        <v>611</v>
      </c>
      <c r="B142" s="167" t="s">
        <v>697</v>
      </c>
      <c r="C142" s="169">
        <v>3.6814678899082569E-2</v>
      </c>
      <c r="D142" s="169">
        <f t="shared" si="2"/>
        <v>0.11133169166632967</v>
      </c>
      <c r="E142" s="184">
        <v>5.193169166632966E-2</v>
      </c>
      <c r="F142" s="184">
        <v>0.15</v>
      </c>
    </row>
    <row r="143" spans="1:6" ht="16">
      <c r="A143" s="168" t="s">
        <v>624</v>
      </c>
      <c r="B143" s="167" t="s">
        <v>710</v>
      </c>
      <c r="C143" s="169">
        <v>3.0630963302752296E-2</v>
      </c>
      <c r="D143" s="169">
        <f t="shared" si="2"/>
        <v>0.10260879033175085</v>
      </c>
      <c r="E143" s="184">
        <v>4.3208790331750853E-2</v>
      </c>
      <c r="F143" s="184">
        <v>0</v>
      </c>
    </row>
    <row r="144" spans="1:6" ht="16">
      <c r="A144" s="171" t="s">
        <v>724</v>
      </c>
      <c r="B144" s="125" t="s">
        <v>790</v>
      </c>
      <c r="C144" s="251">
        <v>0.21267174850931153</v>
      </c>
      <c r="D144" s="169">
        <f t="shared" si="2"/>
        <v>0.21267174850931153</v>
      </c>
      <c r="E144" s="252">
        <v>0.15327174850931152</v>
      </c>
      <c r="F144" s="252">
        <v>0.3</v>
      </c>
    </row>
    <row r="145" spans="1:6" ht="16">
      <c r="A145" s="168" t="s">
        <v>541</v>
      </c>
      <c r="B145" s="167" t="s">
        <v>695</v>
      </c>
      <c r="C145" s="169">
        <v>0</v>
      </c>
      <c r="D145" s="169">
        <f t="shared" si="2"/>
        <v>5.9400000000000001E-2</v>
      </c>
      <c r="E145" s="184">
        <v>0</v>
      </c>
      <c r="F145" s="184">
        <v>0.17</v>
      </c>
    </row>
    <row r="146" spans="1:6" ht="16">
      <c r="A146" s="168" t="s">
        <v>542</v>
      </c>
      <c r="B146" s="167" t="s">
        <v>704</v>
      </c>
      <c r="C146" s="169">
        <v>1.0354128440366973E-2</v>
      </c>
      <c r="D146" s="169">
        <f t="shared" si="2"/>
        <v>7.4005788281155213E-2</v>
      </c>
      <c r="E146" s="184">
        <v>1.4605788281155217E-2</v>
      </c>
      <c r="F146" s="184">
        <v>0.21</v>
      </c>
    </row>
    <row r="147" spans="1:6" ht="16">
      <c r="A147" s="168" t="s">
        <v>580</v>
      </c>
      <c r="B147" s="167" t="s">
        <v>708</v>
      </c>
      <c r="C147" s="169">
        <v>1.4668348623853212E-2</v>
      </c>
      <c r="D147" s="169">
        <f t="shared" si="2"/>
        <v>8.009153339830323E-2</v>
      </c>
      <c r="E147" s="184">
        <v>2.0691533398303225E-2</v>
      </c>
      <c r="F147" s="184">
        <v>0.19</v>
      </c>
    </row>
    <row r="148" spans="1:6" ht="16">
      <c r="A148" s="168" t="s">
        <v>725</v>
      </c>
      <c r="B148" s="167" t="s">
        <v>700</v>
      </c>
      <c r="C148" s="169">
        <v>9.1749082568807344E-2</v>
      </c>
      <c r="D148" s="169">
        <f t="shared" si="2"/>
        <v>0.18882351282468096</v>
      </c>
      <c r="E148" s="184">
        <v>0.12942351282468095</v>
      </c>
      <c r="F148" s="184">
        <v>0.3</v>
      </c>
    </row>
    <row r="149" spans="1:6" ht="16">
      <c r="A149" s="171" t="s">
        <v>726</v>
      </c>
      <c r="B149" s="125" t="s">
        <v>790</v>
      </c>
      <c r="C149" s="251">
        <v>0.20664604896821434</v>
      </c>
      <c r="D149" s="169">
        <f t="shared" si="2"/>
        <v>0.20664604896821434</v>
      </c>
      <c r="E149" s="252">
        <v>0.14724604896821433</v>
      </c>
      <c r="F149" s="252">
        <v>0.29149999999999998</v>
      </c>
    </row>
    <row r="150" spans="1:6" ht="16">
      <c r="A150" s="168" t="s">
        <v>543</v>
      </c>
      <c r="B150" s="167" t="s">
        <v>697</v>
      </c>
      <c r="C150" s="169">
        <v>3.6814678899082569E-2</v>
      </c>
      <c r="D150" s="169">
        <f t="shared" si="2"/>
        <v>0.11133169166632967</v>
      </c>
      <c r="E150" s="184">
        <v>5.193169166632966E-2</v>
      </c>
      <c r="F150" s="184">
        <v>0.27</v>
      </c>
    </row>
    <row r="151" spans="1:6" ht="16">
      <c r="A151" s="168" t="s">
        <v>544</v>
      </c>
      <c r="B151" s="167" t="s">
        <v>694</v>
      </c>
      <c r="C151" s="169">
        <v>1.9557798165137613E-2</v>
      </c>
      <c r="D151" s="169">
        <f t="shared" si="2"/>
        <v>8.6988711197737628E-2</v>
      </c>
      <c r="E151" s="184">
        <v>2.758871119773763E-2</v>
      </c>
      <c r="F151" s="184">
        <v>0.25</v>
      </c>
    </row>
    <row r="152" spans="1:6" ht="16">
      <c r="A152" s="168" t="s">
        <v>545</v>
      </c>
      <c r="B152" s="167" t="s">
        <v>776</v>
      </c>
      <c r="C152" s="169">
        <v>0.14682729357798166</v>
      </c>
      <c r="D152" s="169">
        <f t="shared" si="2"/>
        <v>0.26651819215360384</v>
      </c>
      <c r="E152" s="184">
        <v>0.20711819215360386</v>
      </c>
      <c r="F152" s="184">
        <v>0.24</v>
      </c>
    </row>
    <row r="153" spans="1:6" ht="16">
      <c r="A153" s="168" t="s">
        <v>581</v>
      </c>
      <c r="B153" s="167" t="s">
        <v>697</v>
      </c>
      <c r="C153" s="169">
        <v>3.6814678899082569E-2</v>
      </c>
      <c r="D153" s="169">
        <f t="shared" si="2"/>
        <v>0.11133169166632967</v>
      </c>
      <c r="E153" s="184">
        <v>5.193169166632966E-2</v>
      </c>
      <c r="F153" s="184">
        <v>0.27179999999999999</v>
      </c>
    </row>
    <row r="154" spans="1:6" ht="16">
      <c r="A154" s="168" t="s">
        <v>546</v>
      </c>
      <c r="B154" s="167" t="s">
        <v>702</v>
      </c>
      <c r="C154" s="169">
        <v>7.9525458715596339E-2</v>
      </c>
      <c r="D154" s="169">
        <f t="shared" si="2"/>
        <v>0.17158056832609495</v>
      </c>
      <c r="E154" s="184">
        <v>0.11218056832609494</v>
      </c>
      <c r="F154" s="184">
        <v>0.27179999999999999</v>
      </c>
    </row>
    <row r="155" spans="1:6" ht="16">
      <c r="A155" s="171" t="s">
        <v>727</v>
      </c>
      <c r="B155" s="125" t="s">
        <v>790</v>
      </c>
      <c r="C155" s="251">
        <v>0.24811703992753009</v>
      </c>
      <c r="D155" s="169">
        <f t="shared" si="2"/>
        <v>0.24811703992753009</v>
      </c>
      <c r="E155" s="252">
        <v>0.18871703992753008</v>
      </c>
      <c r="F155" s="252">
        <v>0.35</v>
      </c>
    </row>
    <row r="156" spans="1:6" ht="16">
      <c r="A156" s="168" t="s">
        <v>547</v>
      </c>
      <c r="B156" s="167" t="s">
        <v>777</v>
      </c>
      <c r="C156" s="169">
        <v>0.12238004587155965</v>
      </c>
      <c r="D156" s="169">
        <f t="shared" si="2"/>
        <v>0.23203230315643184</v>
      </c>
      <c r="E156" s="184">
        <v>0.17263230315643183</v>
      </c>
      <c r="F156" s="184">
        <v>0.36</v>
      </c>
    </row>
    <row r="157" spans="1:6" ht="16">
      <c r="A157" s="168" t="s">
        <v>728</v>
      </c>
      <c r="B157" s="167" t="s">
        <v>702</v>
      </c>
      <c r="C157" s="169">
        <v>7.9525458715596339E-2</v>
      </c>
      <c r="D157" s="169">
        <f t="shared" si="2"/>
        <v>0.17158056832609495</v>
      </c>
      <c r="E157" s="184">
        <v>0.11218056832609494</v>
      </c>
      <c r="F157" s="184">
        <v>0.27500000000000002</v>
      </c>
    </row>
    <row r="158" spans="1:6" ht="16">
      <c r="A158" s="168" t="s">
        <v>548</v>
      </c>
      <c r="B158" s="167" t="s">
        <v>695</v>
      </c>
      <c r="C158" s="169">
        <v>0</v>
      </c>
      <c r="D158" s="169">
        <f t="shared" si="2"/>
        <v>5.9400000000000001E-2</v>
      </c>
      <c r="E158" s="184">
        <v>0</v>
      </c>
      <c r="F158" s="184">
        <v>0.20600000000000002</v>
      </c>
    </row>
    <row r="159" spans="1:6" ht="16">
      <c r="A159" s="168" t="s">
        <v>549</v>
      </c>
      <c r="B159" s="167" t="s">
        <v>695</v>
      </c>
      <c r="C159" s="169">
        <v>0</v>
      </c>
      <c r="D159" s="169">
        <f t="shared" si="2"/>
        <v>5.9400000000000001E-2</v>
      </c>
      <c r="E159" s="184">
        <v>0</v>
      </c>
      <c r="F159" s="184">
        <v>0.18</v>
      </c>
    </row>
    <row r="160" spans="1:6" ht="16">
      <c r="A160" s="171" t="s">
        <v>729</v>
      </c>
      <c r="B160" s="125" t="s">
        <v>790</v>
      </c>
      <c r="C160" s="251">
        <v>0.1984936319420241</v>
      </c>
      <c r="D160" s="169">
        <f t="shared" si="2"/>
        <v>0.1984936319420241</v>
      </c>
      <c r="E160" s="252">
        <v>0.13909363194202409</v>
      </c>
      <c r="F160" s="252">
        <v>0.28000000000000003</v>
      </c>
    </row>
    <row r="161" spans="1:6" ht="16">
      <c r="A161" s="168" t="s">
        <v>550</v>
      </c>
      <c r="B161" s="167" t="s">
        <v>701</v>
      </c>
      <c r="C161" s="169">
        <v>7.3341743119266058E-3</v>
      </c>
      <c r="D161" s="169">
        <f t="shared" si="2"/>
        <v>6.9745766699151612E-2</v>
      </c>
      <c r="E161" s="184">
        <v>1.0345766699151613E-2</v>
      </c>
      <c r="F161" s="184">
        <v>0.2</v>
      </c>
    </row>
    <row r="162" spans="1:6" ht="16">
      <c r="A162" s="168" t="s">
        <v>730</v>
      </c>
      <c r="B162" s="254" t="s">
        <v>702</v>
      </c>
      <c r="C162" s="169">
        <v>7.9525458715596339E-2</v>
      </c>
      <c r="D162" s="169">
        <f t="shared" si="2"/>
        <v>0.17158056832609495</v>
      </c>
      <c r="E162" s="170">
        <v>0.11218056832609494</v>
      </c>
      <c r="F162" s="170">
        <v>0.18</v>
      </c>
    </row>
    <row r="163" spans="1:6" ht="16">
      <c r="A163" s="168" t="s">
        <v>731</v>
      </c>
      <c r="B163" s="254" t="s">
        <v>693</v>
      </c>
      <c r="C163" s="169">
        <v>6.7301834862385335E-2</v>
      </c>
      <c r="D163" s="169">
        <f t="shared" si="2"/>
        <v>0.15433762382750893</v>
      </c>
      <c r="E163" s="170">
        <v>9.4937623827508935E-2</v>
      </c>
      <c r="F163" s="170">
        <v>0.3</v>
      </c>
    </row>
    <row r="164" spans="1:6" ht="16">
      <c r="A164" s="168" t="s">
        <v>551</v>
      </c>
      <c r="B164" s="254" t="s">
        <v>694</v>
      </c>
      <c r="C164" s="169">
        <v>1.9557798165137613E-2</v>
      </c>
      <c r="D164" s="169">
        <f t="shared" si="2"/>
        <v>8.6988711197737628E-2</v>
      </c>
      <c r="E164" s="170">
        <v>2.758871119773763E-2</v>
      </c>
      <c r="F164" s="170">
        <v>0.2</v>
      </c>
    </row>
    <row r="165" spans="1:6" ht="16">
      <c r="A165" s="168" t="s">
        <v>732</v>
      </c>
      <c r="B165" s="254" t="s">
        <v>702</v>
      </c>
      <c r="C165" s="169">
        <v>7.9525458715596339E-2</v>
      </c>
      <c r="D165" s="169">
        <f t="shared" si="2"/>
        <v>0.17158056832609495</v>
      </c>
      <c r="E165" s="170">
        <v>0.11218056832609494</v>
      </c>
      <c r="F165" s="170">
        <v>0.2281</v>
      </c>
    </row>
    <row r="166" spans="1:6" ht="16">
      <c r="A166" s="168" t="s">
        <v>744</v>
      </c>
      <c r="B166" s="254" t="s">
        <v>697</v>
      </c>
      <c r="C166" s="169">
        <v>3.6814678899082569E-2</v>
      </c>
      <c r="D166" s="169">
        <f t="shared" si="2"/>
        <v>0.11133169166632967</v>
      </c>
      <c r="E166" s="170">
        <v>5.193169166632966E-2</v>
      </c>
      <c r="F166" s="170">
        <v>0.3</v>
      </c>
    </row>
    <row r="167" spans="1:6" ht="16">
      <c r="A167" s="168" t="s">
        <v>552</v>
      </c>
      <c r="B167" s="254" t="s">
        <v>700</v>
      </c>
      <c r="C167" s="169">
        <v>9.1749082568807344E-2</v>
      </c>
      <c r="D167" s="169">
        <f t="shared" si="2"/>
        <v>0.18882351282468096</v>
      </c>
      <c r="E167" s="170">
        <v>0.12942351282468095</v>
      </c>
      <c r="F167" s="170">
        <v>0.15</v>
      </c>
    </row>
    <row r="168" spans="1:6" ht="16">
      <c r="A168" s="168" t="s">
        <v>553</v>
      </c>
      <c r="B168" s="254" t="s">
        <v>702</v>
      </c>
      <c r="C168" s="169">
        <v>7.9525458715596339E-2</v>
      </c>
      <c r="D168" s="169">
        <f t="shared" si="2"/>
        <v>0.17158056832609495</v>
      </c>
      <c r="E168" s="170">
        <v>0.11218056832609494</v>
      </c>
      <c r="F168" s="170">
        <v>0.23</v>
      </c>
    </row>
    <row r="169" spans="1:6" ht="16">
      <c r="A169" s="168" t="s">
        <v>745</v>
      </c>
      <c r="B169" s="254" t="s">
        <v>694</v>
      </c>
      <c r="C169" s="169">
        <v>1.9557798165137613E-2</v>
      </c>
      <c r="D169" s="169">
        <f t="shared" si="2"/>
        <v>8.6988711197737628E-2</v>
      </c>
      <c r="E169" s="170">
        <v>2.758871119773763E-2</v>
      </c>
      <c r="F169" s="170">
        <v>0</v>
      </c>
    </row>
    <row r="170" spans="1:6" ht="16">
      <c r="A170" s="168" t="s">
        <v>605</v>
      </c>
      <c r="B170" s="254" t="s">
        <v>693</v>
      </c>
      <c r="C170" s="169">
        <v>6.7301834862385335E-2</v>
      </c>
      <c r="D170" s="169">
        <f t="shared" si="2"/>
        <v>0.15433762382750893</v>
      </c>
      <c r="E170" s="170">
        <v>9.4937623827508935E-2</v>
      </c>
      <c r="F170" s="170">
        <v>0.3</v>
      </c>
    </row>
    <row r="171" spans="1:6" ht="16">
      <c r="A171" s="168" t="s">
        <v>554</v>
      </c>
      <c r="B171" s="254" t="s">
        <v>777</v>
      </c>
      <c r="C171" s="169">
        <v>0.12238004587155965</v>
      </c>
      <c r="D171" s="169">
        <f t="shared" si="2"/>
        <v>0.23203230315643184</v>
      </c>
      <c r="E171" s="170">
        <v>0.17263230315643183</v>
      </c>
      <c r="F171" s="170">
        <v>0.18</v>
      </c>
    </row>
    <row r="172" spans="1:6" ht="16">
      <c r="A172" s="168" t="s">
        <v>555</v>
      </c>
      <c r="B172" s="254" t="s">
        <v>689</v>
      </c>
      <c r="C172" s="169">
        <v>6.0399082568807346E-3</v>
      </c>
      <c r="D172" s="169">
        <f t="shared" si="2"/>
        <v>6.792004316400721E-2</v>
      </c>
      <c r="E172" s="170">
        <v>8.5200431640072103E-3</v>
      </c>
      <c r="F172" s="170">
        <v>0</v>
      </c>
    </row>
    <row r="173" spans="1:6" ht="16">
      <c r="A173" s="168" t="s">
        <v>556</v>
      </c>
      <c r="B173" s="254" t="s">
        <v>701</v>
      </c>
      <c r="C173" s="169">
        <v>7.3341743119266058E-3</v>
      </c>
      <c r="D173" s="169">
        <f t="shared" si="2"/>
        <v>6.9745766699151612E-2</v>
      </c>
      <c r="E173" s="170">
        <v>1.0345766699151613E-2</v>
      </c>
      <c r="F173" s="170">
        <v>0.25</v>
      </c>
    </row>
    <row r="174" spans="1:6" ht="16">
      <c r="A174" s="168" t="s">
        <v>655</v>
      </c>
      <c r="B174" s="254" t="s">
        <v>695</v>
      </c>
      <c r="C174" s="169">
        <v>0</v>
      </c>
      <c r="D174" s="169">
        <f t="shared" si="2"/>
        <v>5.9400000000000001E-2</v>
      </c>
      <c r="E174" s="170">
        <v>0</v>
      </c>
      <c r="F174" s="170">
        <v>0.25</v>
      </c>
    </row>
    <row r="175" spans="1:6" ht="16">
      <c r="A175" s="168" t="s">
        <v>557</v>
      </c>
      <c r="B175" s="254" t="s">
        <v>692</v>
      </c>
      <c r="C175" s="169">
        <v>2.3296788990825688E-2</v>
      </c>
      <c r="D175" s="169">
        <f t="shared" si="2"/>
        <v>9.2263023632599236E-2</v>
      </c>
      <c r="E175" s="170">
        <v>3.2863023632599235E-2</v>
      </c>
      <c r="F175" s="170">
        <v>0.25</v>
      </c>
    </row>
    <row r="176" spans="1:6" ht="16">
      <c r="A176" s="168" t="s">
        <v>785</v>
      </c>
      <c r="B176" s="254" t="s">
        <v>690</v>
      </c>
      <c r="C176" s="169">
        <v>5.5078211009174309E-2</v>
      </c>
      <c r="D176" s="169">
        <f t="shared" si="2"/>
        <v>0.13709467932892289</v>
      </c>
      <c r="E176" s="170">
        <v>7.7694679328922892E-2</v>
      </c>
      <c r="F176" s="170">
        <v>0.15</v>
      </c>
    </row>
    <row r="177" spans="1:6" ht="16">
      <c r="A177" s="168" t="s">
        <v>558</v>
      </c>
      <c r="B177" s="254" t="s">
        <v>746</v>
      </c>
      <c r="C177" s="169">
        <v>0.17499999999999999</v>
      </c>
      <c r="D177" s="169">
        <f t="shared" si="2"/>
        <v>0.30625930485826308</v>
      </c>
      <c r="E177" s="170">
        <v>0.2468593048582631</v>
      </c>
      <c r="F177" s="170">
        <v>0.34</v>
      </c>
    </row>
    <row r="178" spans="1:6" ht="16">
      <c r="A178" s="168" t="s">
        <v>559</v>
      </c>
      <c r="B178" s="254" t="s">
        <v>697</v>
      </c>
      <c r="C178" s="169">
        <v>3.6814678899082569E-2</v>
      </c>
      <c r="D178" s="169">
        <f t="shared" si="2"/>
        <v>0.11133169166632967</v>
      </c>
      <c r="E178" s="170">
        <v>5.193169166632966E-2</v>
      </c>
      <c r="F178" s="170">
        <v>0.2</v>
      </c>
    </row>
    <row r="179" spans="1:6" ht="16">
      <c r="A179" s="171" t="s">
        <v>786</v>
      </c>
      <c r="B179" s="34" t="s">
        <v>790</v>
      </c>
      <c r="C179" s="251">
        <v>0.14178116567287435</v>
      </c>
      <c r="D179" s="169">
        <f t="shared" si="2"/>
        <v>0.14178116567287435</v>
      </c>
      <c r="E179" s="251">
        <v>8.2381165672874346E-2</v>
      </c>
      <c r="F179" s="251">
        <v>0.2</v>
      </c>
    </row>
    <row r="180" spans="1:6" ht="16">
      <c r="A180" s="168" t="s">
        <v>582</v>
      </c>
      <c r="B180" s="254" t="s">
        <v>776</v>
      </c>
      <c r="C180" s="169">
        <v>0.14682729357798166</v>
      </c>
      <c r="D180" s="169">
        <f t="shared" si="2"/>
        <v>0.26651819215360384</v>
      </c>
      <c r="E180" s="170">
        <v>0.20711819215360386</v>
      </c>
      <c r="F180" s="170">
        <v>0.35</v>
      </c>
    </row>
    <row r="181" spans="1:6" ht="16">
      <c r="A181" s="171" t="s">
        <v>733</v>
      </c>
      <c r="B181" s="34" t="s">
        <v>790</v>
      </c>
      <c r="C181" s="251">
        <v>0.17722645709109294</v>
      </c>
      <c r="D181" s="169">
        <f t="shared" si="2"/>
        <v>0.17722645709109294</v>
      </c>
      <c r="E181" s="251">
        <v>0.11782645709109293</v>
      </c>
      <c r="F181" s="251">
        <v>0.25</v>
      </c>
    </row>
    <row r="184" spans="1:6">
      <c r="A184" s="255" t="s">
        <v>423</v>
      </c>
      <c r="B184" s="256" t="s">
        <v>787</v>
      </c>
      <c r="C184" s="256" t="s">
        <v>791</v>
      </c>
      <c r="D184" s="256" t="s">
        <v>792</v>
      </c>
      <c r="E184" s="256" t="s">
        <v>793</v>
      </c>
    </row>
    <row r="185" spans="1:6">
      <c r="A185" s="119" t="s">
        <v>462</v>
      </c>
      <c r="B185" s="123">
        <f>$B$1+E185</f>
        <v>0.15575842480808141</v>
      </c>
      <c r="C185" s="123">
        <v>6.830904895845899E-2</v>
      </c>
      <c r="D185" s="123">
        <v>0.27268967770769714</v>
      </c>
      <c r="E185" s="123">
        <v>9.6358424808081405E-2</v>
      </c>
    </row>
    <row r="186" spans="1:6">
      <c r="A186" s="119" t="s">
        <v>565</v>
      </c>
      <c r="B186" s="123">
        <f t="shared" ref="B186:B194" si="3">$B$1+E186</f>
        <v>7.8681546633950522E-2</v>
      </c>
      <c r="C186" s="123">
        <v>1.3668800788686953E-2</v>
      </c>
      <c r="D186" s="123">
        <v>0.24521330317788381</v>
      </c>
      <c r="E186" s="123">
        <v>1.9281546633950514E-2</v>
      </c>
    </row>
    <row r="187" spans="1:6">
      <c r="A187" s="119" t="s">
        <v>467</v>
      </c>
      <c r="B187" s="123">
        <f t="shared" si="3"/>
        <v>5.940001664280644E-2</v>
      </c>
      <c r="C187" s="123">
        <v>1.179818248697996E-8</v>
      </c>
      <c r="D187" s="123">
        <v>0.29721092725087606</v>
      </c>
      <c r="E187" s="123">
        <v>1.6642806441867469E-8</v>
      </c>
    </row>
    <row r="188" spans="1:6">
      <c r="A188" s="119" t="s">
        <v>471</v>
      </c>
      <c r="B188" s="123">
        <f t="shared" si="3"/>
        <v>0.17130442097799001</v>
      </c>
      <c r="C188" s="123">
        <v>7.9329696251037377E-2</v>
      </c>
      <c r="D188" s="123">
        <v>0.25630683338345972</v>
      </c>
      <c r="E188" s="123">
        <v>0.11190442097799</v>
      </c>
    </row>
    <row r="189" spans="1:6">
      <c r="A189" s="119" t="s">
        <v>464</v>
      </c>
      <c r="B189" s="123">
        <f t="shared" si="3"/>
        <v>0.12505674061025501</v>
      </c>
      <c r="C189" s="123">
        <v>4.6544446090017511E-2</v>
      </c>
      <c r="D189" s="123">
        <v>0.31456268874307608</v>
      </c>
      <c r="E189" s="123">
        <v>6.5656740610255004E-2</v>
      </c>
    </row>
    <row r="190" spans="1:6">
      <c r="A190" s="119" t="s">
        <v>460</v>
      </c>
      <c r="B190" s="123">
        <f t="shared" si="3"/>
        <v>0.13732098212912111</v>
      </c>
      <c r="C190" s="123">
        <v>5.5238638383210012E-2</v>
      </c>
      <c r="D190" s="123">
        <v>0.18347474471087855</v>
      </c>
      <c r="E190" s="123">
        <v>7.7920982129121116E-2</v>
      </c>
    </row>
    <row r="191" spans="1:6">
      <c r="A191" s="119" t="s">
        <v>473</v>
      </c>
      <c r="B191" s="123">
        <f t="shared" si="3"/>
        <v>8.4462475549707261E-2</v>
      </c>
      <c r="C191" s="123">
        <v>1.7766934990427034E-2</v>
      </c>
      <c r="D191" s="123">
        <v>0.15181337167475101</v>
      </c>
      <c r="E191" s="123">
        <v>2.5062475549707256E-2</v>
      </c>
    </row>
    <row r="192" spans="1:6">
      <c r="A192" s="119" t="s">
        <v>485</v>
      </c>
      <c r="B192" s="123">
        <f t="shared" si="3"/>
        <v>5.9400000000000001E-2</v>
      </c>
      <c r="C192" s="123">
        <v>0</v>
      </c>
      <c r="D192" s="123">
        <v>0.25</v>
      </c>
      <c r="E192" s="123">
        <v>0</v>
      </c>
    </row>
    <row r="193" spans="1:5">
      <c r="A193" s="119" t="s">
        <v>468</v>
      </c>
      <c r="B193" s="123">
        <f t="shared" si="3"/>
        <v>7.4468788892060586E-2</v>
      </c>
      <c r="C193" s="123">
        <v>1.0682352271974054E-2</v>
      </c>
      <c r="D193" s="123">
        <v>0.24828912576026474</v>
      </c>
      <c r="E193" s="123">
        <v>1.5068788892060588E-2</v>
      </c>
    </row>
    <row r="194" spans="1:5">
      <c r="A194" s="119" t="s">
        <v>614</v>
      </c>
      <c r="B194" s="123">
        <f t="shared" si="3"/>
        <v>7.983302726688038E-2</v>
      </c>
      <c r="C194" s="123">
        <v>1.448509212061963E-2</v>
      </c>
      <c r="D194" s="238">
        <v>0.24672384803400088</v>
      </c>
      <c r="E194" s="238">
        <v>2.0433027266880382E-2</v>
      </c>
    </row>
  </sheetData>
  <pageMargins left="0.75" right="0.75" top="1" bottom="1" header="0.5" footer="0.5"/>
  <pageSetup orientation="portrait"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2"/>
  <sheetViews>
    <sheetView workbookViewId="0">
      <selection activeCell="C29" sqref="C29"/>
    </sheetView>
  </sheetViews>
  <sheetFormatPr baseColWidth="10" defaultRowHeight="14"/>
  <cols>
    <col min="1" max="1" width="27.140625" customWidth="1"/>
  </cols>
  <sheetData>
    <row r="1" spans="1:5">
      <c r="B1" s="125" t="s">
        <v>631</v>
      </c>
      <c r="C1" s="125" t="s">
        <v>632</v>
      </c>
      <c r="D1" s="125" t="s">
        <v>633</v>
      </c>
      <c r="E1" s="125" t="s">
        <v>617</v>
      </c>
    </row>
    <row r="2" spans="1:5">
      <c r="A2" s="126" t="s">
        <v>270</v>
      </c>
      <c r="B2" s="133">
        <v>5089</v>
      </c>
      <c r="C2" s="133">
        <v>2242</v>
      </c>
      <c r="D2" s="133">
        <v>3271</v>
      </c>
      <c r="E2" s="137">
        <f>B2-C2+D2</f>
        <v>6118</v>
      </c>
    </row>
    <row r="3" spans="1:5">
      <c r="A3" s="126" t="s">
        <v>634</v>
      </c>
      <c r="B3" s="133">
        <v>1399</v>
      </c>
      <c r="C3" s="133">
        <v>858</v>
      </c>
      <c r="D3" s="133">
        <v>637</v>
      </c>
      <c r="E3" s="137">
        <f>B3-C3+D3</f>
        <v>1178</v>
      </c>
    </row>
    <row r="4" spans="1:5">
      <c r="A4" s="126" t="s">
        <v>635</v>
      </c>
      <c r="B4" s="133">
        <v>538</v>
      </c>
      <c r="C4" s="133">
        <v>-362</v>
      </c>
      <c r="D4" s="133">
        <v>935</v>
      </c>
      <c r="E4" s="137">
        <f>B4-C4+D4</f>
        <v>1835</v>
      </c>
    </row>
    <row r="5" spans="1:5">
      <c r="A5" s="126" t="s">
        <v>636</v>
      </c>
      <c r="B5" s="133">
        <v>51</v>
      </c>
      <c r="C5" s="133">
        <v>24</v>
      </c>
      <c r="D5" s="133">
        <v>29</v>
      </c>
      <c r="E5" s="137">
        <f>B5-C5+D5</f>
        <v>56</v>
      </c>
    </row>
    <row r="6" spans="1:5">
      <c r="A6" s="126" t="s">
        <v>637</v>
      </c>
      <c r="B6" s="133">
        <v>11755</v>
      </c>
      <c r="C6" s="133"/>
      <c r="D6" s="133">
        <v>12349</v>
      </c>
      <c r="E6" s="137"/>
    </row>
    <row r="7" spans="1:5">
      <c r="A7" s="126" t="s">
        <v>638</v>
      </c>
      <c r="B7" s="133">
        <v>2356</v>
      </c>
      <c r="C7" s="133"/>
      <c r="D7" s="133">
        <f>1500+351+316</f>
        <v>2167</v>
      </c>
      <c r="E7" s="137"/>
    </row>
    <row r="8" spans="1:5">
      <c r="A8" s="126" t="s">
        <v>639</v>
      </c>
      <c r="B8" s="133"/>
      <c r="C8" s="133"/>
      <c r="D8" s="133"/>
      <c r="E8" s="137"/>
    </row>
    <row r="9" spans="1:5">
      <c r="A9" s="126" t="s">
        <v>640</v>
      </c>
      <c r="B9" s="133">
        <f>2384+7242</f>
        <v>9626</v>
      </c>
      <c r="C9" s="133"/>
      <c r="D9" s="133">
        <f>3001+7251</f>
        <v>10252</v>
      </c>
      <c r="E9" s="137"/>
    </row>
    <row r="10" spans="1:5">
      <c r="A10" s="126" t="s">
        <v>641</v>
      </c>
      <c r="B10" s="133">
        <v>0</v>
      </c>
      <c r="C10" s="133"/>
      <c r="D10" s="133">
        <v>0</v>
      </c>
      <c r="E10" s="137"/>
    </row>
    <row r="11" spans="1:5">
      <c r="A11" s="126" t="s">
        <v>401</v>
      </c>
      <c r="B11" s="133">
        <v>0</v>
      </c>
      <c r="C11" s="133"/>
      <c r="D11" s="133">
        <v>0</v>
      </c>
      <c r="E11" s="137"/>
    </row>
    <row r="12" spans="1:5">
      <c r="A12" s="126" t="s">
        <v>353</v>
      </c>
      <c r="B12" s="133"/>
      <c r="C12" s="133"/>
      <c r="D12" s="133"/>
      <c r="E12" s="137"/>
    </row>
    <row r="13" spans="1:5">
      <c r="A13" s="126" t="s">
        <v>642</v>
      </c>
      <c r="B13" s="134"/>
      <c r="C13" s="133"/>
      <c r="D13" s="133"/>
      <c r="E13" s="137"/>
    </row>
    <row r="14" spans="1:5">
      <c r="A14" s="126" t="s">
        <v>643</v>
      </c>
      <c r="B14" s="135">
        <f>695/1695</f>
        <v>0.41002949852507375</v>
      </c>
      <c r="C14" s="135">
        <f>294/1318</f>
        <v>0.22306525037936267</v>
      </c>
      <c r="D14" s="135">
        <f>212/545</f>
        <v>0.38899082568807342</v>
      </c>
      <c r="E14" s="115"/>
    </row>
    <row r="15" spans="1:5">
      <c r="A15" s="126" t="s">
        <v>644</v>
      </c>
      <c r="B15" s="136"/>
      <c r="C15" s="136"/>
      <c r="D15" s="136"/>
      <c r="E15" s="115"/>
    </row>
    <row r="16" spans="1:5" s="118" customFormat="1">
      <c r="A16" s="127" t="s">
        <v>645</v>
      </c>
      <c r="B16" s="128"/>
      <c r="C16" s="128"/>
      <c r="D16" s="128"/>
      <c r="E16" s="129"/>
    </row>
    <row r="17" spans="1:5">
      <c r="A17" s="130" t="s">
        <v>646</v>
      </c>
      <c r="B17" s="138">
        <v>142</v>
      </c>
      <c r="C17" s="131"/>
      <c r="D17" s="131" t="s">
        <v>286</v>
      </c>
      <c r="E17" s="132"/>
    </row>
    <row r="18" spans="1:5">
      <c r="A18" s="130" t="s">
        <v>647</v>
      </c>
      <c r="B18" s="138">
        <v>128</v>
      </c>
      <c r="C18" s="131"/>
      <c r="D18" s="131" t="s">
        <v>286</v>
      </c>
      <c r="E18" s="132"/>
    </row>
    <row r="19" spans="1:5">
      <c r="A19" s="130" t="s">
        <v>648</v>
      </c>
      <c r="B19" s="138">
        <v>117</v>
      </c>
      <c r="C19" s="131"/>
      <c r="D19" s="131" t="s">
        <v>286</v>
      </c>
      <c r="E19" s="132"/>
    </row>
    <row r="20" spans="1:5">
      <c r="A20" s="130" t="s">
        <v>649</v>
      </c>
      <c r="B20" s="138">
        <v>110</v>
      </c>
      <c r="C20" s="131"/>
      <c r="D20" s="131" t="s">
        <v>286</v>
      </c>
      <c r="E20" s="132"/>
    </row>
    <row r="21" spans="1:5">
      <c r="A21" s="130" t="s">
        <v>650</v>
      </c>
      <c r="B21" s="138">
        <v>102</v>
      </c>
      <c r="C21" s="131"/>
      <c r="D21" s="131" t="s">
        <v>286</v>
      </c>
      <c r="E21" s="132"/>
    </row>
    <row r="22" spans="1:5">
      <c r="A22" s="130" t="s">
        <v>651</v>
      </c>
      <c r="B22" s="138">
        <v>252</v>
      </c>
      <c r="C22" s="131"/>
      <c r="D22" s="131" t="s">
        <v>286</v>
      </c>
      <c r="E22" s="132"/>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16"/>
  <sheetViews>
    <sheetView workbookViewId="0">
      <selection activeCell="F1" sqref="F1:L1048576"/>
    </sheetView>
  </sheetViews>
  <sheetFormatPr baseColWidth="10" defaultRowHeight="14"/>
  <cols>
    <col min="6" max="6" width="5.42578125" bestFit="1" customWidth="1"/>
    <col min="7" max="7" width="14.140625" bestFit="1" customWidth="1"/>
    <col min="8" max="8" width="15.7109375" bestFit="1" customWidth="1"/>
    <col min="9" max="10" width="10.5703125" bestFit="1" customWidth="1"/>
    <col min="11" max="11" width="15.140625" bestFit="1" customWidth="1"/>
  </cols>
  <sheetData>
    <row r="1" spans="2:12">
      <c r="B1" t="s">
        <v>397</v>
      </c>
      <c r="F1" s="174" t="s">
        <v>397</v>
      </c>
      <c r="G1" s="174" t="s">
        <v>759</v>
      </c>
      <c r="H1" s="174" t="s">
        <v>760</v>
      </c>
      <c r="I1" s="174" t="s">
        <v>761</v>
      </c>
      <c r="J1" s="174" t="s">
        <v>754</v>
      </c>
      <c r="K1" s="174" t="s">
        <v>762</v>
      </c>
      <c r="L1" t="s">
        <v>212</v>
      </c>
    </row>
    <row r="2" spans="2:12">
      <c r="B2" t="s">
        <v>190</v>
      </c>
      <c r="C2" t="s">
        <v>402</v>
      </c>
      <c r="D2" s="16" t="s">
        <v>757</v>
      </c>
      <c r="F2" t="s">
        <v>190</v>
      </c>
      <c r="G2" t="s">
        <v>763</v>
      </c>
      <c r="H2" t="s">
        <v>764</v>
      </c>
      <c r="I2" t="s">
        <v>765</v>
      </c>
      <c r="J2">
        <v>1</v>
      </c>
      <c r="K2" t="s">
        <v>765</v>
      </c>
      <c r="L2" t="s">
        <v>597</v>
      </c>
    </row>
    <row r="3" spans="2:12">
      <c r="B3" t="s">
        <v>354</v>
      </c>
      <c r="C3" t="s">
        <v>403</v>
      </c>
      <c r="D3" s="16" t="s">
        <v>758</v>
      </c>
      <c r="F3" t="s">
        <v>354</v>
      </c>
      <c r="G3" t="s">
        <v>766</v>
      </c>
      <c r="H3" t="s">
        <v>767</v>
      </c>
      <c r="I3" t="s">
        <v>754</v>
      </c>
      <c r="J3">
        <v>2</v>
      </c>
      <c r="K3" t="s">
        <v>751</v>
      </c>
      <c r="L3" t="s">
        <v>596</v>
      </c>
    </row>
    <row r="4" spans="2:12">
      <c r="H4" t="s">
        <v>752</v>
      </c>
      <c r="I4" t="s">
        <v>768</v>
      </c>
      <c r="K4" t="s">
        <v>769</v>
      </c>
      <c r="L4" t="s">
        <v>595</v>
      </c>
    </row>
    <row r="5" spans="2:12">
      <c r="H5" t="s">
        <v>770</v>
      </c>
      <c r="K5" t="s">
        <v>771</v>
      </c>
      <c r="L5" t="s">
        <v>594</v>
      </c>
    </row>
    <row r="6" spans="2:12">
      <c r="K6" t="s">
        <v>772</v>
      </c>
      <c r="L6" t="s">
        <v>593</v>
      </c>
    </row>
    <row r="7" spans="2:12">
      <c r="L7" t="s">
        <v>592</v>
      </c>
    </row>
    <row r="8" spans="2:12">
      <c r="L8" t="s">
        <v>591</v>
      </c>
    </row>
    <row r="9" spans="2:12">
      <c r="L9" t="s">
        <v>590</v>
      </c>
    </row>
    <row r="10" spans="2:12">
      <c r="L10" t="s">
        <v>589</v>
      </c>
    </row>
    <row r="11" spans="2:12">
      <c r="L11" t="s">
        <v>588</v>
      </c>
    </row>
    <row r="12" spans="2:12">
      <c r="L12" t="s">
        <v>587</v>
      </c>
    </row>
    <row r="13" spans="2:12">
      <c r="L13" t="s">
        <v>584</v>
      </c>
    </row>
    <row r="14" spans="2:12">
      <c r="L14" t="s">
        <v>585</v>
      </c>
    </row>
    <row r="15" spans="2:12">
      <c r="L15" t="s">
        <v>586</v>
      </c>
    </row>
    <row r="16" spans="2:12">
      <c r="L16" t="s">
        <v>583</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7"/>
  <sheetViews>
    <sheetView zoomScale="150" workbookViewId="0">
      <selection activeCell="A12" sqref="A12"/>
    </sheetView>
  </sheetViews>
  <sheetFormatPr baseColWidth="10" defaultRowHeight="14"/>
  <cols>
    <col min="1" max="1" width="49.85546875" bestFit="1" customWidth="1"/>
  </cols>
  <sheetData>
    <row r="1" spans="1:6" s="84" customFormat="1">
      <c r="A1" s="84" t="s">
        <v>226</v>
      </c>
    </row>
    <row r="2" spans="1:6" s="84" customFormat="1">
      <c r="A2" s="84" t="s">
        <v>58</v>
      </c>
    </row>
    <row r="3" spans="1:6" s="14" customFormat="1" ht="18">
      <c r="A3" s="14" t="s">
        <v>121</v>
      </c>
    </row>
    <row r="4" spans="1:6" s="1" customFormat="1" ht="13">
      <c r="A4" s="1" t="s">
        <v>615</v>
      </c>
      <c r="B4" s="121" t="s">
        <v>668</v>
      </c>
    </row>
    <row r="5" spans="1:6" s="1" customFormat="1" ht="13">
      <c r="A5" s="1" t="s">
        <v>616</v>
      </c>
      <c r="B5" s="122">
        <v>41364</v>
      </c>
    </row>
    <row r="6" spans="1:6" s="1" customFormat="1">
      <c r="A6" s="1" t="s">
        <v>9</v>
      </c>
      <c r="B6" s="59" t="s">
        <v>354</v>
      </c>
      <c r="D6" s="90" t="s">
        <v>398</v>
      </c>
      <c r="F6" s="88"/>
    </row>
    <row r="7" spans="1:6" s="1" customFormat="1" ht="13">
      <c r="A7" s="1" t="s">
        <v>166</v>
      </c>
      <c r="B7" s="59" t="s">
        <v>190</v>
      </c>
      <c r="D7" s="90" t="s">
        <v>399</v>
      </c>
    </row>
    <row r="8" spans="1:6" s="1" customFormat="1" ht="13">
      <c r="A8" s="1" t="s">
        <v>265</v>
      </c>
      <c r="B8" s="59" t="s">
        <v>354</v>
      </c>
      <c r="D8" s="90" t="s">
        <v>400</v>
      </c>
    </row>
    <row r="9" spans="1:6">
      <c r="A9" s="1" t="s">
        <v>767</v>
      </c>
      <c r="B9" s="234" t="s">
        <v>487</v>
      </c>
    </row>
    <row r="10" spans="1:6" s="1" customFormat="1" ht="16">
      <c r="A10" s="32" t="s">
        <v>11</v>
      </c>
    </row>
    <row r="11" spans="1:6" s="1" customFormat="1" ht="13">
      <c r="A11" s="3" t="s">
        <v>228</v>
      </c>
    </row>
    <row r="12" spans="1:6" s="1" customFormat="1" ht="13">
      <c r="A12" s="1" t="s">
        <v>778</v>
      </c>
      <c r="B12" s="56">
        <v>1337.925</v>
      </c>
      <c r="C12" s="90" t="s">
        <v>51</v>
      </c>
    </row>
    <row r="13" spans="1:6" s="1" customFormat="1" ht="13">
      <c r="A13" s="1" t="s">
        <v>57</v>
      </c>
      <c r="B13" s="56">
        <v>255.25800000000001</v>
      </c>
    </row>
    <row r="14" spans="1:6" s="1" customFormat="1" ht="13">
      <c r="A14" s="1" t="s">
        <v>231</v>
      </c>
      <c r="B14" s="56">
        <v>603.39200000000005</v>
      </c>
    </row>
    <row r="15" spans="1:6" s="1" customFormat="1" ht="13">
      <c r="A15" s="1" t="s">
        <v>169</v>
      </c>
      <c r="B15" s="56">
        <f>1694.1-1337.9</f>
        <v>356.19999999999982</v>
      </c>
    </row>
    <row r="16" spans="1:6" s="1" customFormat="1" ht="13">
      <c r="A16" s="1" t="s">
        <v>404</v>
      </c>
      <c r="B16" s="57">
        <f>373.3/1179.3</f>
        <v>0.316543712371746</v>
      </c>
    </row>
    <row r="17" spans="1:4" s="1" customFormat="1" ht="13">
      <c r="A17" s="1" t="s">
        <v>405</v>
      </c>
      <c r="B17" s="57">
        <v>0.34</v>
      </c>
      <c r="C17" s="1" t="s">
        <v>140</v>
      </c>
    </row>
    <row r="18" spans="1:4" s="1" customFormat="1" ht="13">
      <c r="A18" s="1" t="s">
        <v>118</v>
      </c>
      <c r="B18" s="56">
        <v>7010.31</v>
      </c>
      <c r="C18" s="91">
        <v>6345.7</v>
      </c>
    </row>
    <row r="19" spans="1:4" s="1" customFormat="1" ht="13">
      <c r="A19" s="1" t="s">
        <v>119</v>
      </c>
      <c r="B19" s="56">
        <f>705.3+875.2+384.6-497.4-984</f>
        <v>483.69999999999982</v>
      </c>
    </row>
    <row r="20" spans="1:4" s="1" customFormat="1" ht="13">
      <c r="A20" s="1" t="s">
        <v>120</v>
      </c>
      <c r="B20" s="56">
        <f>B19-(676.1+786.3+306.5-566.9-399.8-256.5)</f>
        <v>-62.000000000000227</v>
      </c>
      <c r="C20" s="5" t="s">
        <v>140</v>
      </c>
    </row>
    <row r="21" spans="1:4" s="1" customFormat="1" ht="13">
      <c r="A21" s="1" t="s">
        <v>196</v>
      </c>
      <c r="B21" s="56">
        <f>1731.9+877.1</f>
        <v>2609</v>
      </c>
      <c r="C21" s="91">
        <f>1071.6+1135.6</f>
        <v>2207.1999999999998</v>
      </c>
    </row>
    <row r="22" spans="1:4" s="1" customFormat="1" ht="13">
      <c r="A22" s="1" t="s">
        <v>217</v>
      </c>
      <c r="B22" s="56">
        <v>915.4</v>
      </c>
      <c r="C22" s="91">
        <v>1306.0999999999999</v>
      </c>
    </row>
    <row r="23" spans="1:4" s="1" customFormat="1" ht="13">
      <c r="B23" s="6"/>
    </row>
    <row r="24" spans="1:4" s="1" customFormat="1" ht="13">
      <c r="A24" s="1" t="s">
        <v>175</v>
      </c>
      <c r="B24" s="56">
        <v>960.2</v>
      </c>
      <c r="C24" s="91">
        <v>1286.9000000000001</v>
      </c>
    </row>
    <row r="25" spans="1:4" s="1" customFormat="1" ht="13">
      <c r="A25" s="1" t="s">
        <v>176</v>
      </c>
      <c r="B25" s="56">
        <v>609.79999999999995</v>
      </c>
      <c r="C25" s="93">
        <v>566.6</v>
      </c>
    </row>
    <row r="26" spans="1:4" s="1" customFormat="1" ht="13">
      <c r="A26" s="1" t="s">
        <v>401</v>
      </c>
      <c r="B26" s="56">
        <v>17.7</v>
      </c>
      <c r="C26" s="93">
        <v>0</v>
      </c>
    </row>
    <row r="27" spans="1:4" s="1" customFormat="1" ht="13">
      <c r="B27" s="62"/>
    </row>
    <row r="28" spans="1:4" s="3" customFormat="1" ht="13">
      <c r="A28" s="3" t="s">
        <v>185</v>
      </c>
      <c r="B28" s="69"/>
    </row>
    <row r="29" spans="1:4" s="1" customFormat="1" ht="13">
      <c r="A29" s="1" t="s">
        <v>184</v>
      </c>
      <c r="B29" s="59" t="s">
        <v>190</v>
      </c>
    </row>
    <row r="30" spans="1:4" s="4" customFormat="1" ht="13">
      <c r="A30" s="4" t="s">
        <v>348</v>
      </c>
      <c r="B30" s="70"/>
    </row>
    <row r="31" spans="1:4" s="1" customFormat="1" ht="13">
      <c r="A31" s="1" t="s">
        <v>201</v>
      </c>
      <c r="B31" s="56">
        <v>38.340000000000003</v>
      </c>
      <c r="D31" s="44"/>
    </row>
    <row r="32" spans="1:4" s="1" customFormat="1" ht="13">
      <c r="A32" s="1" t="s">
        <v>353</v>
      </c>
      <c r="B32" s="60">
        <f>16935/B31</f>
        <v>441.70579029733955</v>
      </c>
      <c r="D32" s="44"/>
    </row>
    <row r="33" spans="1:3" s="1" customFormat="1" ht="13">
      <c r="A33" s="1" t="s">
        <v>364</v>
      </c>
      <c r="B33" s="56">
        <f>B21</f>
        <v>2609</v>
      </c>
    </row>
    <row r="34" spans="1:3" s="4" customFormat="1" ht="13">
      <c r="A34" s="4" t="s">
        <v>396</v>
      </c>
      <c r="B34" s="70"/>
    </row>
    <row r="35" spans="1:3" s="1" customFormat="1" ht="13">
      <c r="A35" s="1" t="s">
        <v>322</v>
      </c>
      <c r="B35" s="59" t="s">
        <v>354</v>
      </c>
    </row>
    <row r="36" spans="1:3" s="1" customFormat="1" ht="13">
      <c r="A36" s="1" t="s">
        <v>323</v>
      </c>
      <c r="B36" s="87">
        <v>0.35</v>
      </c>
    </row>
    <row r="37" spans="1:3" s="1" customFormat="1" ht="13"/>
    <row r="38" spans="1:3" s="1" customFormat="1" ht="13">
      <c r="A38" s="4" t="s">
        <v>329</v>
      </c>
    </row>
    <row r="39" spans="1:3" s="1" customFormat="1" ht="13">
      <c r="A39" s="1" t="s">
        <v>288</v>
      </c>
      <c r="B39" s="61">
        <v>0.03</v>
      </c>
    </row>
    <row r="40" spans="1:3" s="1" customFormat="1" ht="13">
      <c r="A40" s="1" t="s">
        <v>418</v>
      </c>
      <c r="B40" s="61">
        <v>7.85E-2</v>
      </c>
      <c r="C40" s="90" t="s">
        <v>560</v>
      </c>
    </row>
    <row r="41" spans="1:3" s="1" customFormat="1" ht="13"/>
    <row r="42" spans="1:3" s="1" customFormat="1" ht="13">
      <c r="A42" s="4" t="s">
        <v>240</v>
      </c>
    </row>
    <row r="43" spans="1:3" s="1" customFormat="1" ht="13">
      <c r="A43" s="1" t="s">
        <v>83</v>
      </c>
      <c r="B43" s="59" t="s">
        <v>190</v>
      </c>
      <c r="C43" s="90" t="s">
        <v>138</v>
      </c>
    </row>
    <row r="44" spans="1:3" s="1" customFormat="1" ht="13">
      <c r="A44" s="1" t="s">
        <v>356</v>
      </c>
      <c r="B44" s="59">
        <v>2</v>
      </c>
    </row>
    <row r="45" spans="1:3" s="1" customFormat="1" ht="13">
      <c r="A45" s="1" t="s">
        <v>87</v>
      </c>
      <c r="B45" s="59" t="s">
        <v>125</v>
      </c>
    </row>
    <row r="46" spans="1:3" s="1" customFormat="1" ht="13">
      <c r="A46" s="1" t="s">
        <v>88</v>
      </c>
      <c r="B46" s="61">
        <v>5.7500000000000002E-2</v>
      </c>
    </row>
    <row r="48" spans="1:3" s="4" customFormat="1" ht="13">
      <c r="A48" s="4" t="s">
        <v>275</v>
      </c>
    </row>
    <row r="49" spans="1:3" s="1" customFormat="1" ht="13">
      <c r="A49" s="1" t="s">
        <v>105</v>
      </c>
      <c r="B49" s="59" t="s">
        <v>354</v>
      </c>
    </row>
    <row r="50" spans="1:3" s="1" customFormat="1" ht="13">
      <c r="A50" s="1" t="s">
        <v>320</v>
      </c>
      <c r="B50" s="67">
        <v>50.997999999999998</v>
      </c>
    </row>
    <row r="51" spans="1:3" s="1" customFormat="1" ht="13">
      <c r="A51" s="1" t="s">
        <v>321</v>
      </c>
      <c r="B51" s="56">
        <v>40.35</v>
      </c>
    </row>
    <row r="52" spans="1:3" s="1" customFormat="1" ht="13">
      <c r="A52" s="1" t="s">
        <v>19</v>
      </c>
      <c r="B52" s="59">
        <v>8.3000000000000007</v>
      </c>
    </row>
    <row r="53" spans="1:3" s="1" customFormat="1" ht="13">
      <c r="A53" s="1" t="s">
        <v>62</v>
      </c>
      <c r="B53" s="63">
        <v>0.25</v>
      </c>
    </row>
    <row r="54" spans="1:3" s="1" customFormat="1" ht="13">
      <c r="A54" s="1" t="s">
        <v>108</v>
      </c>
      <c r="B54" s="59" t="s">
        <v>402</v>
      </c>
    </row>
    <row r="55" spans="1:3" s="1" customFormat="1" ht="13">
      <c r="B55" s="94"/>
    </row>
    <row r="56" spans="1:3" s="3" customFormat="1" ht="13">
      <c r="A56" s="3" t="s">
        <v>229</v>
      </c>
    </row>
    <row r="57" spans="1:3" s="4" customFormat="1" ht="13">
      <c r="A57" s="4" t="s">
        <v>230</v>
      </c>
      <c r="B57" s="4" t="s">
        <v>3</v>
      </c>
    </row>
    <row r="58" spans="1:3" s="1" customFormat="1" ht="13">
      <c r="A58" s="1" t="s">
        <v>102</v>
      </c>
      <c r="B58" s="59">
        <v>10</v>
      </c>
    </row>
    <row r="59" spans="1:3" s="1" customFormat="1" ht="13">
      <c r="A59" s="1" t="s">
        <v>340</v>
      </c>
      <c r="B59" s="59">
        <v>1.1399999999999999</v>
      </c>
      <c r="C59" s="90" t="s">
        <v>560</v>
      </c>
    </row>
    <row r="60" spans="1:3" s="1" customFormat="1" ht="13">
      <c r="A60" s="1" t="s">
        <v>80</v>
      </c>
      <c r="B60" s="59" t="s">
        <v>190</v>
      </c>
    </row>
    <row r="61" spans="1:3" s="1" customFormat="1" ht="13">
      <c r="A61" s="1" t="s">
        <v>143</v>
      </c>
      <c r="B61" s="72">
        <f ca="1">IF(B29="Yes",IF(B7="Yes",1-(B31*B32+'Valuation Model'!F69)/(B33+B31*B32+'Valuation Model'!F69+'Operating lease converter'!C30),1-(B31*B32)/(B33+B31*B32)),IF(B35="Yes",B21/(B21+B22),B36))</f>
        <v>0.19205332315177293</v>
      </c>
    </row>
    <row r="62" spans="1:3" s="1" customFormat="1" ht="13">
      <c r="A62" s="1" t="s">
        <v>335</v>
      </c>
      <c r="B62" s="73">
        <f>7%</f>
        <v>7.0000000000000007E-2</v>
      </c>
    </row>
    <row r="63" spans="1:3" s="1" customFormat="1" ht="13">
      <c r="A63" s="1" t="s">
        <v>359</v>
      </c>
      <c r="B63" s="59" t="s">
        <v>190</v>
      </c>
    </row>
    <row r="64" spans="1:3" s="1" customFormat="1" ht="13">
      <c r="A64" s="1" t="s">
        <v>360</v>
      </c>
      <c r="B64" s="73">
        <f>B19/B18</f>
        <v>6.8998375250167221E-2</v>
      </c>
    </row>
    <row r="65" spans="1:2" s="1" customFormat="1" ht="13">
      <c r="A65" s="1" t="s">
        <v>28</v>
      </c>
      <c r="B65" s="63">
        <v>0.12</v>
      </c>
    </row>
    <row r="66" spans="1:2" s="1" customFormat="1" ht="13">
      <c r="A66" s="1" t="s">
        <v>216</v>
      </c>
      <c r="B66" s="59" t="s">
        <v>190</v>
      </c>
    </row>
    <row r="67" spans="1:2" s="1" customFormat="1" ht="13">
      <c r="A67" s="1" t="s">
        <v>326</v>
      </c>
      <c r="B67" s="63">
        <v>0.15</v>
      </c>
    </row>
    <row r="68" spans="1:2" s="1" customFormat="1" ht="13">
      <c r="A68" s="4" t="s">
        <v>164</v>
      </c>
      <c r="B68" s="5"/>
    </row>
    <row r="69" spans="1:2" s="1" customFormat="1" ht="13">
      <c r="A69" s="1" t="s">
        <v>237</v>
      </c>
      <c r="B69" s="72">
        <f ca="1">IF('Master Inputs Start here'!B6="Yes",('Valuation Model'!D3*(1-'Valuation Model'!D7)+'R&amp;D converter'!D40)/('Valuation Model'!D11+'Valuation Model'!D12-C24-C25),('Valuation Model'!D3*(1-'Valuation Model'!D7))/('Valuation Model'!D11+'Valuation Model'!D12-C24-C25))</f>
        <v>0.34451664437775592</v>
      </c>
    </row>
    <row r="70" spans="1:2" s="1" customFormat="1" ht="13">
      <c r="A70" s="1" t="s">
        <v>165</v>
      </c>
      <c r="B70" s="72">
        <f ca="1">IF('Master Inputs Start here'!B6="Yes",('Valuation Model'!D5-'Valuation Model'!D6+'Valuation Model'!D10)/'Valuation Model'!C43,('Valuation Model'!D5-'Valuation Model'!D6+'Valuation Model'!D10)/'Valuation Model'!C43)</f>
        <v>0.51111582062937322</v>
      </c>
    </row>
    <row r="71" spans="1:2" s="1" customFormat="1" ht="13">
      <c r="A71" s="1" t="s">
        <v>300</v>
      </c>
      <c r="B71" s="59" t="s">
        <v>354</v>
      </c>
    </row>
    <row r="72" spans="1:2" s="1" customFormat="1" ht="13">
      <c r="A72" s="1" t="s">
        <v>237</v>
      </c>
      <c r="B72" s="61">
        <v>0.33</v>
      </c>
    </row>
    <row r="73" spans="1:2" s="1" customFormat="1" ht="13">
      <c r="A73" s="1" t="s">
        <v>165</v>
      </c>
      <c r="B73" s="61">
        <f ca="1">B70</f>
        <v>0.51111582062937322</v>
      </c>
    </row>
    <row r="74" spans="1:2" s="1" customFormat="1" ht="13">
      <c r="B74" s="81"/>
    </row>
    <row r="75" spans="1:2" s="1" customFormat="1" ht="13">
      <c r="A75" s="1" t="s">
        <v>368</v>
      </c>
      <c r="B75" s="61" t="s">
        <v>190</v>
      </c>
    </row>
    <row r="76" spans="1:2" s="1" customFormat="1" ht="13">
      <c r="B76" s="5"/>
    </row>
    <row r="77" spans="1:2" s="4" customFormat="1" ht="13">
      <c r="A77" s="4" t="s">
        <v>324</v>
      </c>
      <c r="B77" s="10"/>
    </row>
    <row r="78" spans="1:2" s="1" customFormat="1" ht="13">
      <c r="A78" s="1" t="s">
        <v>18</v>
      </c>
      <c r="B78" s="61">
        <v>0.03</v>
      </c>
    </row>
    <row r="79" spans="1:2" s="1" customFormat="1" ht="13">
      <c r="A79" s="11" t="s">
        <v>206</v>
      </c>
      <c r="B79" s="67">
        <v>1</v>
      </c>
    </row>
    <row r="80" spans="1:2" s="1" customFormat="1" ht="13">
      <c r="A80" s="11" t="s">
        <v>618</v>
      </c>
      <c r="B80" s="89">
        <v>7.4999999999999997E-2</v>
      </c>
    </row>
    <row r="81" spans="1:3" s="1" customFormat="1" ht="13">
      <c r="A81" s="1" t="s">
        <v>163</v>
      </c>
      <c r="B81" s="61">
        <v>0.3</v>
      </c>
    </row>
    <row r="82" spans="1:3" s="1" customFormat="1" ht="13">
      <c r="A82" s="1" t="s">
        <v>372</v>
      </c>
      <c r="B82" s="61">
        <v>0.09</v>
      </c>
    </row>
    <row r="83" spans="1:3" s="1" customFormat="1" ht="13">
      <c r="A83" s="1" t="s">
        <v>38</v>
      </c>
      <c r="B83" s="61">
        <v>0.34</v>
      </c>
    </row>
    <row r="84" spans="1:3" s="4" customFormat="1" ht="12" customHeight="1">
      <c r="A84" s="4" t="s">
        <v>282</v>
      </c>
      <c r="B84" s="10"/>
    </row>
    <row r="85" spans="1:3" s="1" customFormat="1" ht="12" customHeight="1">
      <c r="A85" s="1" t="s">
        <v>150</v>
      </c>
      <c r="B85" s="68" t="s">
        <v>190</v>
      </c>
    </row>
    <row r="86" spans="1:3" s="1" customFormat="1" ht="12" customHeight="1">
      <c r="A86" s="1" t="s">
        <v>345</v>
      </c>
      <c r="B86" s="61">
        <v>0.25</v>
      </c>
    </row>
    <row r="87" spans="1:3" s="1" customFormat="1" ht="12" customHeight="1">
      <c r="A87" s="1" t="s">
        <v>124</v>
      </c>
      <c r="B87" s="63">
        <v>1.2</v>
      </c>
      <c r="C87" s="5" t="s">
        <v>319</v>
      </c>
    </row>
  </sheetData>
  <phoneticPr fontId="25"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Answers!$B$2:$B$3</xm:f>
          </x14:formula1>
          <xm:sqref>B6:B8 B29 B35 B43 B49 B60 B63 B66 B71</xm:sqref>
        </x14:dataValidation>
        <x14:dataValidation type="list" allowBlank="1" showInputMessage="1" showErrorMessage="1" xr:uid="{00000000-0002-0000-0100-000001000000}">
          <x14:formula1>
            <xm:f>Answers!$C$2:$C$3</xm:f>
          </x14:formula1>
          <xm:sqref>B54</xm:sqref>
        </x14:dataValidation>
        <x14:dataValidation type="list" allowBlank="1" showInputMessage="1" showErrorMessage="1" xr:uid="{E46AC339-37E8-8840-ABAC-F2591204E788}">
          <x14:formula1>
            <xm:f>'Country ERP'!$A$5:$A$181</xm:f>
          </x14:formula1>
          <xm:sqref>B9</xm:sqref>
        </x14:dataValidation>
        <x14:dataValidation type="list" allowBlank="1" showInputMessage="1" showErrorMessage="1" xr:uid="{87B6B936-8809-EA4B-ACC9-3D89A1E6DBD1}">
          <x14:formula1>
            <xm:f>Answers!$L$2:$L$16</xm:f>
          </x14:formula1>
          <xm:sqref>B45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73"/>
  <sheetViews>
    <sheetView showGridLines="0" topLeftCell="A5" workbookViewId="0">
      <selection activeCell="E15" sqref="E15"/>
    </sheetView>
  </sheetViews>
  <sheetFormatPr baseColWidth="10" defaultRowHeight="14"/>
  <cols>
    <col min="1" max="1" width="2.7109375" customWidth="1"/>
    <col min="2" max="2" width="14.7109375" customWidth="1"/>
    <col min="3" max="8" width="12.7109375" customWidth="1"/>
  </cols>
  <sheetData>
    <row r="1" spans="1:16" s="189" customFormat="1" ht="25" customHeight="1">
      <c r="B1" s="240" t="s">
        <v>177</v>
      </c>
      <c r="C1" s="240"/>
      <c r="D1" s="240"/>
      <c r="E1" s="240"/>
      <c r="F1" s="240"/>
      <c r="G1" s="240"/>
      <c r="H1" s="240"/>
      <c r="I1" s="240"/>
      <c r="J1" s="240"/>
    </row>
    <row r="2" spans="1:16" s="189" customFormat="1" ht="25" customHeight="1">
      <c r="A2" s="192"/>
      <c r="B2" s="193" t="s">
        <v>44</v>
      </c>
      <c r="C2" s="192"/>
      <c r="D2" s="194">
        <f>IF('Master Inputs Start here'!B8="Yes",'Earnings Normalizer'!D14,'Master Inputs Start here'!B12)</f>
        <v>1337.925</v>
      </c>
      <c r="E2" s="192"/>
      <c r="F2" s="192"/>
      <c r="G2" s="192"/>
      <c r="H2" s="192"/>
      <c r="I2" s="192"/>
    </row>
    <row r="3" spans="1:16" s="189" customFormat="1" ht="25" customHeight="1">
      <c r="B3" s="189" t="s">
        <v>47</v>
      </c>
      <c r="D3" s="194">
        <f ca="1">IF('Master Inputs Start here'!B6="Yes",(IF('Master Inputs Start here'!B7="Yes",D2+'R&amp;D converter'!D39+'Operating lease converter'!F34,D2+'R&amp;D converter'!D39)),IF('Master Inputs Start here'!B7="Yes",D2+'Operating lease converter'!F34,D2))</f>
        <v>1605.8347190293821</v>
      </c>
    </row>
    <row r="4" spans="1:16" s="189" customFormat="1" ht="25" customHeight="1">
      <c r="B4" s="189" t="s">
        <v>304</v>
      </c>
      <c r="D4" s="194">
        <f ca="1">IF('Master Inputs Start here'!B7="Yes",'Master Inputs Start here'!B13+'Operating lease converter'!C30*'Operating lease converter'!C14,'Master Inputs Start here'!B13)</f>
        <v>332.53619706956044</v>
      </c>
    </row>
    <row r="5" spans="1:16" s="189" customFormat="1" ht="25" customHeight="1">
      <c r="B5" s="189" t="s">
        <v>92</v>
      </c>
      <c r="D5" s="194">
        <f>IF('Master Inputs Start here'!B6="Yes",(IF('Master Inputs Start here'!B7="Yes",'Master Inputs Start here'!B14+'R&amp;D converter'!F7+'Operating lease converter'!E3,'Master Inputs Start here'!B14+'R&amp;D converter'!F7)),(IF('Master Inputs Start here'!B7="Yes",'Master Inputs Start here'!B14+'Operating lease converter'!E3,'Master Inputs Start here'!B14)))</f>
        <v>1107.3920000000001</v>
      </c>
    </row>
    <row r="6" spans="1:16" s="189" customFormat="1" ht="25" customHeight="1">
      <c r="B6" s="189" t="s">
        <v>225</v>
      </c>
      <c r="D6" s="194">
        <f ca="1">IF('Master Inputs Start here'!B6="Yes",(IF('Master Inputs Start here'!B7="Yes",'Master Inputs Start here'!B15+'R&amp;D converter'!D37+'Operating lease converter'!F33,'Master Inputs Start here'!B15+'R&amp;D converter'!D37)),(IF('Master Inputs Start here'!B7="Yes",'Master Inputs Start here'!B15+'Operating lease converter'!F33,'Master Inputs Start here'!B15)))</f>
        <v>592.29028097061769</v>
      </c>
    </row>
    <row r="7" spans="1:16" s="189" customFormat="1" ht="25" customHeight="1">
      <c r="B7" s="189" t="s">
        <v>232</v>
      </c>
      <c r="D7" s="195">
        <f>'Master Inputs Start here'!B17</f>
        <v>0.34</v>
      </c>
    </row>
    <row r="8" spans="1:16" s="189" customFormat="1" ht="25" customHeight="1">
      <c r="B8" s="189" t="s">
        <v>118</v>
      </c>
      <c r="D8" s="194">
        <f>'Master Inputs Start here'!B18</f>
        <v>7010.31</v>
      </c>
    </row>
    <row r="9" spans="1:16" s="189" customFormat="1" ht="25" customHeight="1">
      <c r="B9" s="189" t="s">
        <v>119</v>
      </c>
      <c r="D9" s="194">
        <f>'Master Inputs Start here'!B19</f>
        <v>483.69999999999982</v>
      </c>
    </row>
    <row r="10" spans="1:16" s="189" customFormat="1" ht="25" customHeight="1">
      <c r="B10" s="189" t="s">
        <v>120</v>
      </c>
      <c r="D10" s="194">
        <f>IF('Master Inputs Start here'!B20&lt;0,('Master Inputs Start here'!B18-'Master Inputs Start here'!C18)*('Master Inputs Start here'!B19/'Master Inputs Start here'!B18),'Master Inputs Start here'!B20)</f>
        <v>45.857010175013677</v>
      </c>
    </row>
    <row r="11" spans="1:16" s="189" customFormat="1" ht="25" customHeight="1">
      <c r="B11" s="189" t="s">
        <v>48</v>
      </c>
      <c r="D11" s="194">
        <f ca="1">IF('Master Inputs Start here'!B7="Yes",'Master Inputs Start here'!C21+'Operating lease converter'!F35,'Master Inputs Start here'!C21)</f>
        <v>3623.7416858237066</v>
      </c>
    </row>
    <row r="12" spans="1:16" s="189" customFormat="1" ht="25" customHeight="1" thickBot="1">
      <c r="B12" s="189" t="s">
        <v>365</v>
      </c>
      <c r="D12" s="194">
        <f>IF('Master Inputs Start here'!B6="Yes",'Master Inputs Start here'!C22+'R&amp;D converter'!D35-'R&amp;D converter'!D24+'R&amp;D converter'!E35,'Master Inputs Start here'!C22)</f>
        <v>1306.0999999999999</v>
      </c>
    </row>
    <row r="13" spans="1:16" s="189" customFormat="1" ht="25" customHeight="1">
      <c r="D13" s="196"/>
      <c r="E13" s="190"/>
      <c r="F13" s="242" t="s">
        <v>6</v>
      </c>
      <c r="G13" s="243"/>
      <c r="H13" s="243"/>
      <c r="I13" s="243"/>
      <c r="J13" s="243"/>
      <c r="K13" s="243"/>
      <c r="L13" s="243"/>
      <c r="M13" s="243"/>
      <c r="N13" s="243"/>
      <c r="O13" s="244"/>
      <c r="P13" s="197" t="s">
        <v>374</v>
      </c>
    </row>
    <row r="14" spans="1:16" s="198" customFormat="1" ht="25" customHeight="1">
      <c r="B14" s="189" t="s">
        <v>33</v>
      </c>
      <c r="D14" s="199">
        <f>'Master Inputs Start here'!B58</f>
        <v>10</v>
      </c>
      <c r="E14" s="200" t="s">
        <v>34</v>
      </c>
      <c r="F14" s="185" t="str">
        <f>IF(D14&gt;10,"Growth periods longer than 10 years are indicative of extraordinary competitive advantages. What is your company's competitive advantage?","")</f>
        <v/>
      </c>
      <c r="P14" s="186" t="s">
        <v>375</v>
      </c>
    </row>
    <row r="15" spans="1:16" s="198" customFormat="1" ht="25" customHeight="1">
      <c r="B15" s="189" t="s">
        <v>123</v>
      </c>
      <c r="D15" s="201">
        <f ca="1">IF('Master Inputs Start here'!B66="Yes",'Valuation Model'!D23*'Valuation Model'!D24,'Master Inputs Start here'!B67)</f>
        <v>0.17608790741161465</v>
      </c>
      <c r="E15" s="202">
        <f>'Master Inputs Start here'!B78</f>
        <v>0.03</v>
      </c>
      <c r="F15" s="185" t="str">
        <f>IF(E15&gt;E18, "Stable growth rate &gt; Riskfree rate: Not a good idea. Cap this number at the risk free rate","")</f>
        <v/>
      </c>
      <c r="P15" s="186" t="s">
        <v>376</v>
      </c>
    </row>
    <row r="16" spans="1:16" s="189" customFormat="1" ht="25" customHeight="1">
      <c r="B16" s="189" t="s">
        <v>50</v>
      </c>
      <c r="D16" s="195">
        <f ca="1">IF('Master Inputs Start here'!B60="Yes",'Master Inputs Start here'!B61,'Master Inputs Start here'!B62)</f>
        <v>0.19205332315177293</v>
      </c>
      <c r="E16" s="202">
        <f>'Master Inputs Start here'!B81</f>
        <v>0.3</v>
      </c>
      <c r="F16" s="185" t="str">
        <f ca="1">IF(E16=D16,"Stable growth debt ratio is set to same value as high growth debt ratio. While this is possible, stable growth companies usually carry more debt. Look at the industry average","")</f>
        <v/>
      </c>
      <c r="P16" s="186" t="s">
        <v>377</v>
      </c>
    </row>
    <row r="17" spans="1:16" s="189" customFormat="1" ht="25" customHeight="1">
      <c r="B17" s="189" t="s">
        <v>17</v>
      </c>
      <c r="D17" s="203">
        <f>'Master Inputs Start here'!B59</f>
        <v>1.1399999999999999</v>
      </c>
      <c r="E17" s="204">
        <f>'Master Inputs Start here'!B79</f>
        <v>1</v>
      </c>
      <c r="F17" s="185" t="str">
        <f>IF(E17&gt;1.2,"Too high a beta for stable growth. Move down towards 1.00 (cap = 1.20)",IF(E17&lt;0.8,"Too low a beta for stable growth. Push up towards 1.00 (floor = 0.80)"," "))</f>
        <v xml:space="preserve"> </v>
      </c>
      <c r="P17" s="186" t="s">
        <v>378</v>
      </c>
    </row>
    <row r="18" spans="1:16" s="189" customFormat="1" ht="25" customHeight="1">
      <c r="B18" s="189" t="s">
        <v>299</v>
      </c>
      <c r="D18" s="195">
        <f>'Master Inputs Start here'!B39</f>
        <v>0.03</v>
      </c>
      <c r="E18" s="202">
        <f>D18</f>
        <v>0.03</v>
      </c>
      <c r="F18" s="185"/>
      <c r="P18" s="186"/>
    </row>
    <row r="19" spans="1:16" s="189" customFormat="1" ht="25" customHeight="1">
      <c r="B19" s="189" t="s">
        <v>32</v>
      </c>
      <c r="D19" s="195">
        <f>'Master Inputs Start here'!B40</f>
        <v>7.85E-2</v>
      </c>
      <c r="E19" s="205">
        <f>'Master Inputs Start here'!B80</f>
        <v>7.4999999999999997E-2</v>
      </c>
      <c r="F19" s="185"/>
      <c r="P19" s="186"/>
    </row>
    <row r="20" spans="1:16" s="189" customFormat="1" ht="25" customHeight="1">
      <c r="B20" s="189" t="s">
        <v>35</v>
      </c>
      <c r="D20" s="195">
        <f ca="1">IF('Master Inputs Start here'!B43="Yes",'Ratings estimator'!D13,'Master Inputs Start here'!B46)</f>
        <v>5.4554128440366972E-2</v>
      </c>
      <c r="E20" s="202">
        <f>'Master Inputs Start here'!B82</f>
        <v>0.09</v>
      </c>
      <c r="F20" s="185" t="str">
        <f>IF(E20&gt;E18+0.03,"This is a high cost of debt for stable growth. Consider moving this down.",IF(E20&lt;E18,"Cost of debt is less than the riskfree rate - Not possible"," "))</f>
        <v>This is a high cost of debt for stable growth. Consider moving this down.</v>
      </c>
      <c r="P20" s="186" t="s">
        <v>379</v>
      </c>
    </row>
    <row r="21" spans="1:16" s="189" customFormat="1" ht="25" customHeight="1">
      <c r="B21" s="189" t="s">
        <v>562</v>
      </c>
      <c r="D21" s="195">
        <f>'Master Inputs Start here'!B16</f>
        <v>0.316543712371746</v>
      </c>
      <c r="E21" s="202">
        <f>'Master Inputs Start here'!B83</f>
        <v>0.34</v>
      </c>
      <c r="F21" s="185"/>
      <c r="P21" s="186"/>
    </row>
    <row r="22" spans="1:16" s="189" customFormat="1" ht="25" customHeight="1">
      <c r="B22" s="189" t="s">
        <v>563</v>
      </c>
      <c r="D22" s="195">
        <f>'Master Inputs Start here'!B17</f>
        <v>0.34</v>
      </c>
      <c r="E22" s="202">
        <f>'Master Inputs Start here'!B83</f>
        <v>0.34</v>
      </c>
      <c r="F22" s="185" t="str">
        <f>IF(E22&lt;0.35,"If this is a US company, this tax rate is below the marginal tax rate. Move towards a marginal tax rate"," ")</f>
        <v>If this is a US company, this tax rate is below the marginal tax rate. Move towards a marginal tax rate</v>
      </c>
      <c r="P22" s="186" t="s">
        <v>380</v>
      </c>
    </row>
    <row r="23" spans="1:16" s="189" customFormat="1" ht="25" customHeight="1">
      <c r="B23" s="189" t="s">
        <v>237</v>
      </c>
      <c r="D23" s="195">
        <f ca="1">IF('Master Inputs Start here'!B71="Yes",'Master Inputs Start here'!B72,'Master Inputs Start here'!B69)</f>
        <v>0.34451664437775592</v>
      </c>
      <c r="E23" s="202">
        <f>'Master Inputs Start here'!B86</f>
        <v>0.25</v>
      </c>
      <c r="F23" s="185" t="str">
        <f>IF(E23&gt;D58+0.05,"Your return on capital exceeds your cost of capital by more than 5%. That is unusually high. Does your company have that sustainable a competitive advantage?",IF(E23&lt;D58, "Your return on capital is less than your cost of capital forever and you are forcing the firm to destroy value in perpetuity. Push up to the cost of capital"," "))</f>
        <v>Your return on capital exceeds your cost of capital by more than 5%. That is unusually high. Does your company have that sustainable a competitive advantage?</v>
      </c>
      <c r="P23" s="186" t="s">
        <v>381</v>
      </c>
    </row>
    <row r="24" spans="1:16" s="189" customFormat="1" ht="25" customHeight="1" thickBot="1">
      <c r="B24" s="189" t="s">
        <v>165</v>
      </c>
      <c r="D24" s="195">
        <f ca="1">IF('Master Inputs Start here'!B71="Yes",'Master Inputs Start here'!B73,'Master Inputs Start here'!B70)</f>
        <v>0.51111582062937322</v>
      </c>
      <c r="E24" s="202">
        <f>IF('Master Inputs Start here'!B85="Yes",'Master Inputs Start here'!B78/'Master Inputs Start here'!B86,(S43-S46)/S43)</f>
        <v>0.12</v>
      </c>
      <c r="F24" s="187" t="s">
        <v>5</v>
      </c>
      <c r="G24" s="206"/>
      <c r="H24" s="207">
        <f>IF(E24&lt;0.0001,"Infinite ROC. Not feasible. You need reinvestment to grow",E15/E24)</f>
        <v>0.25</v>
      </c>
      <c r="I24" s="206"/>
      <c r="J24" s="206"/>
      <c r="K24" s="206"/>
      <c r="L24" s="206"/>
      <c r="M24" s="206"/>
      <c r="N24" s="206"/>
      <c r="O24" s="206"/>
      <c r="P24" s="188" t="s">
        <v>7</v>
      </c>
    </row>
    <row r="25" spans="1:16" s="189" customFormat="1" ht="25" customHeight="1">
      <c r="D25" s="196"/>
      <c r="E25" s="190"/>
    </row>
    <row r="26" spans="1:16" s="189" customFormat="1" ht="25" customHeight="1">
      <c r="A26" s="192"/>
      <c r="B26" s="208" t="s">
        <v>308</v>
      </c>
      <c r="C26" s="192"/>
      <c r="D26" s="192"/>
      <c r="E26" s="192"/>
      <c r="F26" s="192"/>
      <c r="G26" s="192"/>
      <c r="H26" s="192"/>
      <c r="I26" s="192"/>
    </row>
    <row r="27" spans="1:16" s="189" customFormat="1" ht="25" customHeight="1">
      <c r="B27" s="189" t="s">
        <v>193</v>
      </c>
      <c r="D27" s="209">
        <f>D18+D17*D19</f>
        <v>0.11948999999999999</v>
      </c>
      <c r="E27" s="190"/>
      <c r="F27" s="190"/>
    </row>
    <row r="28" spans="1:16" s="189" customFormat="1" ht="25" customHeight="1">
      <c r="B28" s="189" t="s">
        <v>148</v>
      </c>
      <c r="D28" s="209">
        <f ca="1">1-D30</f>
        <v>0.80794667684822707</v>
      </c>
      <c r="E28" s="190"/>
      <c r="F28" s="190"/>
    </row>
    <row r="29" spans="1:16" s="189" customFormat="1" ht="25" customHeight="1">
      <c r="B29" s="189" t="s">
        <v>149</v>
      </c>
      <c r="D29" s="209">
        <f ca="1">D20*(1-D7)</f>
        <v>3.6005724770642199E-2</v>
      </c>
      <c r="E29" s="190"/>
      <c r="F29" s="190"/>
    </row>
    <row r="30" spans="1:16" s="189" customFormat="1" ht="25" customHeight="1">
      <c r="B30" s="189" t="s">
        <v>77</v>
      </c>
      <c r="D30" s="210">
        <f ca="1">D16</f>
        <v>0.19205332315177293</v>
      </c>
      <c r="E30" s="190"/>
      <c r="F30" s="190"/>
    </row>
    <row r="31" spans="1:16" s="189" customFormat="1" ht="25" customHeight="1">
      <c r="B31" s="189" t="s">
        <v>79</v>
      </c>
      <c r="D31" s="209">
        <f ca="1">D27*D28+D29*D30</f>
        <v>0.10345656751128458</v>
      </c>
      <c r="E31" s="190"/>
      <c r="F31" s="190"/>
    </row>
    <row r="32" spans="1:16" s="189" customFormat="1" ht="25" customHeight="1">
      <c r="E32" s="190"/>
      <c r="F32" s="190"/>
    </row>
    <row r="33" spans="2:19" s="189" customFormat="1" ht="25" customHeight="1">
      <c r="B33" s="211" t="s">
        <v>195</v>
      </c>
      <c r="E33" s="190"/>
      <c r="F33" s="190"/>
    </row>
    <row r="34" spans="2:19" s="211" customFormat="1" ht="25" customHeight="1">
      <c r="B34" s="189" t="s">
        <v>341</v>
      </c>
      <c r="D34" s="209">
        <f ca="1">IF('Master Inputs Start here'!B66="No",'Master Inputs Start here'!B67,IF('Master Inputs Start here'!B71="No",'Master Inputs Start here'!B69*'Master Inputs Start here'!B70,'Master Inputs Start here'!B72*'Master Inputs Start here'!B73))</f>
        <v>0.17608790741161465</v>
      </c>
      <c r="E34" s="212"/>
      <c r="F34" s="212"/>
    </row>
    <row r="35" spans="2:19" s="189" customFormat="1" ht="25" customHeight="1">
      <c r="B35" s="189" t="s">
        <v>393</v>
      </c>
      <c r="D35" s="209">
        <f>IF('Master Inputs Start here'!B63="Yes",'Master Inputs Start here'!B64,'Master Inputs Start here'!B65)</f>
        <v>6.8998375250167221E-2</v>
      </c>
      <c r="E35" s="190" t="s">
        <v>394</v>
      </c>
    </row>
    <row r="36" spans="2:19" s="189" customFormat="1" ht="25" customHeight="1">
      <c r="B36" s="211" t="s">
        <v>296</v>
      </c>
      <c r="E36" s="213"/>
      <c r="F36" s="190"/>
    </row>
    <row r="37" spans="2:19" s="189" customFormat="1" ht="25" customHeight="1">
      <c r="B37" s="199"/>
      <c r="C37" s="214" t="s">
        <v>53</v>
      </c>
      <c r="D37" s="199">
        <f>IF(D14=0," ",1)</f>
        <v>1</v>
      </c>
      <c r="E37" s="199">
        <f>IF(D14&lt;2," ",2)</f>
        <v>2</v>
      </c>
      <c r="F37" s="199">
        <f>IF(D14&lt;3," ",3)</f>
        <v>3</v>
      </c>
      <c r="G37" s="199">
        <f>IF(D14&lt;4," ",4)</f>
        <v>4</v>
      </c>
      <c r="H37" s="199">
        <f>IF(D14&lt;5," ",5)</f>
        <v>5</v>
      </c>
      <c r="I37" s="199">
        <f>IF(D14&lt;6," ",6)</f>
        <v>6</v>
      </c>
      <c r="J37" s="199">
        <f>IF(D14&lt;7," ",7)</f>
        <v>7</v>
      </c>
      <c r="K37" s="199">
        <f>IF(D14&lt;8," ",8)</f>
        <v>8</v>
      </c>
      <c r="L37" s="199">
        <f>IF(D14&lt;9," ",9)</f>
        <v>9</v>
      </c>
      <c r="M37" s="199">
        <f>IF(D14&lt;10," ",10)</f>
        <v>10</v>
      </c>
      <c r="N37" s="199" t="str">
        <f>IF(D14&lt;11," ",11)</f>
        <v xml:space="preserve"> </v>
      </c>
      <c r="O37" s="199" t="str">
        <f>IF(D14&lt;12," ",12)</f>
        <v xml:space="preserve"> </v>
      </c>
      <c r="P37" s="199" t="str">
        <f>IF(D14&lt;13," ",13)</f>
        <v xml:space="preserve"> </v>
      </c>
      <c r="Q37" s="199" t="str">
        <f>IF(D14&lt;14," ",14)</f>
        <v xml:space="preserve"> </v>
      </c>
      <c r="R37" s="199" t="str">
        <f>IF(D14&lt;15," ",15)</f>
        <v xml:space="preserve"> </v>
      </c>
      <c r="S37" s="215" t="s">
        <v>337</v>
      </c>
    </row>
    <row r="38" spans="2:19" s="189" customFormat="1" ht="25" customHeight="1">
      <c r="B38" s="216" t="s">
        <v>341</v>
      </c>
      <c r="C38" s="214"/>
      <c r="D38" s="201">
        <f ca="1">IF($D$14&lt;D37," ",IF('Master Inputs Start here'!$B$75="Yes",IF(D37&lt;'Master Inputs Start here'!$B$58/2,$D$15,$D$51+(($D$15-$D$51)/('Master Inputs Start here'!$B$58/2))*('Master Inputs Start here'!$B$58-'Valuation Model'!D37)),$D$15))</f>
        <v>0.17608790741161465</v>
      </c>
      <c r="E38" s="201">
        <f ca="1">IF($D$14&lt;E37," ",IF('Master Inputs Start here'!$B$75="Yes",IF(E37&lt;'Master Inputs Start here'!$B$58/2,$D$15,$D$51+(($D$15-$D$51)/('Master Inputs Start here'!$B$58/2))*('Master Inputs Start here'!$B$58-'Valuation Model'!E37)),$D$15))</f>
        <v>0.17608790741161465</v>
      </c>
      <c r="F38" s="201">
        <f ca="1">IF($D$14&lt;F37," ",IF('Master Inputs Start here'!$B$75="Yes",IF(F37&lt;'Master Inputs Start here'!$B$58/2,$D$15,$D$51+(($D$15-$D$51)/('Master Inputs Start here'!$B$58/2))*('Master Inputs Start here'!$B$58-'Valuation Model'!F37)),$D$15))</f>
        <v>0.17608790741161465</v>
      </c>
      <c r="G38" s="201">
        <f ca="1">IF($D$14&lt;G37," ",IF('Master Inputs Start here'!$B$75="Yes",IF(G37&lt;'Master Inputs Start here'!$B$58/2,$D$15,$D$51+(($D$15-$D$51)/('Master Inputs Start here'!$B$58/2))*('Master Inputs Start here'!$B$58-'Valuation Model'!G37)),$D$15))</f>
        <v>0.17608790741161465</v>
      </c>
      <c r="H38" s="201">
        <f ca="1">IF($D$14&lt;H37," ",IF('Master Inputs Start here'!$B$75="Yes",IF(H37&lt;'Master Inputs Start here'!$B$58/2,$D$15,$D$51+(($D$15-$D$51)/('Master Inputs Start here'!$B$58/2))*('Master Inputs Start here'!$B$58-'Valuation Model'!H37)),$D$15))</f>
        <v>0.17608790741161465</v>
      </c>
      <c r="I38" s="201">
        <f ca="1">IF($D$14&lt;I37," ",IF('Master Inputs Start here'!$B$75="Yes",IF(I37&lt;'Master Inputs Start here'!$B$58/2,$D$15,$D$51+(($D$15-$D$51)/('Master Inputs Start here'!$B$58/2))*('Master Inputs Start here'!$B$58-'Valuation Model'!I37)),$D$15))</f>
        <v>0.14687032592929172</v>
      </c>
      <c r="J38" s="201">
        <f ca="1">IF($D$14&lt;J37," ",IF('Master Inputs Start here'!$B$75="Yes",IF(J37&lt;'Master Inputs Start here'!$B$58/2,$D$15,$D$51+(($D$15-$D$51)/('Master Inputs Start here'!$B$58/2))*('Master Inputs Start here'!$B$58-'Valuation Model'!J37)),$D$15))</f>
        <v>0.1176527444469688</v>
      </c>
      <c r="K38" s="201">
        <f ca="1">IF($D$14&lt;K37," ",IF('Master Inputs Start here'!$B$75="Yes",IF(K37&lt;'Master Inputs Start here'!$B$58/2,$D$15,$D$51+(($D$15-$D$51)/('Master Inputs Start here'!$B$58/2))*('Master Inputs Start here'!$B$58-'Valuation Model'!K37)),$D$15))</f>
        <v>8.8435162964645861E-2</v>
      </c>
      <c r="L38" s="201">
        <f ca="1">IF($D$14&lt;L37," ",IF('Master Inputs Start here'!$B$75="Yes",IF(L37&lt;'Master Inputs Start here'!$B$58/2,$D$15,$D$51+(($D$15-$D$51)/('Master Inputs Start here'!$B$58/2))*('Master Inputs Start here'!$B$58-'Valuation Model'!L37)),$D$15))</f>
        <v>5.921758148232293E-2</v>
      </c>
      <c r="M38" s="201">
        <f ca="1">IF($D$14&lt;M37," ",IF('Master Inputs Start here'!$B$75="Yes",IF(M37&lt;'Master Inputs Start here'!$B$58/2,$D$15,$D$51+(($D$15-$D$51)/('Master Inputs Start here'!$B$58/2))*('Master Inputs Start here'!$B$58-'Valuation Model'!M37)),$D$15))</f>
        <v>0.03</v>
      </c>
      <c r="N38" s="201" t="str">
        <f>IF($D$14&lt;N37," ",IF('Master Inputs Start here'!$B$75="Yes",IF(N37&lt;'Master Inputs Start here'!$B$58/2,$D$15,$D$51+(($D$15-$D$51)/('Master Inputs Start here'!$B$58/2))*('Master Inputs Start here'!$B$58-'Valuation Model'!N37)),$D$15))</f>
        <v xml:space="preserve"> </v>
      </c>
      <c r="O38" s="201" t="str">
        <f>IF($D$14&lt;O37," ",IF('Master Inputs Start here'!$B$75="Yes",IF(O37&lt;'Master Inputs Start here'!$B$58/2,$D$15,$D$51+(($D$15-$D$51)/('Master Inputs Start here'!$B$58/2))*('Master Inputs Start here'!$B$58-'Valuation Model'!O37)),$D$15))</f>
        <v xml:space="preserve"> </v>
      </c>
      <c r="P38" s="201" t="str">
        <f>IF($D$14&lt;P37," ",IF('Master Inputs Start here'!$B$75="Yes",IF(P37&lt;'Master Inputs Start here'!$B$58/2,$D$15,$D$51+(($D$15-$D$51)/('Master Inputs Start here'!$B$58/2))*('Master Inputs Start here'!$B$58-'Valuation Model'!P37)),$D$15))</f>
        <v xml:space="preserve"> </v>
      </c>
      <c r="Q38" s="201" t="str">
        <f>IF($D$14&lt;Q37," ",IF('Master Inputs Start here'!$B$75="Yes",IF(Q37&lt;'Master Inputs Start here'!$B$58/2,$D$15,$D$51+(($D$15-$D$51)/('Master Inputs Start here'!$B$58/2))*('Master Inputs Start here'!$B$58-'Valuation Model'!Q37)),$D$15))</f>
        <v xml:space="preserve"> </v>
      </c>
      <c r="R38" s="201" t="str">
        <f>IF($D$14&lt;R37," ",IF('Master Inputs Start here'!$B$75="Yes",IF(R37&lt;'Master Inputs Start here'!$B$58/2,$D$15,$D$51+(($D$15-$D$51)/('Master Inputs Start here'!$B$58/2))*('Master Inputs Start here'!$B$58-'Valuation Model'!R37)),$D$15))</f>
        <v xml:space="preserve"> </v>
      </c>
      <c r="S38" s="215"/>
    </row>
    <row r="39" spans="2:19" s="189" customFormat="1" ht="25" customHeight="1">
      <c r="B39" s="216" t="s">
        <v>370</v>
      </c>
      <c r="C39" s="214"/>
      <c r="D39" s="201">
        <f ca="1">IF($D$14&lt;D37," ",(1+D38))</f>
        <v>1.1760879074116146</v>
      </c>
      <c r="E39" s="201">
        <f ca="1">IF($D$14&lt;E37," ",(1+D38)*(1+E38))</f>
        <v>1.3831827659598306</v>
      </c>
      <c r="F39" s="201">
        <f ca="1">IF($D$14&lt;F37," ",(1+D38)*(1+E38)*(1+F38))</f>
        <v>1.6267445247855064</v>
      </c>
      <c r="G39" s="201">
        <f ca="1">IF($D$14&lt;G37," ",(1+D38)*(1+E38)*(1+F38)*(1+G38))</f>
        <v>1.9131945640482877</v>
      </c>
      <c r="H39" s="201">
        <f ca="1">IF($D$14&lt;H37," ",(1+D38)*(1+E38)*(1+F38)*(1+G38)*(1+H38))</f>
        <v>2.2500849913028271</v>
      </c>
      <c r="I39" s="201">
        <f ca="1">IF($D$14&lt;I37," ",(1+D38)*(1+E38)*(1+F38)*(1+G38)*(1+H38)*(1+I38))</f>
        <v>2.580555707344081</v>
      </c>
      <c r="J39" s="201">
        <f ca="1">IF($D$14&lt;J37," ",(1+D38)*(1+E38)*(1+F38)*(1+G38)*(1+H38)*(1+I38)*(1+J38))</f>
        <v>2.8841651685114011</v>
      </c>
      <c r="K39" s="201">
        <f ca="1">IF($D$14&lt;K37," ",(1+D38)*(1+E38)*(1+F38)*(1+G38)*(1+H38)*(1+I38)*(1+J38)*(1+K38))</f>
        <v>3.1392267852056621</v>
      </c>
      <c r="L39" s="201">
        <f ca="1">IF($D$14&lt;L37," ",(1+D38)*(1+E38)*(1+F38)*(1+G38)*(1+H38)*(1+I38)*(1+J38)*(1+K38)*(1+L38))</f>
        <v>3.3251242031500694</v>
      </c>
      <c r="M39" s="201">
        <f ca="1">IF($D$14&lt;M37," ",(1+D38)*(1+E38)*(1+F38)*(1+G38)*(1+H38)*(1+I38)*(1+J38)*(1+K38)*(1+L38)*(1+M38))</f>
        <v>3.4248779292445715</v>
      </c>
      <c r="N39" s="201" t="str">
        <f>IF($D$14&lt;N37," ",(1+D38)*(1+E38)*(1+F38)*(1+G38)*(1+H38)*(1+I38)*(1+J38)*(1+K38)*(1+L38)*(1+M38)*(1+N38))</f>
        <v xml:space="preserve"> </v>
      </c>
      <c r="O39" s="201" t="str">
        <f>IF($D$14&lt;O37," ",(1+D38)*(1+E38)*(1+F38)*(1+G38)*(1+H38)*(1+I38)*(1+J38)*(1+K38)*(1+L38)*(1+M38)*(1+N38)*(1+O38))</f>
        <v xml:space="preserve"> </v>
      </c>
      <c r="P39" s="201" t="str">
        <f>IF($D$14&lt;P37," ",(1+D38)*(1+E38)*(1+F38)*(1+G38)*(1+H38)*(1+I38)*(1+J38)*(1+K38)*(1+L38)*(1+M38)*(1+N38)*(1+O38)*(1+P38))</f>
        <v xml:space="preserve"> </v>
      </c>
      <c r="Q39" s="201" t="str">
        <f>IF($D$14&lt;Q37," ",(1+D38)*(1+E38)*(1+F38)*(1+G38)*(1+H38)*(1+I38)*(1+J38)*(1+K38)*(1+L38)*(1+M38)*(1+N38)*(1+O38)*(1+P38)*(1+Q38))</f>
        <v xml:space="preserve"> </v>
      </c>
      <c r="R39" s="201" t="str">
        <f>IF($D$14&lt;R37," ",(1+D38)*(1+E38)*(1+F38)*(1+G38)*(1+H38)*(1+I38)*(1+J38)*(1+K38)*(1+L38)*(1+M38)*(1+N38)*(1+O38)*(1+P38)*(1+Q38)*(1+R38))</f>
        <v xml:space="preserve"> </v>
      </c>
      <c r="S39" s="215"/>
    </row>
    <row r="40" spans="2:19" s="189" customFormat="1" ht="25" customHeight="1">
      <c r="B40" s="216" t="s">
        <v>27</v>
      </c>
      <c r="C40" s="214"/>
      <c r="D40" s="201">
        <f ca="1">IF($D$14&lt;D37," ",IF('Master Inputs Start here'!$B$75="Yes",IF(D37&lt;'Master Inputs Start here'!$B$58/2,$D$24,$D$52+(($D$24-$D$52)/('Master Inputs Start here'!$B$58/2))*('Master Inputs Start here'!$B$58-'Valuation Model'!D37)),$D$24))</f>
        <v>0.51111582062937322</v>
      </c>
      <c r="E40" s="201">
        <f ca="1">IF($D$14&lt;E37," ",IF('Master Inputs Start here'!$B$75="Yes",IF(E37&lt;'Master Inputs Start here'!$B$58/2,$D$24,$D$52+(($D$24-$D$52)/('Master Inputs Start here'!$B$58/2))*('Master Inputs Start here'!$B$58-'Valuation Model'!E37)),$D$24))</f>
        <v>0.51111582062937322</v>
      </c>
      <c r="F40" s="201">
        <f ca="1">IF($D$14&lt;F37," ",IF('Master Inputs Start here'!$B$75="Yes",IF(F37&lt;'Master Inputs Start here'!$B$58/2,$D$24,$D$52+(($D$24-$D$52)/('Master Inputs Start here'!$B$58/2))*('Master Inputs Start here'!$B$58-'Valuation Model'!F37)),$D$24))</f>
        <v>0.51111582062937322</v>
      </c>
      <c r="G40" s="201">
        <f ca="1">IF($D$14&lt;G37," ",IF('Master Inputs Start here'!$B$75="Yes",IF(G37&lt;'Master Inputs Start here'!$B$58/2,$D$24,$D$52+(($D$24-$D$52)/('Master Inputs Start here'!$B$58/2))*('Master Inputs Start here'!$B$58-'Valuation Model'!G37)),$D$24))</f>
        <v>0.51111582062937322</v>
      </c>
      <c r="H40" s="201">
        <f ca="1">IF($D$14&lt;H37," ",IF('Master Inputs Start here'!$B$75="Yes",IF(H37&lt;'Master Inputs Start here'!$B$58/2,$D$24,$D$52+(($D$24-$D$52)/('Master Inputs Start here'!$B$58/2))*('Master Inputs Start here'!$B$58-'Valuation Model'!H37)),$D$24))</f>
        <v>0.51111582062937322</v>
      </c>
      <c r="I40" s="201">
        <f ca="1">IF($D$14&lt;I37," ",IF('Master Inputs Start here'!$B$75="Yes",IF(I37&lt;'Master Inputs Start here'!$B$58/2,$D$24,$D$52+(($D$24-$D$52)/('Master Inputs Start here'!$B$58/2))*('Master Inputs Start here'!$B$58-'Valuation Model'!I37)),$D$24))</f>
        <v>0.43289265650349856</v>
      </c>
      <c r="J40" s="201">
        <f ca="1">IF($D$14&lt;J37," ",IF('Master Inputs Start here'!$B$75="Yes",IF(J37&lt;'Master Inputs Start here'!$B$58/2,$D$24,$D$52+(($D$24-$D$52)/('Master Inputs Start here'!$B$58/2))*('Master Inputs Start here'!$B$58-'Valuation Model'!J37)),$D$24))</f>
        <v>0.35466949237762391</v>
      </c>
      <c r="K40" s="201">
        <f ca="1">IF($D$14&lt;K37," ",IF('Master Inputs Start here'!$B$75="Yes",IF(K37&lt;'Master Inputs Start here'!$B$58/2,$D$24,$D$52+(($D$24-$D$52)/('Master Inputs Start here'!$B$58/2))*('Master Inputs Start here'!$B$58-'Valuation Model'!K37)),$D$24))</f>
        <v>0.27644632825174931</v>
      </c>
      <c r="L40" s="201">
        <f ca="1">IF($D$14&lt;L37," ",IF('Master Inputs Start here'!$B$75="Yes",IF(L37&lt;'Master Inputs Start here'!$B$58/2,$D$24,$D$52+(($D$24-$D$52)/('Master Inputs Start here'!$B$58/2))*('Master Inputs Start here'!$B$58-'Valuation Model'!L37)),$D$24))</f>
        <v>0.19822316412587465</v>
      </c>
      <c r="M40" s="201">
        <f ca="1">IF($D$14&lt;M37," ",IF('Master Inputs Start here'!$B$75="Yes",IF(M37&lt;'Master Inputs Start here'!$B$58/2,$D$24,$D$52+(($D$24-$D$52)/('Master Inputs Start here'!$B$58/2))*('Master Inputs Start here'!$B$58-'Valuation Model'!M37)),$D$24))</f>
        <v>0.12</v>
      </c>
      <c r="N40" s="201" t="str">
        <f>IF($D$14&lt;N37," ",IF('Master Inputs Start here'!$B$75="Yes",IF(N37&lt;'Master Inputs Start here'!$B$58/2,$D$24,$D$52+(($D$24-$D$52)/('Master Inputs Start here'!$B$58/2))*('Master Inputs Start here'!$B$58-'Valuation Model'!N37)),$D$24))</f>
        <v xml:space="preserve"> </v>
      </c>
      <c r="O40" s="201" t="str">
        <f>IF($D$14&lt;O37," ",IF('Master Inputs Start here'!$B$75="Yes",IF(O37&lt;'Master Inputs Start here'!$B$58/2,$D$24,$D$52+(($D$24-$D$52)/('Master Inputs Start here'!$B$58/2))*('Master Inputs Start here'!$B$58-'Valuation Model'!O37)),$D$24))</f>
        <v xml:space="preserve"> </v>
      </c>
      <c r="P40" s="201" t="str">
        <f>IF($D$14&lt;P37," ",IF('Master Inputs Start here'!$B$75="Yes",IF(P37&lt;'Master Inputs Start here'!$B$58/2,$D$24,$D$52+(($D$24-$D$52)/('Master Inputs Start here'!$B$58/2))*('Master Inputs Start here'!$B$58-'Valuation Model'!P37)),$D$24))</f>
        <v xml:space="preserve"> </v>
      </c>
      <c r="Q40" s="201" t="str">
        <f>IF($D$14&lt;Q37," ",IF('Master Inputs Start here'!$B$75="Yes",IF(Q37&lt;'Master Inputs Start here'!$B$58/2,$D$24,$D$52+(($D$24-$D$52)/('Master Inputs Start here'!$B$58/2))*('Master Inputs Start here'!$B$58-'Valuation Model'!Q37)),$D$24))</f>
        <v xml:space="preserve"> </v>
      </c>
      <c r="R40" s="201" t="str">
        <f>IF($D$14&lt;R37," ",IF('Master Inputs Start here'!$B$75="Yes",IF(R37&lt;'Master Inputs Start here'!$B$58/2,$D$24,$D$52+(($D$24-$D$52)/('Master Inputs Start here'!$B$58/2))*('Master Inputs Start here'!$B$58-'Valuation Model'!R37)),$D$24))</f>
        <v xml:space="preserve"> </v>
      </c>
      <c r="S40" s="215"/>
    </row>
    <row r="41" spans="2:19" s="189" customFormat="1" ht="25" customHeight="1">
      <c r="B41" s="216" t="s">
        <v>188</v>
      </c>
      <c r="C41" s="217">
        <f ca="1">IF('Master Inputs Start here'!B6="yes",D3+'R&amp;D converter'!D40,D3)</f>
        <v>1605.8347190293821</v>
      </c>
      <c r="D41" s="218">
        <f ca="1">IF($D$14&lt;D37," ",C41*(1+D38))</f>
        <v>1888.602794352184</v>
      </c>
      <c r="E41" s="218">
        <f t="shared" ref="E41:R41" ca="1" si="0">IF($D$14&lt;E37," ",D41*(1+E38))</f>
        <v>2221.1629083413882</v>
      </c>
      <c r="F41" s="218">
        <f t="shared" ca="1" si="0"/>
        <v>2612.2828368915193</v>
      </c>
      <c r="G41" s="218">
        <f t="shared" ca="1" si="0"/>
        <v>3072.2742552070231</v>
      </c>
      <c r="H41" s="218">
        <f t="shared" ca="1" si="0"/>
        <v>3613.2645998010048</v>
      </c>
      <c r="I41" s="218">
        <f t="shared" ca="1" si="0"/>
        <v>4143.9459492425503</v>
      </c>
      <c r="J41" s="218">
        <f t="shared" ca="1" si="0"/>
        <v>4631.4925630108355</v>
      </c>
      <c r="K41" s="218">
        <f t="shared" ca="1" si="0"/>
        <v>5041.0793625902443</v>
      </c>
      <c r="L41" s="218">
        <f t="shared" ca="1" si="0"/>
        <v>5339.5998905032893</v>
      </c>
      <c r="M41" s="218">
        <f t="shared" ca="1" si="0"/>
        <v>5499.7878872183883</v>
      </c>
      <c r="N41" s="218" t="str">
        <f t="shared" si="0"/>
        <v xml:space="preserve"> </v>
      </c>
      <c r="O41" s="218" t="str">
        <f t="shared" si="0"/>
        <v xml:space="preserve"> </v>
      </c>
      <c r="P41" s="218" t="str">
        <f t="shared" si="0"/>
        <v xml:space="preserve"> </v>
      </c>
      <c r="Q41" s="218" t="str">
        <f t="shared" si="0"/>
        <v xml:space="preserve"> </v>
      </c>
      <c r="R41" s="218" t="str">
        <f t="shared" si="0"/>
        <v xml:space="preserve"> </v>
      </c>
      <c r="S41" s="215"/>
    </row>
    <row r="42" spans="2:19" s="189" customFormat="1" ht="25" customHeight="1">
      <c r="B42" s="216" t="s">
        <v>561</v>
      </c>
      <c r="C42" s="219">
        <f>'Master Inputs Start here'!B16</f>
        <v>0.316543712371746</v>
      </c>
      <c r="D42" s="201">
        <f>IF($D$14&lt;D37," ",$S$42-($D$14-D37)*($S$42-$C$42)/$D$14)</f>
        <v>0.3188893411345714</v>
      </c>
      <c r="E42" s="201">
        <f t="shared" ref="E42:R42" si="1">IF($D$14&lt;E37," ",$S$42-($D$14-E37)*($S$42-$C$42)/$D$14)</f>
        <v>0.3212349698973968</v>
      </c>
      <c r="F42" s="201">
        <f t="shared" si="1"/>
        <v>0.32358059866022221</v>
      </c>
      <c r="G42" s="201">
        <f t="shared" si="1"/>
        <v>0.32592622742304761</v>
      </c>
      <c r="H42" s="201">
        <f t="shared" si="1"/>
        <v>0.32827185618587301</v>
      </c>
      <c r="I42" s="201">
        <f t="shared" si="1"/>
        <v>0.33061748494869841</v>
      </c>
      <c r="J42" s="201">
        <f t="shared" si="1"/>
        <v>0.33296311371152382</v>
      </c>
      <c r="K42" s="201">
        <f t="shared" si="1"/>
        <v>0.33530874247434922</v>
      </c>
      <c r="L42" s="201">
        <f t="shared" si="1"/>
        <v>0.33765437123717462</v>
      </c>
      <c r="M42" s="201">
        <f t="shared" si="1"/>
        <v>0.34</v>
      </c>
      <c r="N42" s="201" t="str">
        <f t="shared" si="1"/>
        <v xml:space="preserve"> </v>
      </c>
      <c r="O42" s="201" t="str">
        <f t="shared" si="1"/>
        <v xml:space="preserve"> </v>
      </c>
      <c r="P42" s="201" t="str">
        <f t="shared" si="1"/>
        <v xml:space="preserve"> </v>
      </c>
      <c r="Q42" s="201" t="str">
        <f t="shared" si="1"/>
        <v xml:space="preserve"> </v>
      </c>
      <c r="R42" s="201" t="str">
        <f t="shared" si="1"/>
        <v xml:space="preserve"> </v>
      </c>
      <c r="S42" s="209">
        <f>'Master Inputs Start here'!B83</f>
        <v>0.34</v>
      </c>
    </row>
    <row r="43" spans="2:19" s="189" customFormat="1" ht="25" customHeight="1">
      <c r="B43" s="216" t="s">
        <v>283</v>
      </c>
      <c r="C43" s="220">
        <f ca="1">C41*(1-C42)</f>
        <v>1097.5178356123818</v>
      </c>
      <c r="D43" s="220">
        <f ca="1">IF($D$14&lt;D37," ",D41*(1-D42))</f>
        <v>1286.3474935963054</v>
      </c>
      <c r="E43" s="220">
        <f t="shared" ref="E43:R43" ca="1" si="2">IF($D$14&lt;E37," ",E41*(1-E42))</f>
        <v>1507.647708343128</v>
      </c>
      <c r="F43" s="220">
        <f t="shared" ca="1" si="2"/>
        <v>1766.9987926603378</v>
      </c>
      <c r="G43" s="220">
        <f t="shared" ca="1" si="2"/>
        <v>2070.9394975984446</v>
      </c>
      <c r="H43" s="220">
        <f t="shared" ca="1" si="2"/>
        <v>2427.1315227336231</v>
      </c>
      <c r="I43" s="220">
        <f t="shared" ca="1" si="2"/>
        <v>2773.8849617406313</v>
      </c>
      <c r="J43" s="220">
        <f t="shared" ca="1" si="2"/>
        <v>3089.3763780989816</v>
      </c>
      <c r="K43" s="220">
        <f t="shared" ca="1" si="2"/>
        <v>3350.7613808067154</v>
      </c>
      <c r="L43" s="220">
        <f t="shared" ca="1" si="2"/>
        <v>3536.6606468173145</v>
      </c>
      <c r="M43" s="220">
        <f t="shared" ca="1" si="2"/>
        <v>3629.8600055641359</v>
      </c>
      <c r="N43" s="220" t="str">
        <f t="shared" si="2"/>
        <v xml:space="preserve"> </v>
      </c>
      <c r="O43" s="220" t="str">
        <f t="shared" si="2"/>
        <v xml:space="preserve"> </v>
      </c>
      <c r="P43" s="220" t="str">
        <f t="shared" si="2"/>
        <v xml:space="preserve"> </v>
      </c>
      <c r="Q43" s="220" t="str">
        <f t="shared" si="2"/>
        <v xml:space="preserve"> </v>
      </c>
      <c r="R43" s="220" t="str">
        <f t="shared" si="2"/>
        <v xml:space="preserve"> </v>
      </c>
      <c r="S43" s="194">
        <f ca="1">(MAX(C43:R43)/(1-D22))*(1-E22)*(1+D51)</f>
        <v>3738.7558057310603</v>
      </c>
    </row>
    <row r="44" spans="2:19" s="189" customFormat="1" ht="25" customHeight="1">
      <c r="B44" s="216" t="s">
        <v>291</v>
      </c>
      <c r="C44" s="217">
        <f ca="1">D5-D6</f>
        <v>515.10171902938237</v>
      </c>
      <c r="D44" s="220">
        <f ca="1">IF($D$14&lt;D37," ",D40*D43-D45)</f>
        <v>572.29883398901507</v>
      </c>
      <c r="E44" s="220">
        <f t="shared" ref="E44:R44" ca="1" si="3">IF($D$14&lt;E37," ",E40*E43-E45)</f>
        <v>670.41081259001976</v>
      </c>
      <c r="F44" s="220">
        <f t="shared" ca="1" si="3"/>
        <v>785.33021521772093</v>
      </c>
      <c r="G44" s="220">
        <f t="shared" ca="1" si="3"/>
        <v>919.93405679740351</v>
      </c>
      <c r="H44" s="220">
        <f t="shared" ca="1" si="3"/>
        <v>1077.5914203543955</v>
      </c>
      <c r="I44" s="220">
        <f t="shared" ca="1" si="3"/>
        <v>1040.9457445738528</v>
      </c>
      <c r="J44" s="220">
        <f t="shared" ca="1" si="3"/>
        <v>948.85165541715548</v>
      </c>
      <c r="K44" s="220">
        <f t="shared" ca="1" si="3"/>
        <v>802.932376576764</v>
      </c>
      <c r="L44" s="220">
        <f t="shared" ca="1" si="3"/>
        <v>611.12948279188072</v>
      </c>
      <c r="M44" s="220">
        <f t="shared" ca="1" si="3"/>
        <v>387.33232335578566</v>
      </c>
      <c r="N44" s="220" t="str">
        <f t="shared" si="3"/>
        <v xml:space="preserve"> </v>
      </c>
      <c r="O44" s="220" t="str">
        <f t="shared" si="3"/>
        <v xml:space="preserve"> </v>
      </c>
      <c r="P44" s="194" t="str">
        <f t="shared" si="3"/>
        <v xml:space="preserve"> </v>
      </c>
      <c r="Q44" s="194" t="str">
        <f t="shared" si="3"/>
        <v xml:space="preserve"> </v>
      </c>
      <c r="R44" s="194" t="str">
        <f t="shared" si="3"/>
        <v xml:space="preserve"> </v>
      </c>
      <c r="S44" s="194">
        <f ca="1">IF('Master Inputs Start here'!B85="yes",'Valuation Model'!E24*S43-S45,('Master Inputs Start here'!B87-1)*D6*(1+'Valuation Model'!D34)^D14*(1+D51))</f>
        <v>375.18320919332763</v>
      </c>
    </row>
    <row r="45" spans="2:19" s="189" customFormat="1" ht="25" customHeight="1">
      <c r="B45" s="216" t="s">
        <v>223</v>
      </c>
      <c r="C45" s="220">
        <f>D10</f>
        <v>45.857010175013677</v>
      </c>
      <c r="D45" s="220">
        <f ca="1">IF($D$14&lt;D37," ",($D$8*(D39-1)*$D$35))</f>
        <v>85.173720814997949</v>
      </c>
      <c r="E45" s="220">
        <f ca="1">IF($D$14&lt;E37," ",($D$8*(E39-D39)*$D$35))</f>
        <v>100.17178307977203</v>
      </c>
      <c r="F45" s="220">
        <f t="shared" ref="F45:R45" ca="1" si="4">IF($D$14&lt;F37," ",($D$8*(F39-E39)*$D$35))</f>
        <v>117.81082274397932</v>
      </c>
      <c r="G45" s="220">
        <f t="shared" ca="1" si="4"/>
        <v>138.55588399140728</v>
      </c>
      <c r="H45" s="220">
        <f t="shared" ca="1" si="4"/>
        <v>162.95389966302068</v>
      </c>
      <c r="I45" s="220">
        <f t="shared" ca="1" si="4"/>
        <v>159.84868534915444</v>
      </c>
      <c r="J45" s="220">
        <f t="shared" ca="1" si="4"/>
        <v>146.85589636663266</v>
      </c>
      <c r="K45" s="220">
        <f t="shared" ca="1" si="4"/>
        <v>123.37330399501397</v>
      </c>
      <c r="L45" s="220">
        <f t="shared" ca="1" si="4"/>
        <v>89.918581059709766</v>
      </c>
      <c r="M45" s="220">
        <f t="shared" ca="1" si="4"/>
        <v>48.250877311910628</v>
      </c>
      <c r="N45" s="220" t="str">
        <f t="shared" si="4"/>
        <v xml:space="preserve"> </v>
      </c>
      <c r="O45" s="220" t="str">
        <f t="shared" si="4"/>
        <v xml:space="preserve"> </v>
      </c>
      <c r="P45" s="194" t="str">
        <f t="shared" si="4"/>
        <v xml:space="preserve"> </v>
      </c>
      <c r="Q45" s="194" t="str">
        <f t="shared" si="4"/>
        <v xml:space="preserve"> </v>
      </c>
      <c r="R45" s="194" t="str">
        <f t="shared" si="4"/>
        <v xml:space="preserve"> </v>
      </c>
      <c r="S45" s="194">
        <f ca="1">(D8*(1+D34)^D14*(1+D51)-D8*(1+D34)^D14)*D35</f>
        <v>73.467487494399549</v>
      </c>
    </row>
    <row r="46" spans="2:19" s="189" customFormat="1" ht="25" customHeight="1">
      <c r="B46" s="216" t="s">
        <v>179</v>
      </c>
      <c r="C46" s="220">
        <f ca="1">C43-C44-C45</f>
        <v>536.55910640798572</v>
      </c>
      <c r="D46" s="220">
        <f ca="1">IF($D$14&lt;D37," ",D43-D44-D45)</f>
        <v>628.87493879229237</v>
      </c>
      <c r="E46" s="220">
        <f t="shared" ref="E46:R46" ca="1" si="5">IF($D$14&lt;E37," ",E43-E44-E45)</f>
        <v>737.06511267333622</v>
      </c>
      <c r="F46" s="220">
        <f t="shared" ca="1" si="5"/>
        <v>863.85775469863756</v>
      </c>
      <c r="G46" s="220">
        <f t="shared" ca="1" si="5"/>
        <v>1012.4495568096337</v>
      </c>
      <c r="H46" s="220">
        <f t="shared" ca="1" si="5"/>
        <v>1186.586202716207</v>
      </c>
      <c r="I46" s="220">
        <f t="shared" ca="1" si="5"/>
        <v>1573.090531817624</v>
      </c>
      <c r="J46" s="220">
        <f t="shared" ca="1" si="5"/>
        <v>1993.6688263151934</v>
      </c>
      <c r="K46" s="220">
        <f t="shared" ca="1" si="5"/>
        <v>2424.4557002349375</v>
      </c>
      <c r="L46" s="220">
        <f t="shared" ca="1" si="5"/>
        <v>2835.6125829657244</v>
      </c>
      <c r="M46" s="220">
        <f t="shared" ca="1" si="5"/>
        <v>3194.2768048964394</v>
      </c>
      <c r="N46" s="220" t="str">
        <f t="shared" si="5"/>
        <v xml:space="preserve"> </v>
      </c>
      <c r="O46" s="220" t="str">
        <f t="shared" si="5"/>
        <v xml:space="preserve"> </v>
      </c>
      <c r="P46" s="194" t="str">
        <f t="shared" si="5"/>
        <v xml:space="preserve"> </v>
      </c>
      <c r="Q46" s="194" t="str">
        <f t="shared" si="5"/>
        <v xml:space="preserve"> </v>
      </c>
      <c r="R46" s="194" t="str">
        <f t="shared" si="5"/>
        <v xml:space="preserve"> </v>
      </c>
      <c r="S46" s="221">
        <f ca="1">S43-S44-S45</f>
        <v>3290.1051090433334</v>
      </c>
    </row>
    <row r="47" spans="2:19" s="189" customFormat="1" ht="25" customHeight="1">
      <c r="B47" s="216" t="s">
        <v>78</v>
      </c>
      <c r="C47" s="194"/>
      <c r="D47" s="201">
        <f ca="1">IF($D$14&lt;D37," ",IF('Master Inputs Start here'!$B$75="Yes",IF(D37&lt;'Master Inputs Start here'!$B$58/2,$D$31,$D$58+(($D$31-$D$58)/('Master Inputs Start here'!$B$58/2))*('Master Inputs Start here'!$B$58-'Valuation Model'!D37)),$D$31))</f>
        <v>0.10345656751128458</v>
      </c>
      <c r="E47" s="201">
        <f ca="1">IF($D$14&lt;E37," ",IF('Master Inputs Start here'!$B$75="Yes",IF(E37&lt;'Master Inputs Start here'!$B$58/2,$D$31,$D$58+(($D$31-$D$58)/('Master Inputs Start here'!$B$58/2))*('Master Inputs Start here'!$B$58-'Valuation Model'!E37)),$D$31))</f>
        <v>0.10345656751128458</v>
      </c>
      <c r="F47" s="201">
        <f ca="1">IF($D$14&lt;F37," ",IF('Master Inputs Start here'!$B$75="Yes",IF(F37&lt;'Master Inputs Start here'!$B$58/2,$D$31,$D$58+(($D$31-$D$58)/('Master Inputs Start here'!$B$58/2))*('Master Inputs Start here'!$B$58-'Valuation Model'!F37)),$D$31))</f>
        <v>0.10345656751128458</v>
      </c>
      <c r="G47" s="201">
        <f ca="1">IF($D$14&lt;G37," ",IF('Master Inputs Start here'!$B$75="Yes",IF(G37&lt;'Master Inputs Start here'!$B$58/2,$D$31,$D$58+(($D$31-$D$58)/('Master Inputs Start here'!$B$58/2))*('Master Inputs Start here'!$B$58-'Valuation Model'!G37)),$D$31))</f>
        <v>0.10345656751128458</v>
      </c>
      <c r="H47" s="201">
        <f ca="1">IF($D$14&lt;H37," ",IF('Master Inputs Start here'!$B$75="Yes",IF(H37&lt;'Master Inputs Start here'!$B$58/2,$D$31,$D$58+(($D$31-$D$58)/('Master Inputs Start here'!$B$58/2))*('Master Inputs Start here'!$B$58-'Valuation Model'!H37)),$D$31))</f>
        <v>0.10345656751128458</v>
      </c>
      <c r="I47" s="201">
        <f ca="1">IF($D$14&lt;I37," ",IF('Master Inputs Start here'!$B$75="Yes",IF(I37&lt;'Master Inputs Start here'!$B$58/2,$D$31,$D$58+(($D$31-$D$58)/('Master Inputs Start here'!$B$58/2))*('Master Inputs Start here'!$B$58-'Valuation Model'!I37)),$D$31))</f>
        <v>0.10102925400902767</v>
      </c>
      <c r="J47" s="201">
        <f ca="1">IF($D$14&lt;J37," ",IF('Master Inputs Start here'!$B$75="Yes",IF(J37&lt;'Master Inputs Start here'!$B$58/2,$D$31,$D$58+(($D$31-$D$58)/('Master Inputs Start here'!$B$58/2))*('Master Inputs Start here'!$B$58-'Valuation Model'!J37)),$D$31))</f>
        <v>9.8601940506770749E-2</v>
      </c>
      <c r="K47" s="201">
        <f ca="1">IF($D$14&lt;K37," ",IF('Master Inputs Start here'!$B$75="Yes",IF(K37&lt;'Master Inputs Start here'!$B$58/2,$D$31,$D$58+(($D$31-$D$58)/('Master Inputs Start here'!$B$58/2))*('Master Inputs Start here'!$B$58-'Valuation Model'!K37)),$D$31))</f>
        <v>9.6174627004513832E-2</v>
      </c>
      <c r="L47" s="201">
        <f ca="1">IF($D$14&lt;L37," ",IF('Master Inputs Start here'!$B$75="Yes",IF(L37&lt;'Master Inputs Start here'!$B$58/2,$D$31,$D$58+(($D$31-$D$58)/('Master Inputs Start here'!$B$58/2))*('Master Inputs Start here'!$B$58-'Valuation Model'!L37)),$D$31))</f>
        <v>9.3747313502256915E-2</v>
      </c>
      <c r="M47" s="201">
        <f ca="1">IF($D$14&lt;M37," ",IF('Master Inputs Start here'!$B$75="Yes",IF(M37&lt;'Master Inputs Start here'!$B$58/2,$D$31,$D$58+(($D$31-$D$58)/('Master Inputs Start here'!$B$58/2))*('Master Inputs Start here'!$B$58-'Valuation Model'!M37)),$D$31))</f>
        <v>9.1319999999999998E-2</v>
      </c>
      <c r="N47" s="201" t="str">
        <f>IF($D$14&lt;N37," ",IF('Master Inputs Start here'!$B$75="Yes",IF(N37&lt;'Master Inputs Start here'!$B$58/2,$D$31,$D$58+(($D$31-$D$58)/('Master Inputs Start here'!$B$58/2))*('Master Inputs Start here'!$B$58-'Valuation Model'!N37)),$D$31))</f>
        <v xml:space="preserve"> </v>
      </c>
      <c r="O47" s="201" t="str">
        <f>IF($D$14&lt;O37," ",IF('Master Inputs Start here'!$B$75="Yes",IF(O37&lt;'Master Inputs Start here'!$B$58/2,$D$31,$D$58+(($D$31-$D$58)/('Master Inputs Start here'!$B$58/2))*('Master Inputs Start here'!$B$58-'Valuation Model'!O37)),$D$31))</f>
        <v xml:space="preserve"> </v>
      </c>
      <c r="P47" s="201" t="str">
        <f>IF($D$14&lt;P37," ",IF('Master Inputs Start here'!$B$75="Yes",IF(P37&lt;'Master Inputs Start here'!$B$58/2,$D$31,$D$58+(($D$31-$D$58)/('Master Inputs Start here'!$B$58/2))*('Master Inputs Start here'!$B$58-'Valuation Model'!P37)),$D$31))</f>
        <v xml:space="preserve"> </v>
      </c>
      <c r="Q47" s="201" t="str">
        <f>IF($D$14&lt;Q37," ",IF('Master Inputs Start here'!$B$75="Yes",IF(Q37&lt;'Master Inputs Start here'!$B$58/2,$D$31,$D$58+(($D$31-$D$58)/('Master Inputs Start here'!$B$58/2))*('Master Inputs Start here'!$B$58-'Valuation Model'!Q37)),$D$31))</f>
        <v xml:space="preserve"> </v>
      </c>
      <c r="R47" s="201" t="str">
        <f>IF($D$14&lt;R37," ",IF('Master Inputs Start here'!$B$75="Yes",IF(R37&lt;'Master Inputs Start here'!$B$58/2,$D$31,$D$58+(($D$31-$D$58)/('Master Inputs Start here'!$B$58/2))*('Master Inputs Start here'!$B$58-'Valuation Model'!R37)),$D$31))</f>
        <v xml:space="preserve"> </v>
      </c>
      <c r="S47" s="221"/>
    </row>
    <row r="48" spans="2:19" s="189" customFormat="1" ht="25" customHeight="1">
      <c r="B48" s="216" t="s">
        <v>85</v>
      </c>
      <c r="C48" s="194"/>
      <c r="D48" s="222">
        <f ca="1">IF($D$14&lt;D37," ",(1+D47))</f>
        <v>1.1034565675112846</v>
      </c>
      <c r="E48" s="222">
        <f ca="1">IF($D$14&lt;E37," ",(1+D47)*(1+E47))</f>
        <v>1.2176163963837863</v>
      </c>
      <c r="F48" s="222">
        <f ca="1">IF($D$14&lt;F37," ",(1+D47)*(1+E47)*(1+F47))</f>
        <v>1.3435868092991126</v>
      </c>
      <c r="G48" s="222">
        <f ca="1">IF($D$14&lt;G37," ",(1+D47)*(1+E47)*(1+F47)*(1+G47))</f>
        <v>1.4825896887426377</v>
      </c>
      <c r="H48" s="222">
        <f ca="1">IF($D$14&lt;H37," ",(1+D47)*(1+E47)*(1+F47)*(1+G47)*(1+H47))</f>
        <v>1.6359733289675749</v>
      </c>
      <c r="I48" s="222">
        <f ca="1">IF($D$14&lt;I37," ",(1+D47)*(1+E47)*(1+F47)*(1+G47)*(1+H47)*(1+I47))</f>
        <v>1.8012544939718345</v>
      </c>
      <c r="J48" s="222">
        <f ca="1">IF($D$14&lt;J37," ",(1+D47)*(1+E47)*(1+F47)*(1+G47)*(1+H47)*(1+I47)*(1+J47))</f>
        <v>1.9788616824239988</v>
      </c>
      <c r="K48" s="222">
        <f ca="1">IF($D$14&lt;K37," ",(1+D47)*(1+E47)*(1+F47)*(1+G47)*(1+H47)*(1+I47)*(1+J47)*(1+K47))</f>
        <v>2.1691779666246518</v>
      </c>
      <c r="L48" s="222">
        <f ca="1">IF($D$14&lt;L37," ",(1+D47)*(1+E47)*(1+F47)*(1+G47)*(1+H47)*(1+I47)*(1+J47)*(1+K47)*(1+L47))</f>
        <v>2.3725325735040013</v>
      </c>
      <c r="M48" s="222">
        <f ca="1">IF($D$14&lt;M37," ",(1+D47)*(1+E47)*(1+F47)*(1+G47)*(1+H47)*(1+I47)*(1+J47)*(1+K47)*(1+L47)*(1+M47))</f>
        <v>2.5891922481163867</v>
      </c>
      <c r="N48" s="222" t="str">
        <f>IF($D$14&lt;N37," ",(1+D47)*(1+E47)*(1+F47)*(1+G47)*(1+H47)*(1+I47)*(1+J47)*(1+K47)*(1+L47)*(1+M47)*(1+N47))</f>
        <v xml:space="preserve"> </v>
      </c>
      <c r="O48" s="222" t="str">
        <f>IF($D$14&lt;O37," ",(1+D47)*(1+E47)*(1+F47)*(1+G47)*(1+H47)*(1+I47)*(1+J47)*(1+K47)*(1+L47)*(1+M47)*(1+N47)*(1+O47))</f>
        <v xml:space="preserve"> </v>
      </c>
      <c r="P48" s="201" t="str">
        <f>IF($D$14&lt;P37," ",(1+D47)*(1+E47)*(1+F47)*(1+G47)*(1+H47)*(1+I47)*(1+J47)*(1+K47)*(1+L47)*(1+M47)*(1+N47)*(1+O47)*(1+P47))</f>
        <v xml:space="preserve"> </v>
      </c>
      <c r="Q48" s="201" t="str">
        <f>IF($D$14&lt;Q37," ",(1+D47)*(1+E47)*(1+F47)*(1+G47)*(1+H47)*(1+I47)*(1+J47)*(1+K47)*(1+L47)*(1+M47)*(1+N47)*(1+O47)*(1+P47)*(1+Q47))</f>
        <v xml:space="preserve"> </v>
      </c>
      <c r="R48" s="201" t="str">
        <f>IF($D$14&lt;R37," ",(1+D47)*(1+E47)*(1+F47)*(1+G47)*(1+H47)*(1+I47)*(1+J47)*(1+K47)*(1+L47)*(1+M47)*(1+N47)*(1+O47)*(1+P47)*(1+Q47)*(1+R47))</f>
        <v xml:space="preserve"> </v>
      </c>
      <c r="S48" s="221"/>
    </row>
    <row r="49" spans="2:19" s="189" customFormat="1" ht="25" customHeight="1">
      <c r="B49" s="199" t="s">
        <v>318</v>
      </c>
      <c r="C49" s="223"/>
      <c r="D49" s="224">
        <f ca="1">IF($D$14&lt;D37," ",D46/D48)</f>
        <v>569.91363077447193</v>
      </c>
      <c r="E49" s="224">
        <f t="shared" ref="E49:R49" ca="1" si="6">IF($D$14&lt;E37," ",E46/E48)</f>
        <v>605.33441801732863</v>
      </c>
      <c r="F49" s="224">
        <f t="shared" ca="1" si="6"/>
        <v>642.94896966819169</v>
      </c>
      <c r="G49" s="224">
        <f t="shared" ca="1" si="6"/>
        <v>682.89261991851367</v>
      </c>
      <c r="H49" s="224">
        <f t="shared" ca="1" si="6"/>
        <v>725.30901433768133</v>
      </c>
      <c r="I49" s="224">
        <f t="shared" ca="1" si="6"/>
        <v>873.33052441073983</v>
      </c>
      <c r="J49" s="224">
        <f t="shared" ca="1" si="6"/>
        <v>1007.4826573391712</v>
      </c>
      <c r="K49" s="224">
        <f t="shared" ca="1" si="6"/>
        <v>1117.68408933616</v>
      </c>
      <c r="L49" s="224">
        <f t="shared" ca="1" si="6"/>
        <v>1195.1838363077977</v>
      </c>
      <c r="M49" s="224">
        <f t="shared" ca="1" si="6"/>
        <v>1233.6962646247091</v>
      </c>
      <c r="N49" s="224" t="str">
        <f t="shared" si="6"/>
        <v xml:space="preserve"> </v>
      </c>
      <c r="O49" s="224" t="str">
        <f t="shared" si="6"/>
        <v xml:space="preserve"> </v>
      </c>
      <c r="P49" s="223" t="str">
        <f t="shared" si="6"/>
        <v xml:space="preserve"> </v>
      </c>
      <c r="Q49" s="223" t="str">
        <f t="shared" si="6"/>
        <v xml:space="preserve"> </v>
      </c>
      <c r="R49" s="223" t="str">
        <f t="shared" si="6"/>
        <v xml:space="preserve"> </v>
      </c>
      <c r="S49" s="215"/>
    </row>
    <row r="50" spans="2:19" s="189" customFormat="1" ht="25" customHeight="1">
      <c r="D50" s="225"/>
      <c r="E50" s="190"/>
      <c r="F50" s="190"/>
      <c r="S50" s="226"/>
    </row>
    <row r="51" spans="2:19" s="189" customFormat="1" ht="25" customHeight="1">
      <c r="B51" s="189" t="s">
        <v>273</v>
      </c>
      <c r="D51" s="209">
        <f>'Master Inputs Start here'!B78</f>
        <v>0.03</v>
      </c>
      <c r="E51" s="190"/>
    </row>
    <row r="52" spans="2:19" s="189" customFormat="1" ht="25" customHeight="1">
      <c r="B52" s="189" t="s">
        <v>369</v>
      </c>
      <c r="D52" s="209">
        <f ca="1">(S44+S45)/S43</f>
        <v>0.12</v>
      </c>
      <c r="E52" s="190"/>
    </row>
    <row r="53" spans="2:19" s="189" customFormat="1" ht="25" customHeight="1">
      <c r="B53" s="189" t="s">
        <v>274</v>
      </c>
      <c r="D53" s="194">
        <f ca="1">S46</f>
        <v>3290.1051090433334</v>
      </c>
      <c r="E53" s="190"/>
    </row>
    <row r="54" spans="2:19" s="189" customFormat="1" ht="25" customHeight="1">
      <c r="B54" s="189" t="s">
        <v>338</v>
      </c>
      <c r="D54" s="209">
        <f>E18+E17*E19</f>
        <v>0.105</v>
      </c>
      <c r="E54" s="190"/>
    </row>
    <row r="55" spans="2:19" s="189" customFormat="1" ht="25" customHeight="1">
      <c r="B55" s="189" t="s">
        <v>227</v>
      </c>
      <c r="D55" s="209">
        <f>1-E16</f>
        <v>0.7</v>
      </c>
      <c r="E55" s="190"/>
    </row>
    <row r="56" spans="2:19" s="189" customFormat="1" ht="25" customHeight="1">
      <c r="B56" s="189" t="s">
        <v>342</v>
      </c>
      <c r="D56" s="209">
        <f>E20*(1-E22)</f>
        <v>5.9399999999999988E-2</v>
      </c>
      <c r="E56" s="190"/>
    </row>
    <row r="57" spans="2:19" s="189" customFormat="1" ht="25" customHeight="1">
      <c r="B57" s="189" t="s">
        <v>142</v>
      </c>
      <c r="D57" s="209">
        <f>1-D55</f>
        <v>0.30000000000000004</v>
      </c>
      <c r="E57" s="190"/>
    </row>
    <row r="58" spans="2:19" s="189" customFormat="1" ht="25" customHeight="1">
      <c r="B58" s="189" t="s">
        <v>292</v>
      </c>
      <c r="D58" s="209">
        <f>D54*D55+D56*D57</f>
        <v>9.1319999999999998E-2</v>
      </c>
      <c r="E58" s="190"/>
    </row>
    <row r="59" spans="2:19" s="227" customFormat="1" ht="25" customHeight="1">
      <c r="B59" s="227" t="s">
        <v>97</v>
      </c>
      <c r="D59" s="223">
        <f ca="1">D53/(D58-D51)</f>
        <v>53654.682143563819</v>
      </c>
      <c r="E59" s="228"/>
    </row>
    <row r="60" spans="2:19" s="189" customFormat="1" ht="25" customHeight="1">
      <c r="B60" s="241" t="s">
        <v>54</v>
      </c>
      <c r="C60" s="241"/>
      <c r="D60" s="241"/>
      <c r="E60" s="241"/>
      <c r="F60" s="241"/>
      <c r="G60" s="241"/>
      <c r="H60" s="241"/>
      <c r="I60" s="241"/>
      <c r="J60" s="241"/>
      <c r="K60" s="241"/>
    </row>
    <row r="61" spans="2:19" s="189" customFormat="1" ht="25" customHeight="1">
      <c r="B61" s="227" t="s">
        <v>98</v>
      </c>
      <c r="C61" s="227"/>
      <c r="D61" s="227"/>
      <c r="E61" s="228"/>
      <c r="F61" s="229">
        <f ca="1">SUM(D49:R49)</f>
        <v>8653.7760247347651</v>
      </c>
    </row>
    <row r="62" spans="2:19" s="189" customFormat="1" ht="25" customHeight="1">
      <c r="B62" s="227" t="s">
        <v>144</v>
      </c>
      <c r="C62" s="227"/>
      <c r="D62" s="227"/>
      <c r="E62" s="228"/>
      <c r="F62" s="229">
        <f ca="1">IF('Master Inputs Start here'!B58=0,'Valuation Model'!D59,D59/MAX(D48:R48))</f>
        <v>20722.556304035399</v>
      </c>
      <c r="G62" s="230"/>
    </row>
    <row r="63" spans="2:19" s="189" customFormat="1" ht="25" customHeight="1">
      <c r="B63" s="227" t="s">
        <v>115</v>
      </c>
      <c r="C63" s="227"/>
      <c r="D63" s="227"/>
      <c r="E63" s="228"/>
      <c r="F63" s="229">
        <f ca="1">F61+F62</f>
        <v>29376.332328770164</v>
      </c>
    </row>
    <row r="64" spans="2:19" s="189" customFormat="1" ht="25" customHeight="1">
      <c r="B64" s="227" t="s">
        <v>349</v>
      </c>
      <c r="C64" s="227"/>
      <c r="D64" s="227"/>
      <c r="E64" s="228"/>
      <c r="F64" s="229">
        <f>'Master Inputs Start here'!B24+'Master Inputs Start here'!B25</f>
        <v>1570</v>
      </c>
    </row>
    <row r="65" spans="2:6" s="189" customFormat="1" ht="25" customHeight="1">
      <c r="B65" s="227" t="s">
        <v>256</v>
      </c>
      <c r="C65" s="227"/>
      <c r="D65" s="227"/>
      <c r="E65" s="228"/>
      <c r="F65" s="229">
        <f ca="1">F63+F64</f>
        <v>30946.332328770164</v>
      </c>
    </row>
    <row r="66" spans="2:6" s="189" customFormat="1" ht="25" customHeight="1">
      <c r="B66" s="227" t="s">
        <v>145</v>
      </c>
      <c r="C66" s="227"/>
      <c r="D66" s="227"/>
      <c r="E66" s="228"/>
      <c r="F66" s="229">
        <f ca="1">IF('Master Inputs Start here'!B7="Yes",IF('Master Inputs Start here'!B29="Yes",'Master Inputs Start here'!B33+'Operating lease converter'!F35,'Master Inputs Start here'!B21+'Operating lease converter'!F35),IF('Master Inputs Start here'!B29="Yes",'Master Inputs Start here'!B33,'Master Inputs Start here'!B21))</f>
        <v>4025.5416858237068</v>
      </c>
    </row>
    <row r="67" spans="2:6" s="189" customFormat="1" ht="25" customHeight="1">
      <c r="B67" s="227" t="s">
        <v>406</v>
      </c>
      <c r="C67" s="227"/>
      <c r="D67" s="227"/>
      <c r="E67" s="228"/>
      <c r="F67" s="229">
        <f>'Master Inputs Start here'!B26</f>
        <v>17.7</v>
      </c>
    </row>
    <row r="68" spans="2:6" s="189" customFormat="1" ht="25" customHeight="1">
      <c r="B68" s="227" t="s">
        <v>146</v>
      </c>
      <c r="C68" s="227"/>
      <c r="D68" s="227"/>
      <c r="E68" s="228"/>
      <c r="F68" s="229">
        <f ca="1">F65-F66-F67</f>
        <v>26903.090642946456</v>
      </c>
    </row>
    <row r="69" spans="2:6" s="189" customFormat="1" ht="25" customHeight="1">
      <c r="B69" s="227" t="s">
        <v>191</v>
      </c>
      <c r="C69" s="227"/>
      <c r="D69" s="227"/>
      <c r="E69" s="228"/>
      <c r="F69" s="231">
        <f>IF('Master Inputs Start here'!B49="Yes",'Option Value'!D27*(1-'Master Inputs Start here'!B17),0)</f>
        <v>0</v>
      </c>
    </row>
    <row r="70" spans="2:6" s="189" customFormat="1" ht="25" customHeight="1">
      <c r="B70" s="227" t="s">
        <v>192</v>
      </c>
      <c r="C70" s="227"/>
      <c r="D70" s="227"/>
      <c r="E70" s="228"/>
      <c r="F70" s="231">
        <f ca="1">F68-F69</f>
        <v>26903.090642946456</v>
      </c>
    </row>
    <row r="71" spans="2:6" s="189" customFormat="1" ht="25" customHeight="1">
      <c r="B71" s="227" t="s">
        <v>656</v>
      </c>
      <c r="C71" s="227"/>
      <c r="D71" s="227"/>
      <c r="E71" s="228"/>
      <c r="F71" s="231">
        <f ca="1">F70/'Master Inputs Start here'!B32</f>
        <v>60.907262784208278</v>
      </c>
    </row>
    <row r="72" spans="2:6" s="189" customFormat="1" ht="25" customHeight="1">
      <c r="B72" s="227" t="s">
        <v>657</v>
      </c>
      <c r="E72" s="190"/>
      <c r="F72" s="191">
        <f>'Master Inputs Start here'!B31</f>
        <v>38.340000000000003</v>
      </c>
    </row>
    <row r="73" spans="2:6" s="189" customFormat="1" ht="25" customHeight="1">
      <c r="B73" s="227" t="s">
        <v>658</v>
      </c>
      <c r="F73" s="232">
        <f ca="1">F72/F71-1</f>
        <v>-0.37051842017860959</v>
      </c>
    </row>
  </sheetData>
  <scenarios current="0" show="0" sqref="F167">
    <scenario name="LifeHighGrowthWhat-if" locked="1" count="1" user="Aswath Damodaran" comment="Created by Aswath Damodaran on 6/21/99">
      <inputCells r="E26" undone="1" val="10" numFmtId="1"/>
    </scenario>
  </scenarios>
  <mergeCells count="3">
    <mergeCell ref="B1:J1"/>
    <mergeCell ref="B60:K60"/>
    <mergeCell ref="F13:O13"/>
  </mergeCells>
  <phoneticPr fontId="25" type="noConversion"/>
  <printOptions gridLinesSet="0"/>
  <pageMargins left="0.75" right="0.75" top="1" bottom="1" header="0.5" footer="0.5"/>
  <pageSetup scale="80" orientation="landscape" horizontalDpi="4294967292" verticalDpi="4294967292"/>
  <headerFooter alignWithMargins="0">
    <oddHeader>&amp;C Two-Stage FCFF Discount Model</oddHeader>
    <oddFooter>Page &amp;p</oddFooter>
  </headerFooter>
  <rowBreaks count="1" manualBreakCount="1">
    <brk id="25" max="16383"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
  <sheetViews>
    <sheetView workbookViewId="0">
      <selection activeCell="G63" sqref="G63"/>
    </sheetView>
  </sheetViews>
  <sheetFormatPr baseColWidth="10" defaultRowHeight="14"/>
  <cols>
    <col min="5" max="5" width="10.7109375" style="34"/>
  </cols>
  <sheetData>
    <row r="1" spans="1:5" s="14" customFormat="1" ht="18">
      <c r="A1" s="14" t="s">
        <v>141</v>
      </c>
      <c r="D1" s="33"/>
      <c r="E1" s="33"/>
    </row>
    <row r="2" spans="1:5" s="1" customFormat="1" ht="13">
      <c r="A2" s="1" t="s">
        <v>309</v>
      </c>
      <c r="D2" s="59">
        <v>3</v>
      </c>
      <c r="E2" s="5"/>
    </row>
    <row r="3" spans="1:5" s="1" customFormat="1" ht="13">
      <c r="E3" s="5"/>
    </row>
    <row r="4" spans="1:5" s="3" customFormat="1" ht="13">
      <c r="A4" s="3" t="s">
        <v>86</v>
      </c>
      <c r="E4" s="9"/>
    </row>
    <row r="5" spans="1:5" s="1" customFormat="1" ht="13">
      <c r="A5" s="1" t="s">
        <v>96</v>
      </c>
      <c r="D5" s="59">
        <v>3500</v>
      </c>
    </row>
    <row r="6" spans="1:5" s="1" customFormat="1" ht="13">
      <c r="D6" s="5"/>
    </row>
    <row r="7" spans="1:5" s="3" customFormat="1" ht="13">
      <c r="A7" s="3" t="s">
        <v>255</v>
      </c>
      <c r="D7" s="9"/>
    </row>
    <row r="8" spans="1:5" s="1" customFormat="1" ht="13">
      <c r="A8" s="1" t="s">
        <v>241</v>
      </c>
      <c r="D8" s="63">
        <v>0.22</v>
      </c>
    </row>
    <row r="9" spans="1:5" s="1" customFormat="1" ht="13">
      <c r="D9" s="5"/>
    </row>
    <row r="10" spans="1:5" s="3" customFormat="1" ht="13">
      <c r="A10" s="3" t="s">
        <v>242</v>
      </c>
      <c r="D10" s="9"/>
    </row>
    <row r="11" spans="1:5" s="1" customFormat="1" ht="13">
      <c r="A11" s="1" t="s">
        <v>45</v>
      </c>
      <c r="D11" s="61">
        <f>G21</f>
        <v>0.14716703458425312</v>
      </c>
      <c r="E11" s="1" t="s">
        <v>46</v>
      </c>
    </row>
    <row r="12" spans="1:5" s="1" customFormat="1" ht="13">
      <c r="E12" s="5"/>
    </row>
    <row r="14" spans="1:5" s="1" customFormat="1" ht="13">
      <c r="A14" s="1" t="s">
        <v>94</v>
      </c>
      <c r="D14" s="64">
        <f>IF(D2=1,D5,(IF(D2=2,D8*('Master Inputs Start here'!B21+'Master Inputs Start here'!B22),'Earnings Normalizer'!D11*'Master Inputs Start here'!B18)))</f>
        <v>1031.6865342163355</v>
      </c>
      <c r="E14" s="5"/>
    </row>
    <row r="17" spans="1:7" s="4" customFormat="1" ht="13">
      <c r="A17" s="4" t="s">
        <v>219</v>
      </c>
      <c r="E17" s="10"/>
    </row>
    <row r="18" spans="1:7" s="5" customFormat="1" ht="13">
      <c r="A18" s="8"/>
      <c r="B18" s="8">
        <v>-5</v>
      </c>
      <c r="C18" s="8">
        <v>-4</v>
      </c>
      <c r="D18" s="8">
        <v>-3</v>
      </c>
      <c r="E18" s="8">
        <v>-2</v>
      </c>
      <c r="F18" s="8">
        <v>-1</v>
      </c>
      <c r="G18" s="8" t="s">
        <v>36</v>
      </c>
    </row>
    <row r="19" spans="1:7" s="1" customFormat="1" ht="13">
      <c r="A19" s="7" t="s">
        <v>270</v>
      </c>
      <c r="B19" s="58">
        <v>2032</v>
      </c>
      <c r="C19" s="58">
        <v>2376</v>
      </c>
      <c r="D19" s="58">
        <v>2779</v>
      </c>
      <c r="E19" s="59">
        <v>3155</v>
      </c>
      <c r="F19" s="58">
        <v>3248</v>
      </c>
      <c r="G19" s="7">
        <f>SUM(B19:F19)</f>
        <v>13590</v>
      </c>
    </row>
    <row r="20" spans="1:7" s="1" customFormat="1" ht="13">
      <c r="A20" s="7" t="s">
        <v>188</v>
      </c>
      <c r="B20" s="58">
        <v>186</v>
      </c>
      <c r="C20" s="58">
        <v>454</v>
      </c>
      <c r="D20" s="58">
        <v>529</v>
      </c>
      <c r="E20" s="59">
        <v>448</v>
      </c>
      <c r="F20" s="58">
        <v>383</v>
      </c>
      <c r="G20" s="7">
        <f>SUM(B20:F20)</f>
        <v>2000</v>
      </c>
    </row>
    <row r="21" spans="1:7" s="1" customFormat="1" ht="13">
      <c r="A21" s="7" t="s">
        <v>205</v>
      </c>
      <c r="B21" s="74">
        <f t="shared" ref="B21:G21" si="0">B20/B19</f>
        <v>9.1535433070866146E-2</v>
      </c>
      <c r="C21" s="74">
        <f t="shared" si="0"/>
        <v>0.19107744107744107</v>
      </c>
      <c r="D21" s="74">
        <f t="shared" si="0"/>
        <v>0.19035624325296868</v>
      </c>
      <c r="E21" s="74">
        <f t="shared" si="0"/>
        <v>0.14199683042789224</v>
      </c>
      <c r="F21" s="74">
        <f t="shared" si="0"/>
        <v>0.11791871921182266</v>
      </c>
      <c r="G21" s="19">
        <f t="shared" si="0"/>
        <v>0.14716703458425312</v>
      </c>
    </row>
  </sheetData>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2"/>
  <sheetViews>
    <sheetView workbookViewId="0">
      <selection activeCell="B11" sqref="A11:B20"/>
    </sheetView>
  </sheetViews>
  <sheetFormatPr baseColWidth="10" defaultRowHeight="14"/>
  <sheetData>
    <row r="1" spans="1:10" s="14" customFormat="1" ht="18">
      <c r="A1" s="12" t="s">
        <v>277</v>
      </c>
      <c r="B1" s="12"/>
      <c r="C1" s="12"/>
      <c r="D1" s="12"/>
      <c r="E1" s="12"/>
      <c r="F1" s="12"/>
      <c r="G1" s="12"/>
      <c r="H1" s="12"/>
      <c r="I1" s="12"/>
      <c r="J1" s="12"/>
    </row>
    <row r="2" spans="1:10" s="1" customFormat="1" ht="13">
      <c r="A2" s="1" t="s">
        <v>70</v>
      </c>
    </row>
    <row r="3" spans="1:10" s="1" customFormat="1" ht="13">
      <c r="A3" s="1" t="s">
        <v>43</v>
      </c>
    </row>
    <row r="4" spans="1:10" s="1" customFormat="1" ht="13"/>
    <row r="5" spans="1:10" s="1" customFormat="1" ht="13">
      <c r="A5" s="3" t="s">
        <v>11</v>
      </c>
    </row>
    <row r="6" spans="1:10" s="1" customFormat="1" ht="13">
      <c r="A6" s="1" t="s">
        <v>268</v>
      </c>
      <c r="F6" s="59">
        <v>5</v>
      </c>
      <c r="G6" s="1" t="s">
        <v>8</v>
      </c>
    </row>
    <row r="7" spans="1:10" s="1" customFormat="1" ht="13">
      <c r="A7" s="1" t="s">
        <v>235</v>
      </c>
      <c r="F7" s="64">
        <v>1771</v>
      </c>
      <c r="G7" s="1" t="s">
        <v>139</v>
      </c>
    </row>
    <row r="8" spans="1:10" s="1" customFormat="1" ht="13">
      <c r="A8" s="1" t="s">
        <v>281</v>
      </c>
    </row>
    <row r="9" spans="1:10" s="1" customFormat="1" ht="13">
      <c r="A9" s="1" t="s">
        <v>276</v>
      </c>
    </row>
    <row r="10" spans="1:10" s="13" customFormat="1" ht="13">
      <c r="A10" s="25" t="s">
        <v>263</v>
      </c>
      <c r="B10" s="25" t="s">
        <v>317</v>
      </c>
      <c r="C10" s="26"/>
      <c r="D10" s="26"/>
      <c r="E10" s="26"/>
      <c r="F10" s="26"/>
      <c r="G10" s="26"/>
      <c r="H10" s="26"/>
      <c r="I10" s="26"/>
    </row>
    <row r="11" spans="1:10" s="13" customFormat="1" ht="13">
      <c r="A11" s="27">
        <v>-1</v>
      </c>
      <c r="B11" s="65">
        <v>1678</v>
      </c>
      <c r="C11" s="26" t="s">
        <v>236</v>
      </c>
      <c r="D11" s="26"/>
      <c r="E11" s="26"/>
      <c r="F11" s="26"/>
      <c r="G11" s="26"/>
      <c r="H11" s="26"/>
      <c r="I11" s="26"/>
    </row>
    <row r="12" spans="1:10" s="13" customFormat="1" ht="13">
      <c r="A12" s="27">
        <f>IF((0-A11)&lt;$F$6,IF(A11&gt;-1,,A11-1),)</f>
        <v>-2</v>
      </c>
      <c r="B12" s="65">
        <v>1529</v>
      </c>
      <c r="C12" s="26" t="s">
        <v>249</v>
      </c>
      <c r="D12" s="26"/>
      <c r="E12" s="26"/>
      <c r="F12" s="26"/>
      <c r="G12" s="26"/>
      <c r="H12" s="26"/>
      <c r="I12" s="26"/>
    </row>
    <row r="13" spans="1:10" s="13" customFormat="1" ht="13">
      <c r="A13" s="27">
        <f t="shared" ref="A13:A20" si="0">IF((0-A12)&lt;$F$6,IF(A12&gt;-1,,A12-1),)</f>
        <v>-3</v>
      </c>
      <c r="B13" s="65">
        <v>1367</v>
      </c>
      <c r="C13" s="26"/>
      <c r="D13" s="26"/>
      <c r="E13" s="26"/>
      <c r="F13" s="26"/>
      <c r="G13" s="26"/>
      <c r="H13" s="26"/>
      <c r="I13" s="26"/>
    </row>
    <row r="14" spans="1:10" s="13" customFormat="1" ht="13">
      <c r="A14" s="27">
        <f t="shared" si="0"/>
        <v>-4</v>
      </c>
      <c r="B14" s="65">
        <v>1267</v>
      </c>
      <c r="C14" s="26"/>
      <c r="D14" s="26"/>
      <c r="E14" s="26"/>
      <c r="F14" s="26"/>
      <c r="G14" s="26"/>
      <c r="H14" s="26"/>
      <c r="I14" s="26"/>
    </row>
    <row r="15" spans="1:10" s="13" customFormat="1" ht="13">
      <c r="A15" s="27">
        <f t="shared" si="0"/>
        <v>-5</v>
      </c>
      <c r="B15" s="65">
        <v>1205</v>
      </c>
      <c r="C15" s="26"/>
      <c r="D15" s="26"/>
      <c r="E15" s="26"/>
      <c r="F15" s="26"/>
      <c r="G15" s="26"/>
      <c r="H15" s="26"/>
      <c r="I15" s="26"/>
    </row>
    <row r="16" spans="1:10" s="13" customFormat="1" ht="13">
      <c r="A16" s="27">
        <f t="shared" si="0"/>
        <v>0</v>
      </c>
      <c r="B16" s="65"/>
      <c r="C16" s="26"/>
      <c r="D16" s="26"/>
      <c r="E16" s="26"/>
      <c r="F16" s="26"/>
      <c r="G16" s="26"/>
      <c r="H16" s="26"/>
      <c r="I16" s="26"/>
    </row>
    <row r="17" spans="1:9" s="13" customFormat="1" ht="13">
      <c r="A17" s="27">
        <f t="shared" si="0"/>
        <v>0</v>
      </c>
      <c r="B17" s="65"/>
      <c r="C17" s="26"/>
      <c r="D17" s="26"/>
      <c r="E17" s="26"/>
      <c r="F17" s="26"/>
      <c r="G17" s="26"/>
      <c r="H17" s="26"/>
      <c r="I17" s="26"/>
    </row>
    <row r="18" spans="1:9" s="13" customFormat="1" ht="13">
      <c r="A18" s="27">
        <f t="shared" si="0"/>
        <v>0</v>
      </c>
      <c r="B18" s="65"/>
      <c r="C18" s="26"/>
      <c r="D18" s="26"/>
      <c r="E18" s="26"/>
      <c r="F18" s="26"/>
      <c r="G18" s="26"/>
      <c r="H18" s="26"/>
      <c r="I18" s="26"/>
    </row>
    <row r="19" spans="1:9" s="13" customFormat="1" ht="13">
      <c r="A19" s="27">
        <f t="shared" si="0"/>
        <v>0</v>
      </c>
      <c r="B19" s="65"/>
      <c r="C19" s="26"/>
      <c r="D19" s="26"/>
      <c r="E19" s="26"/>
      <c r="F19" s="26"/>
      <c r="G19" s="26"/>
      <c r="H19" s="26"/>
      <c r="I19" s="26"/>
    </row>
    <row r="20" spans="1:9" s="13" customFormat="1" ht="13">
      <c r="A20" s="27">
        <f t="shared" si="0"/>
        <v>0</v>
      </c>
      <c r="B20" s="65"/>
      <c r="C20" s="26"/>
      <c r="D20" s="26"/>
      <c r="E20" s="26"/>
      <c r="F20" s="26"/>
      <c r="G20" s="26"/>
      <c r="H20" s="26"/>
      <c r="I20" s="26"/>
    </row>
    <row r="21" spans="1:9" s="13" customFormat="1" ht="13">
      <c r="A21" s="26"/>
      <c r="B21" s="26"/>
      <c r="C21" s="26"/>
      <c r="D21" s="26"/>
      <c r="E21" s="26"/>
      <c r="F21" s="26"/>
      <c r="G21" s="26"/>
      <c r="H21" s="26"/>
      <c r="I21" s="26"/>
    </row>
    <row r="22" spans="1:9" s="13" customFormat="1" ht="13">
      <c r="A22" s="28" t="s">
        <v>220</v>
      </c>
      <c r="B22" s="26"/>
      <c r="C22" s="26"/>
      <c r="D22" s="26"/>
      <c r="E22" s="26"/>
      <c r="F22" s="26"/>
      <c r="G22" s="26"/>
      <c r="H22" s="26"/>
      <c r="I22" s="26"/>
    </row>
    <row r="23" spans="1:9" s="13" customFormat="1" ht="13">
      <c r="A23" s="25" t="s">
        <v>263</v>
      </c>
      <c r="B23" s="25" t="s">
        <v>272</v>
      </c>
      <c r="C23" s="29" t="s">
        <v>224</v>
      </c>
      <c r="D23" s="30"/>
      <c r="E23" s="26" t="s">
        <v>333</v>
      </c>
      <c r="F23" s="26"/>
      <c r="G23" s="26"/>
      <c r="H23" s="26"/>
      <c r="I23" s="26"/>
    </row>
    <row r="24" spans="1:9" s="13" customFormat="1" ht="13">
      <c r="A24" s="25" t="s">
        <v>53</v>
      </c>
      <c r="B24" s="25">
        <f>F7</f>
        <v>1771</v>
      </c>
      <c r="C24" s="25">
        <f>1</f>
        <v>1</v>
      </c>
      <c r="D24" s="25">
        <f>B24*C24</f>
        <v>1771</v>
      </c>
      <c r="E24" s="26"/>
      <c r="F24" s="26"/>
      <c r="G24" s="26"/>
      <c r="H24" s="26"/>
      <c r="I24" s="26"/>
    </row>
    <row r="25" spans="1:9" s="13" customFormat="1" ht="13">
      <c r="A25" s="27">
        <f>A11</f>
        <v>-1</v>
      </c>
      <c r="B25" s="25">
        <f>B11</f>
        <v>1678</v>
      </c>
      <c r="C25" s="25">
        <f>IF(A25&lt;0,($F$6+A25)/$F$6,0)</f>
        <v>0.8</v>
      </c>
      <c r="D25" s="25">
        <f>B25*C25</f>
        <v>1342.4</v>
      </c>
      <c r="E25" s="85">
        <f t="shared" ref="E25:E34" si="1">IF(A25&lt;0,B25/$F$6,0)</f>
        <v>335.6</v>
      </c>
      <c r="F25" s="26"/>
      <c r="G25" s="26"/>
      <c r="H25" s="26"/>
      <c r="I25" s="26"/>
    </row>
    <row r="26" spans="1:9" s="13" customFormat="1" ht="13">
      <c r="A26" s="27">
        <f t="shared" ref="A26:B34" si="2">A12</f>
        <v>-2</v>
      </c>
      <c r="B26" s="25">
        <f t="shared" si="2"/>
        <v>1529</v>
      </c>
      <c r="C26" s="25">
        <f>IF(A26&lt;0,($F$6+A26)/$F$6,0)</f>
        <v>0.6</v>
      </c>
      <c r="D26" s="25">
        <f t="shared" ref="D26:D34" si="3">B26*C26</f>
        <v>917.4</v>
      </c>
      <c r="E26" s="85">
        <f t="shared" si="1"/>
        <v>305.8</v>
      </c>
      <c r="F26" s="26"/>
      <c r="G26" s="26"/>
      <c r="H26" s="26"/>
      <c r="I26" s="26"/>
    </row>
    <row r="27" spans="1:9" s="13" customFormat="1" ht="13">
      <c r="A27" s="27">
        <f t="shared" si="2"/>
        <v>-3</v>
      </c>
      <c r="B27" s="25">
        <f t="shared" si="2"/>
        <v>1367</v>
      </c>
      <c r="C27" s="25">
        <f>IF(A27&lt;0,($F$6+A27)/$F$6,0)</f>
        <v>0.4</v>
      </c>
      <c r="D27" s="25">
        <f t="shared" si="3"/>
        <v>546.80000000000007</v>
      </c>
      <c r="E27" s="85">
        <f t="shared" si="1"/>
        <v>273.39999999999998</v>
      </c>
      <c r="F27" s="26"/>
      <c r="G27" s="26"/>
      <c r="H27" s="26"/>
      <c r="I27" s="26"/>
    </row>
    <row r="28" spans="1:9" s="13" customFormat="1" ht="13">
      <c r="A28" s="27">
        <f t="shared" si="2"/>
        <v>-4</v>
      </c>
      <c r="B28" s="25">
        <f t="shared" si="2"/>
        <v>1267</v>
      </c>
      <c r="C28" s="25">
        <f t="shared" ref="C28:C34" si="4">IF(A28&lt;0,($F$6+A28)/$F$6,0)</f>
        <v>0.2</v>
      </c>
      <c r="D28" s="25">
        <f t="shared" si="3"/>
        <v>253.4</v>
      </c>
      <c r="E28" s="85">
        <f t="shared" si="1"/>
        <v>253.4</v>
      </c>
      <c r="F28" s="26"/>
      <c r="G28" s="26"/>
      <c r="H28" s="26"/>
      <c r="I28" s="26"/>
    </row>
    <row r="29" spans="1:9" s="13" customFormat="1" ht="13">
      <c r="A29" s="27">
        <f t="shared" si="2"/>
        <v>-5</v>
      </c>
      <c r="B29" s="25">
        <f t="shared" si="2"/>
        <v>1205</v>
      </c>
      <c r="C29" s="25">
        <f t="shared" si="4"/>
        <v>0</v>
      </c>
      <c r="D29" s="25">
        <f t="shared" si="3"/>
        <v>0</v>
      </c>
      <c r="E29" s="85">
        <f t="shared" si="1"/>
        <v>241</v>
      </c>
      <c r="F29" s="26"/>
      <c r="G29" s="26"/>
      <c r="H29" s="26"/>
      <c r="I29" s="26"/>
    </row>
    <row r="30" spans="1:9" s="13" customFormat="1" ht="13">
      <c r="A30" s="27">
        <f t="shared" si="2"/>
        <v>0</v>
      </c>
      <c r="B30" s="25">
        <f t="shared" si="2"/>
        <v>0</v>
      </c>
      <c r="C30" s="25">
        <f t="shared" si="4"/>
        <v>0</v>
      </c>
      <c r="D30" s="25">
        <f t="shared" si="3"/>
        <v>0</v>
      </c>
      <c r="E30" s="85">
        <f t="shared" si="1"/>
        <v>0</v>
      </c>
      <c r="F30" s="26"/>
      <c r="G30" s="26"/>
      <c r="H30" s="26"/>
      <c r="I30" s="26"/>
    </row>
    <row r="31" spans="1:9" s="13" customFormat="1" ht="13">
      <c r="A31" s="27">
        <f t="shared" si="2"/>
        <v>0</v>
      </c>
      <c r="B31" s="25">
        <f t="shared" si="2"/>
        <v>0</v>
      </c>
      <c r="C31" s="25">
        <f t="shared" si="4"/>
        <v>0</v>
      </c>
      <c r="D31" s="25">
        <f t="shared" si="3"/>
        <v>0</v>
      </c>
      <c r="E31" s="85">
        <f t="shared" si="1"/>
        <v>0</v>
      </c>
      <c r="F31" s="26"/>
      <c r="G31" s="26"/>
      <c r="H31" s="26"/>
      <c r="I31" s="26"/>
    </row>
    <row r="32" spans="1:9" s="13" customFormat="1" ht="13">
      <c r="A32" s="27">
        <f t="shared" si="2"/>
        <v>0</v>
      </c>
      <c r="B32" s="25">
        <f t="shared" si="2"/>
        <v>0</v>
      </c>
      <c r="C32" s="25">
        <f t="shared" si="4"/>
        <v>0</v>
      </c>
      <c r="D32" s="25">
        <f t="shared" si="3"/>
        <v>0</v>
      </c>
      <c r="E32" s="85">
        <f t="shared" si="1"/>
        <v>0</v>
      </c>
      <c r="F32" s="26"/>
      <c r="G32" s="26"/>
      <c r="H32" s="26"/>
      <c r="I32" s="26"/>
    </row>
    <row r="33" spans="1:9" s="13" customFormat="1" ht="13">
      <c r="A33" s="27">
        <f t="shared" si="2"/>
        <v>0</v>
      </c>
      <c r="B33" s="25">
        <f t="shared" si="2"/>
        <v>0</v>
      </c>
      <c r="C33" s="25">
        <f t="shared" si="4"/>
        <v>0</v>
      </c>
      <c r="D33" s="25">
        <f t="shared" si="3"/>
        <v>0</v>
      </c>
      <c r="E33" s="85">
        <f t="shared" si="1"/>
        <v>0</v>
      </c>
      <c r="F33" s="26"/>
      <c r="G33" s="26"/>
      <c r="H33" s="26"/>
      <c r="I33" s="26"/>
    </row>
    <row r="34" spans="1:9" s="13" customFormat="1" ht="16" customHeight="1" thickBot="1">
      <c r="A34" s="27">
        <f t="shared" si="2"/>
        <v>0</v>
      </c>
      <c r="B34" s="25">
        <f t="shared" si="2"/>
        <v>0</v>
      </c>
      <c r="C34" s="25">
        <f t="shared" si="4"/>
        <v>0</v>
      </c>
      <c r="D34" s="31">
        <f t="shared" si="3"/>
        <v>0</v>
      </c>
      <c r="E34" s="86">
        <f t="shared" si="1"/>
        <v>0</v>
      </c>
      <c r="F34" s="26"/>
      <c r="G34" s="26"/>
      <c r="H34" s="26"/>
      <c r="I34" s="26"/>
    </row>
    <row r="35" spans="1:9" s="1" customFormat="1" thickBot="1">
      <c r="A35" s="1" t="s">
        <v>116</v>
      </c>
      <c r="D35" s="24">
        <f>SUM(D24:D34)</f>
        <v>4831</v>
      </c>
      <c r="E35" s="83">
        <f>SUM(E25:E34)</f>
        <v>1409.2</v>
      </c>
    </row>
    <row r="36" spans="1:9" ht="15" thickBot="1"/>
    <row r="37" spans="1:9" s="1" customFormat="1" thickBot="1">
      <c r="A37" s="1" t="s">
        <v>31</v>
      </c>
      <c r="D37" s="24">
        <f>E35</f>
        <v>1409.2</v>
      </c>
    </row>
    <row r="38" spans="1:9" s="1" customFormat="1" thickBot="1"/>
    <row r="39" spans="1:9" s="1" customFormat="1" ht="13">
      <c r="A39" s="1" t="s">
        <v>331</v>
      </c>
      <c r="D39" s="42">
        <f>F7-D37</f>
        <v>361.79999999999995</v>
      </c>
      <c r="E39" s="1" t="s">
        <v>385</v>
      </c>
    </row>
    <row r="40" spans="1:9">
      <c r="A40" t="s">
        <v>355</v>
      </c>
      <c r="D40" s="43">
        <f>(F7-D37)*'Master Inputs Start here'!B17</f>
        <v>123.012</v>
      </c>
      <c r="E40" s="1"/>
    </row>
    <row r="43" spans="1:9" s="23" customFormat="1" ht="13">
      <c r="A43" s="23" t="s">
        <v>187</v>
      </c>
    </row>
    <row r="44" spans="1:9" s="1" customFormat="1" ht="13">
      <c r="A44" s="4" t="s">
        <v>170</v>
      </c>
      <c r="B44" s="4" t="s">
        <v>313</v>
      </c>
    </row>
    <row r="45" spans="1:9" s="1" customFormat="1" ht="13">
      <c r="A45" s="1" t="s">
        <v>171</v>
      </c>
      <c r="B45" s="1">
        <v>2</v>
      </c>
    </row>
    <row r="46" spans="1:9" s="1" customFormat="1" ht="13">
      <c r="A46" s="1" t="s">
        <v>352</v>
      </c>
      <c r="B46" s="1">
        <v>10</v>
      </c>
      <c r="D46" s="1" t="s">
        <v>91</v>
      </c>
      <c r="F46" s="1" t="s">
        <v>244</v>
      </c>
    </row>
    <row r="47" spans="1:9" s="1" customFormat="1" ht="13">
      <c r="A47" s="1" t="s">
        <v>259</v>
      </c>
      <c r="B47" s="1">
        <v>10</v>
      </c>
      <c r="D47" s="1" t="s">
        <v>245</v>
      </c>
      <c r="F47" s="1" t="s">
        <v>99</v>
      </c>
    </row>
    <row r="48" spans="1:9" s="1" customFormat="1" ht="13">
      <c r="A48" s="1" t="s">
        <v>260</v>
      </c>
      <c r="B48" s="1">
        <v>5</v>
      </c>
      <c r="D48" s="1" t="s">
        <v>136</v>
      </c>
      <c r="F48" s="1" t="s">
        <v>137</v>
      </c>
    </row>
    <row r="49" spans="1:6" s="1" customFormat="1" ht="13">
      <c r="A49" s="1" t="s">
        <v>261</v>
      </c>
      <c r="B49" s="1">
        <v>3</v>
      </c>
      <c r="D49" s="1" t="s">
        <v>325</v>
      </c>
      <c r="F49" s="1" t="s">
        <v>183</v>
      </c>
    </row>
    <row r="50" spans="1:6" s="1" customFormat="1" ht="13">
      <c r="A50" s="1" t="s">
        <v>298</v>
      </c>
      <c r="B50" s="1">
        <v>10</v>
      </c>
      <c r="D50" s="1" t="s">
        <v>100</v>
      </c>
      <c r="F50" s="1" t="s">
        <v>183</v>
      </c>
    </row>
    <row r="51" spans="1:6" s="1" customFormat="1" ht="13">
      <c r="A51" s="1" t="s">
        <v>278</v>
      </c>
      <c r="B51" s="1">
        <v>5</v>
      </c>
      <c r="D51" s="1" t="s">
        <v>101</v>
      </c>
      <c r="F51" s="1" t="s">
        <v>183</v>
      </c>
    </row>
    <row r="52" spans="1:6" s="1" customFormat="1" ht="13">
      <c r="A52" s="1" t="s">
        <v>153</v>
      </c>
      <c r="B52" s="1">
        <v>5</v>
      </c>
    </row>
    <row r="53" spans="1:6" s="1" customFormat="1" ht="13">
      <c r="A53" s="1" t="s">
        <v>154</v>
      </c>
      <c r="B53" s="1">
        <v>2</v>
      </c>
    </row>
    <row r="54" spans="1:6" s="1" customFormat="1" ht="13">
      <c r="A54" s="1" t="s">
        <v>155</v>
      </c>
      <c r="B54" s="1">
        <v>2</v>
      </c>
    </row>
    <row r="55" spans="1:6" s="1" customFormat="1" ht="13">
      <c r="A55" s="1" t="s">
        <v>386</v>
      </c>
      <c r="B55" s="1">
        <v>2</v>
      </c>
    </row>
    <row r="56" spans="1:6" s="1" customFormat="1" ht="13">
      <c r="A56" s="1" t="s">
        <v>387</v>
      </c>
      <c r="B56" s="1">
        <v>2</v>
      </c>
    </row>
    <row r="57" spans="1:6" s="1" customFormat="1" ht="13">
      <c r="A57" s="1" t="s">
        <v>290</v>
      </c>
      <c r="B57" s="1">
        <v>3</v>
      </c>
    </row>
    <row r="58" spans="1:6" s="1" customFormat="1" ht="13">
      <c r="A58" s="1" t="s">
        <v>279</v>
      </c>
      <c r="B58" s="1">
        <v>3</v>
      </c>
    </row>
    <row r="59" spans="1:6" s="1" customFormat="1" ht="13">
      <c r="A59" s="1" t="s">
        <v>280</v>
      </c>
      <c r="B59" s="1">
        <v>5</v>
      </c>
    </row>
    <row r="60" spans="1:6" s="1" customFormat="1" ht="13">
      <c r="A60" s="1" t="s">
        <v>388</v>
      </c>
      <c r="B60" s="1">
        <v>10</v>
      </c>
    </row>
    <row r="61" spans="1:6" s="1" customFormat="1" ht="13">
      <c r="A61" s="1" t="s">
        <v>389</v>
      </c>
      <c r="B61" s="1">
        <v>10</v>
      </c>
    </row>
    <row r="62" spans="1:6" s="1" customFormat="1" ht="13">
      <c r="A62" s="1" t="s">
        <v>390</v>
      </c>
      <c r="B62" s="1">
        <v>10</v>
      </c>
    </row>
    <row r="63" spans="1:6" s="1" customFormat="1" ht="13">
      <c r="A63" s="1" t="s">
        <v>305</v>
      </c>
      <c r="B63" s="1">
        <v>10</v>
      </c>
    </row>
    <row r="64" spans="1:6" s="1" customFormat="1" ht="13">
      <c r="A64" s="1" t="s">
        <v>306</v>
      </c>
      <c r="B64" s="1">
        <v>10</v>
      </c>
    </row>
    <row r="65" spans="1:2" s="1" customFormat="1" ht="13">
      <c r="A65" s="1" t="s">
        <v>22</v>
      </c>
      <c r="B65" s="1">
        <v>10</v>
      </c>
    </row>
    <row r="66" spans="1:2" s="1" customFormat="1" ht="13">
      <c r="A66" s="1" t="s">
        <v>23</v>
      </c>
      <c r="B66" s="1">
        <v>5</v>
      </c>
    </row>
    <row r="67" spans="1:2" s="1" customFormat="1" ht="13">
      <c r="A67" s="1" t="s">
        <v>24</v>
      </c>
      <c r="B67" s="1">
        <v>5</v>
      </c>
    </row>
    <row r="68" spans="1:2" s="1" customFormat="1" ht="13">
      <c r="A68" s="1" t="s">
        <v>25</v>
      </c>
      <c r="B68" s="1">
        <v>3</v>
      </c>
    </row>
    <row r="69" spans="1:2" s="1" customFormat="1" ht="13">
      <c r="A69" s="1" t="s">
        <v>26</v>
      </c>
      <c r="B69" s="1">
        <v>5</v>
      </c>
    </row>
    <row r="70" spans="1:2" s="1" customFormat="1" ht="13">
      <c r="A70" s="1" t="s">
        <v>65</v>
      </c>
      <c r="B70" s="1">
        <v>5</v>
      </c>
    </row>
    <row r="71" spans="1:2" s="1" customFormat="1" ht="13">
      <c r="A71" s="1" t="s">
        <v>66</v>
      </c>
      <c r="B71" s="1">
        <v>10</v>
      </c>
    </row>
    <row r="72" spans="1:2" s="1" customFormat="1" ht="13">
      <c r="A72" s="1" t="s">
        <v>67</v>
      </c>
      <c r="B72" s="1">
        <v>3</v>
      </c>
    </row>
    <row r="73" spans="1:2" s="1" customFormat="1" ht="13">
      <c r="A73" s="1" t="s">
        <v>68</v>
      </c>
      <c r="B73" s="1">
        <v>3</v>
      </c>
    </row>
    <row r="74" spans="1:2" s="1" customFormat="1" ht="13">
      <c r="A74" s="1" t="s">
        <v>197</v>
      </c>
      <c r="B74" s="1">
        <v>10</v>
      </c>
    </row>
    <row r="75" spans="1:2" s="1" customFormat="1" ht="13">
      <c r="A75" s="1" t="s">
        <v>42</v>
      </c>
      <c r="B75" s="1">
        <v>10</v>
      </c>
    </row>
    <row r="76" spans="1:2" s="1" customFormat="1" ht="13">
      <c r="A76" s="1" t="s">
        <v>1</v>
      </c>
      <c r="B76" s="1">
        <v>10</v>
      </c>
    </row>
    <row r="77" spans="1:2" s="1" customFormat="1" ht="13">
      <c r="A77" s="1" t="s">
        <v>81</v>
      </c>
      <c r="B77" s="1">
        <v>10</v>
      </c>
    </row>
    <row r="78" spans="1:2" s="1" customFormat="1" ht="13">
      <c r="A78" s="1" t="s">
        <v>258</v>
      </c>
      <c r="B78" s="1">
        <v>5</v>
      </c>
    </row>
    <row r="79" spans="1:2" s="1" customFormat="1" ht="13">
      <c r="A79" s="1" t="s">
        <v>382</v>
      </c>
      <c r="B79" s="1">
        <v>3</v>
      </c>
    </row>
    <row r="80" spans="1:2" s="1" customFormat="1" ht="13">
      <c r="A80" s="1" t="s">
        <v>383</v>
      </c>
      <c r="B80" s="1">
        <v>5</v>
      </c>
    </row>
    <row r="81" spans="1:2" s="1" customFormat="1" ht="13">
      <c r="A81" s="1" t="s">
        <v>93</v>
      </c>
      <c r="B81" s="1">
        <v>2</v>
      </c>
    </row>
    <row r="82" spans="1:2" s="1" customFormat="1" ht="13">
      <c r="A82" s="1" t="s">
        <v>350</v>
      </c>
      <c r="B82" s="1">
        <v>3</v>
      </c>
    </row>
    <row r="83" spans="1:2" s="1" customFormat="1" ht="13">
      <c r="A83" s="1" t="s">
        <v>351</v>
      </c>
      <c r="B83" s="1">
        <v>3</v>
      </c>
    </row>
    <row r="84" spans="1:2" s="1" customFormat="1" ht="13">
      <c r="A84" s="1" t="s">
        <v>384</v>
      </c>
      <c r="B84" s="1">
        <v>5</v>
      </c>
    </row>
    <row r="85" spans="1:2" s="1" customFormat="1" ht="13">
      <c r="A85" s="1" t="s">
        <v>366</v>
      </c>
      <c r="B85" s="1">
        <v>10</v>
      </c>
    </row>
    <row r="86" spans="1:2" s="1" customFormat="1" ht="13">
      <c r="A86" s="1" t="s">
        <v>367</v>
      </c>
      <c r="B86" s="1">
        <v>3</v>
      </c>
    </row>
    <row r="87" spans="1:2" s="1" customFormat="1" ht="13">
      <c r="A87" s="1" t="s">
        <v>314</v>
      </c>
      <c r="B87" s="1">
        <v>5</v>
      </c>
    </row>
    <row r="88" spans="1:2" s="1" customFormat="1" ht="13">
      <c r="A88" s="1" t="s">
        <v>315</v>
      </c>
      <c r="B88" s="1">
        <v>2</v>
      </c>
    </row>
    <row r="89" spans="1:2" s="1" customFormat="1" ht="13">
      <c r="A89" s="1" t="s">
        <v>316</v>
      </c>
      <c r="B89" s="1">
        <v>3</v>
      </c>
    </row>
    <row r="90" spans="1:2" s="1" customFormat="1" ht="13">
      <c r="A90" s="1" t="s">
        <v>289</v>
      </c>
      <c r="B90" s="1">
        <v>5</v>
      </c>
    </row>
    <row r="91" spans="1:2" s="1" customFormat="1" ht="13">
      <c r="A91" s="1" t="s">
        <v>302</v>
      </c>
      <c r="B91" s="1">
        <v>5</v>
      </c>
    </row>
    <row r="92" spans="1:2" s="1" customFormat="1" ht="13">
      <c r="A92" s="1" t="s">
        <v>303</v>
      </c>
      <c r="B92" s="1">
        <v>3</v>
      </c>
    </row>
    <row r="93" spans="1:2" s="1" customFormat="1" ht="13">
      <c r="A93" s="1" t="s">
        <v>312</v>
      </c>
      <c r="B93" s="1">
        <v>3</v>
      </c>
    </row>
    <row r="94" spans="1:2" s="1" customFormat="1" ht="13">
      <c r="A94" s="1" t="s">
        <v>327</v>
      </c>
      <c r="B94" s="1">
        <v>3</v>
      </c>
    </row>
    <row r="95" spans="1:2" s="1" customFormat="1" ht="13">
      <c r="A95" s="1" t="s">
        <v>61</v>
      </c>
      <c r="B95" s="1">
        <v>3</v>
      </c>
    </row>
    <row r="96" spans="1:2" s="1" customFormat="1" ht="13">
      <c r="A96" s="1" t="s">
        <v>221</v>
      </c>
      <c r="B96" s="1">
        <v>3</v>
      </c>
    </row>
    <row r="97" spans="1:2" s="1" customFormat="1" ht="13">
      <c r="A97" s="1" t="s">
        <v>126</v>
      </c>
      <c r="B97" s="1">
        <v>3</v>
      </c>
    </row>
    <row r="98" spans="1:2" s="1" customFormat="1" ht="13">
      <c r="A98" s="1" t="s">
        <v>127</v>
      </c>
      <c r="B98" s="1">
        <v>3</v>
      </c>
    </row>
    <row r="99" spans="1:2" s="1" customFormat="1" ht="13">
      <c r="A99" s="1" t="s">
        <v>128</v>
      </c>
      <c r="B99" s="1">
        <v>3</v>
      </c>
    </row>
    <row r="100" spans="1:2" s="1" customFormat="1" ht="13">
      <c r="A100" s="1" t="s">
        <v>129</v>
      </c>
      <c r="B100" s="1">
        <v>3</v>
      </c>
    </row>
    <row r="101" spans="1:2" s="1" customFormat="1" ht="13">
      <c r="A101" s="1" t="s">
        <v>130</v>
      </c>
      <c r="B101" s="1">
        <v>3</v>
      </c>
    </row>
    <row r="102" spans="1:2" s="1" customFormat="1" ht="13">
      <c r="A102" s="1" t="s">
        <v>131</v>
      </c>
      <c r="B102" s="1">
        <v>10</v>
      </c>
    </row>
    <row r="103" spans="1:2" s="1" customFormat="1" ht="13">
      <c r="A103" s="1" t="s">
        <v>41</v>
      </c>
      <c r="B103" s="1">
        <v>5</v>
      </c>
    </row>
    <row r="104" spans="1:2" s="1" customFormat="1" ht="13">
      <c r="A104" s="1" t="s">
        <v>363</v>
      </c>
      <c r="B104" s="1">
        <v>10</v>
      </c>
    </row>
    <row r="105" spans="1:2" s="1" customFormat="1" ht="13">
      <c r="A105" s="1" t="s">
        <v>181</v>
      </c>
      <c r="B105" s="1">
        <v>3</v>
      </c>
    </row>
    <row r="106" spans="1:2" s="1" customFormat="1" ht="13">
      <c r="A106" s="1" t="s">
        <v>14</v>
      </c>
      <c r="B106" s="1">
        <v>5</v>
      </c>
    </row>
    <row r="107" spans="1:2" s="1" customFormat="1" ht="13">
      <c r="A107" s="1" t="s">
        <v>113</v>
      </c>
      <c r="B107" s="1">
        <v>10</v>
      </c>
    </row>
    <row r="108" spans="1:2" s="1" customFormat="1" ht="13">
      <c r="A108" s="1" t="s">
        <v>114</v>
      </c>
      <c r="B108" s="1">
        <v>5</v>
      </c>
    </row>
    <row r="109" spans="1:2" s="1" customFormat="1" ht="13">
      <c r="A109" s="1" t="s">
        <v>334</v>
      </c>
      <c r="B109" s="1">
        <v>10</v>
      </c>
    </row>
    <row r="110" spans="1:2" s="1" customFormat="1" ht="13">
      <c r="A110" s="1" t="s">
        <v>207</v>
      </c>
      <c r="B110" s="1">
        <v>10</v>
      </c>
    </row>
    <row r="111" spans="1:2" s="1" customFormat="1" ht="13">
      <c r="A111" s="1" t="s">
        <v>208</v>
      </c>
      <c r="B111" s="1">
        <v>3</v>
      </c>
    </row>
    <row r="112" spans="1:2" s="1" customFormat="1" ht="13">
      <c r="A112" s="1" t="s">
        <v>40</v>
      </c>
      <c r="B112" s="1">
        <v>5</v>
      </c>
    </row>
    <row r="113" spans="1:2" s="1" customFormat="1" ht="13">
      <c r="A113" s="1" t="s">
        <v>64</v>
      </c>
      <c r="B113" s="1">
        <v>5</v>
      </c>
    </row>
    <row r="114" spans="1:2" s="1" customFormat="1" ht="13">
      <c r="A114" s="1" t="s">
        <v>297</v>
      </c>
      <c r="B114" s="1">
        <v>5</v>
      </c>
    </row>
    <row r="115" spans="1:2" s="1" customFormat="1" ht="13">
      <c r="A115" s="1" t="s">
        <v>74</v>
      </c>
      <c r="B115" s="1">
        <v>10</v>
      </c>
    </row>
    <row r="116" spans="1:2" s="1" customFormat="1" ht="13">
      <c r="A116" s="1" t="s">
        <v>103</v>
      </c>
      <c r="B116" s="1">
        <v>5</v>
      </c>
    </row>
    <row r="117" spans="1:2" s="1" customFormat="1" ht="13">
      <c r="A117" s="1" t="s">
        <v>133</v>
      </c>
      <c r="B117" s="1">
        <v>5</v>
      </c>
    </row>
    <row r="118" spans="1:2" s="1" customFormat="1" ht="13">
      <c r="A118" s="1" t="s">
        <v>156</v>
      </c>
      <c r="B118" s="1">
        <v>5</v>
      </c>
    </row>
    <row r="119" spans="1:2" s="1" customFormat="1" ht="13">
      <c r="A119" s="1" t="s">
        <v>157</v>
      </c>
      <c r="B119" s="1">
        <v>3</v>
      </c>
    </row>
    <row r="120" spans="1:2" s="1" customFormat="1" ht="13">
      <c r="A120" s="1" t="s">
        <v>202</v>
      </c>
      <c r="B120" s="1">
        <v>3</v>
      </c>
    </row>
    <row r="121" spans="1:2" s="1" customFormat="1" ht="13">
      <c r="A121" s="1" t="s">
        <v>203</v>
      </c>
      <c r="B121" s="1">
        <v>5</v>
      </c>
    </row>
    <row r="122" spans="1:2" s="1" customFormat="1" ht="13">
      <c r="A122" s="1" t="s">
        <v>204</v>
      </c>
      <c r="B122" s="1">
        <v>5</v>
      </c>
    </row>
    <row r="123" spans="1:2" s="1" customFormat="1" ht="13">
      <c r="A123" s="1" t="s">
        <v>186</v>
      </c>
      <c r="B123" s="1">
        <v>2</v>
      </c>
    </row>
    <row r="124" spans="1:2" s="1" customFormat="1" ht="13">
      <c r="A124" s="1" t="s">
        <v>246</v>
      </c>
      <c r="B124" s="1">
        <v>2</v>
      </c>
    </row>
    <row r="125" spans="1:2" s="1" customFormat="1" ht="13">
      <c r="A125" s="1" t="s">
        <v>247</v>
      </c>
      <c r="B125" s="1">
        <v>2</v>
      </c>
    </row>
    <row r="126" spans="1:2" s="1" customFormat="1" ht="13">
      <c r="A126" s="1" t="s">
        <v>248</v>
      </c>
      <c r="B126" s="1">
        <v>2</v>
      </c>
    </row>
    <row r="127" spans="1:2" s="1" customFormat="1" ht="13">
      <c r="A127" s="1" t="s">
        <v>262</v>
      </c>
      <c r="B127" s="1">
        <v>2</v>
      </c>
    </row>
    <row r="128" spans="1:2" s="1" customFormat="1" ht="13">
      <c r="A128" s="1" t="s">
        <v>209</v>
      </c>
      <c r="B128" s="1">
        <v>5</v>
      </c>
    </row>
    <row r="129" spans="1:2" s="1" customFormat="1" ht="13">
      <c r="A129" s="1" t="s">
        <v>210</v>
      </c>
      <c r="B129" s="1">
        <v>5</v>
      </c>
    </row>
    <row r="130" spans="1:2" s="1" customFormat="1" ht="13">
      <c r="A130" s="1" t="s">
        <v>310</v>
      </c>
      <c r="B130" s="1">
        <v>3</v>
      </c>
    </row>
    <row r="131" spans="1:2" s="1" customFormat="1" ht="13">
      <c r="A131" s="1" t="s">
        <v>311</v>
      </c>
      <c r="B131" s="1">
        <v>5</v>
      </c>
    </row>
    <row r="132" spans="1:2" s="1" customFormat="1" ht="13">
      <c r="A132" s="1" t="s">
        <v>218</v>
      </c>
      <c r="B132" s="1">
        <v>5</v>
      </c>
    </row>
    <row r="133" spans="1:2" s="1" customFormat="1" ht="13">
      <c r="A133" s="1" t="s">
        <v>16</v>
      </c>
      <c r="B133" s="1">
        <v>10</v>
      </c>
    </row>
    <row r="134" spans="1:2" s="1" customFormat="1" ht="13">
      <c r="A134" s="1" t="s">
        <v>72</v>
      </c>
      <c r="B134" s="1">
        <v>5</v>
      </c>
    </row>
    <row r="135" spans="1:2" s="1" customFormat="1" ht="13">
      <c r="A135" s="1" t="s">
        <v>371</v>
      </c>
      <c r="B135" s="1">
        <v>5</v>
      </c>
    </row>
    <row r="136" spans="1:2" s="1" customFormat="1" ht="13">
      <c r="A136" s="1" t="s">
        <v>71</v>
      </c>
      <c r="B136" s="1">
        <v>2</v>
      </c>
    </row>
    <row r="137" spans="1:2" s="1" customFormat="1" ht="13">
      <c r="A137" s="1" t="s">
        <v>362</v>
      </c>
      <c r="B137" s="1">
        <v>5</v>
      </c>
    </row>
    <row r="138" spans="1:2" s="1" customFormat="1" ht="13">
      <c r="A138" s="1" t="s">
        <v>264</v>
      </c>
      <c r="B138" s="1">
        <v>5</v>
      </c>
    </row>
    <row r="139" spans="1:2" s="1" customFormat="1" ht="13">
      <c r="A139" s="1" t="s">
        <v>361</v>
      </c>
      <c r="B139" s="1">
        <v>3</v>
      </c>
    </row>
    <row r="140" spans="1:2" s="1" customFormat="1" ht="13">
      <c r="A140" s="1" t="s">
        <v>214</v>
      </c>
      <c r="B140" s="1">
        <v>5</v>
      </c>
    </row>
    <row r="141" spans="1:2" s="1" customFormat="1" ht="13">
      <c r="A141" s="1" t="s">
        <v>215</v>
      </c>
      <c r="B141" s="1">
        <v>10</v>
      </c>
    </row>
    <row r="142" spans="1:2" s="1" customFormat="1" ht="13">
      <c r="A142" s="1" t="s">
        <v>134</v>
      </c>
      <c r="B142" s="1">
        <v>10</v>
      </c>
    </row>
  </sheetData>
  <phoneticPr fontId="25" type="noConversion"/>
  <conditionalFormatting sqref="B11:B20">
    <cfRule type="cellIs" dxfId="0" priority="1" stopIfTrue="1" operator="equal">
      <formula>0</formula>
    </cfRule>
  </conditionalFormatting>
  <pageMargins left="0.75" right="0.75" top="1" bottom="1" header="0.5" footer="0.5"/>
  <pageSetup orientation="landscape" horizontalDpi="4294967292" verticalDpi="4294967292"/>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5"/>
  <sheetViews>
    <sheetView workbookViewId="0">
      <selection activeCell="F35" sqref="F35"/>
    </sheetView>
  </sheetViews>
  <sheetFormatPr baseColWidth="10" defaultRowHeight="14"/>
  <sheetData>
    <row r="1" spans="1:11" s="14" customFormat="1" ht="18">
      <c r="A1" s="12" t="s">
        <v>10</v>
      </c>
      <c r="B1" s="12"/>
      <c r="C1" s="12"/>
      <c r="D1" s="12"/>
      <c r="E1" s="12"/>
      <c r="F1" s="12"/>
      <c r="G1" s="12"/>
      <c r="H1" s="12"/>
      <c r="I1" s="12"/>
      <c r="J1" s="12"/>
      <c r="K1" s="12"/>
    </row>
    <row r="2" spans="1:11" s="3" customFormat="1" ht="13">
      <c r="A2" s="3" t="s">
        <v>11</v>
      </c>
    </row>
    <row r="3" spans="1:11" s="1" customFormat="1" ht="13">
      <c r="A3" s="1" t="s">
        <v>189</v>
      </c>
      <c r="E3" s="64">
        <v>504</v>
      </c>
    </row>
    <row r="4" spans="1:11" s="4" customFormat="1" ht="13">
      <c r="A4" s="4" t="s">
        <v>307</v>
      </c>
    </row>
    <row r="5" spans="1:11" s="1" customFormat="1" ht="13">
      <c r="A5" s="8" t="s">
        <v>263</v>
      </c>
      <c r="B5" s="8" t="s">
        <v>266</v>
      </c>
      <c r="C5" s="1" t="s">
        <v>267</v>
      </c>
    </row>
    <row r="6" spans="1:11" s="1" customFormat="1" ht="13">
      <c r="A6" s="8">
        <v>1</v>
      </c>
      <c r="B6" s="66">
        <v>453</v>
      </c>
    </row>
    <row r="7" spans="1:11" s="1" customFormat="1" ht="13">
      <c r="A7" s="8">
        <v>2</v>
      </c>
      <c r="B7" s="66">
        <v>371</v>
      </c>
    </row>
    <row r="8" spans="1:11" s="1" customFormat="1" ht="13">
      <c r="A8" s="8">
        <v>3</v>
      </c>
      <c r="B8" s="66">
        <v>265</v>
      </c>
    </row>
    <row r="9" spans="1:11" s="1" customFormat="1" ht="13">
      <c r="A9" s="8">
        <v>4</v>
      </c>
      <c r="B9" s="66">
        <v>180</v>
      </c>
    </row>
    <row r="10" spans="1:11" s="1" customFormat="1" ht="13">
      <c r="A10" s="8">
        <v>5</v>
      </c>
      <c r="B10" s="66">
        <v>122</v>
      </c>
    </row>
    <row r="11" spans="1:11" s="1" customFormat="1" ht="13">
      <c r="A11" s="8" t="s">
        <v>135</v>
      </c>
      <c r="B11" s="66">
        <v>259</v>
      </c>
    </row>
    <row r="12" spans="1:11" s="1" customFormat="1" ht="13"/>
    <row r="13" spans="1:11" s="32" customFormat="1" ht="17" thickBot="1">
      <c r="A13" s="32" t="s">
        <v>220</v>
      </c>
    </row>
    <row r="14" spans="1:11" s="1" customFormat="1" thickBot="1">
      <c r="A14" s="1" t="s">
        <v>269</v>
      </c>
      <c r="C14" s="46">
        <f ca="1">IF('Master Inputs Start here'!B43="Yes",'Ratings estimator'!D13,'Master Inputs Start here'!B46)</f>
        <v>5.4554128440366972E-2</v>
      </c>
      <c r="D14" s="1" t="s">
        <v>172</v>
      </c>
    </row>
    <row r="15" spans="1:11" s="1" customFormat="1" ht="13"/>
    <row r="16" spans="1:11" s="4" customFormat="1" ht="13">
      <c r="A16" s="4" t="s">
        <v>173</v>
      </c>
    </row>
    <row r="17" spans="1:5" s="1" customFormat="1" ht="13">
      <c r="A17" s="1" t="s">
        <v>174</v>
      </c>
      <c r="D17" s="47">
        <f>'Master Inputs Start here'!B12</f>
        <v>1337.925</v>
      </c>
      <c r="E17" s="1" t="s">
        <v>357</v>
      </c>
    </row>
    <row r="18" spans="1:5" s="1" customFormat="1" ht="13">
      <c r="A18" s="1" t="s">
        <v>15</v>
      </c>
      <c r="D18" s="47">
        <f>'Master Inputs Start here'!B33</f>
        <v>2609</v>
      </c>
      <c r="E18" s="1" t="s">
        <v>178</v>
      </c>
    </row>
    <row r="19" spans="1:5" s="1" customFormat="1" ht="13">
      <c r="D19" s="21"/>
    </row>
    <row r="20" spans="1:5" s="1" customFormat="1" ht="13">
      <c r="A20" s="1" t="s">
        <v>112</v>
      </c>
      <c r="D20" s="48">
        <f>IF(B11&gt;0,ROUND(B11/AVERAGE(B6:B10),0),0)</f>
        <v>1</v>
      </c>
      <c r="E20" s="1" t="s">
        <v>180</v>
      </c>
    </row>
    <row r="21" spans="1:5" s="3" customFormat="1" ht="13">
      <c r="E21" s="1" t="s">
        <v>12</v>
      </c>
    </row>
    <row r="22" spans="1:5" s="4" customFormat="1" ht="13">
      <c r="A22" s="4" t="s">
        <v>211</v>
      </c>
    </row>
    <row r="23" spans="1:5" s="1" customFormat="1" ht="13">
      <c r="A23" s="8" t="s">
        <v>263</v>
      </c>
      <c r="B23" s="8" t="s">
        <v>266</v>
      </c>
      <c r="C23" s="8" t="s">
        <v>318</v>
      </c>
    </row>
    <row r="24" spans="1:5" s="1" customFormat="1" ht="13">
      <c r="A24" s="7">
        <f>A6</f>
        <v>1</v>
      </c>
      <c r="B24" s="49">
        <f>B6</f>
        <v>453</v>
      </c>
      <c r="C24" s="47">
        <f ca="1">B24/(1+$C$14)^A24</f>
        <v>429.56543223624226</v>
      </c>
    </row>
    <row r="25" spans="1:5" s="1" customFormat="1" ht="13">
      <c r="A25" s="7">
        <f t="shared" ref="A25:B28" si="0">A7</f>
        <v>2</v>
      </c>
      <c r="B25" s="49">
        <f t="shared" si="0"/>
        <v>371</v>
      </c>
      <c r="C25" s="47">
        <f ca="1">B25/(1+$C$14)^A25</f>
        <v>333.60776999218791</v>
      </c>
    </row>
    <row r="26" spans="1:5" s="1" customFormat="1" ht="13">
      <c r="A26" s="7">
        <f t="shared" si="0"/>
        <v>3</v>
      </c>
      <c r="B26" s="49">
        <f t="shared" si="0"/>
        <v>265</v>
      </c>
      <c r="C26" s="47">
        <f ca="1">B26/(1+$C$14)^A26</f>
        <v>225.96399544948454</v>
      </c>
    </row>
    <row r="27" spans="1:5" s="1" customFormat="1" ht="13">
      <c r="A27" s="7">
        <f t="shared" si="0"/>
        <v>4</v>
      </c>
      <c r="B27" s="49">
        <f t="shared" si="0"/>
        <v>180</v>
      </c>
      <c r="C27" s="47">
        <f ca="1">B27/(1+$C$14)^A27</f>
        <v>145.54490272410763</v>
      </c>
    </row>
    <row r="28" spans="1:5" s="1" customFormat="1" ht="13">
      <c r="A28" s="7">
        <f t="shared" si="0"/>
        <v>5</v>
      </c>
      <c r="B28" s="49">
        <f t="shared" si="0"/>
        <v>122</v>
      </c>
      <c r="C28" s="47">
        <f ca="1">B28/(1+$C$14)^A28</f>
        <v>93.543895068831276</v>
      </c>
    </row>
    <row r="29" spans="1:5" s="1" customFormat="1" thickBot="1">
      <c r="A29" s="22" t="str">
        <f>A11</f>
        <v>6 and beyond</v>
      </c>
      <c r="B29" s="50">
        <f>IF(B11&gt;0,IF(D20&gt;0,B11/D20,B11),0)</f>
        <v>259</v>
      </c>
      <c r="C29" s="51">
        <f ca="1">IF(D20&gt;0,(B29*(1-(1+C14)^(-D20))/C14)/(1+$C$14)^5,B29/(1+C14)^6)</f>
        <v>188.31569035285347</v>
      </c>
      <c r="D29" s="1" t="s">
        <v>82</v>
      </c>
    </row>
    <row r="30" spans="1:5" s="1" customFormat="1" thickBot="1">
      <c r="A30" s="15" t="s">
        <v>4</v>
      </c>
      <c r="B30" s="52"/>
      <c r="C30" s="53">
        <f ca="1">SUM(C24:C29)</f>
        <v>1416.541685823707</v>
      </c>
    </row>
    <row r="31" spans="1:5" s="1" customFormat="1" ht="13"/>
    <row r="32" spans="1:5" s="1" customFormat="1" ht="13">
      <c r="A32" s="4" t="s">
        <v>56</v>
      </c>
    </row>
    <row r="33" spans="1:7" s="1" customFormat="1" ht="13">
      <c r="A33" s="1" t="s">
        <v>89</v>
      </c>
      <c r="F33" s="47">
        <f ca="1">C30/(5+D20)</f>
        <v>236.09028097061784</v>
      </c>
      <c r="G33" s="1" t="s">
        <v>90</v>
      </c>
    </row>
    <row r="34" spans="1:7" s="1" customFormat="1" thickBot="1">
      <c r="A34" s="1" t="s">
        <v>238</v>
      </c>
      <c r="F34" s="54">
        <f ca="1">E3-F33</f>
        <v>267.90971902938213</v>
      </c>
      <c r="G34" s="1" t="s">
        <v>0</v>
      </c>
    </row>
    <row r="35" spans="1:7" s="1" customFormat="1" thickBot="1">
      <c r="A35" s="1" t="s">
        <v>239</v>
      </c>
      <c r="F35" s="55">
        <f ca="1">C30</f>
        <v>1416.541685823707</v>
      </c>
    </row>
  </sheetData>
  <phoneticPr fontId="25" type="noConversion"/>
  <pageMargins left="0.75" right="0.75" top="1" bottom="1" header="0.5" footer="0.5"/>
  <pageSetup paperSize="0" orientation="portrait"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1"/>
  <sheetViews>
    <sheetView workbookViewId="0">
      <selection activeCell="D30" sqref="D30"/>
    </sheetView>
  </sheetViews>
  <sheetFormatPr baseColWidth="10" defaultRowHeight="14"/>
  <cols>
    <col min="1" max="1" width="19.42578125" customWidth="1"/>
    <col min="2" max="2" width="12.28515625" style="34" customWidth="1"/>
    <col min="3" max="3" width="14.42578125" style="34" customWidth="1"/>
    <col min="4" max="4" width="44.140625" customWidth="1"/>
  </cols>
  <sheetData>
    <row r="1" spans="1:4">
      <c r="A1" t="s">
        <v>666</v>
      </c>
      <c r="B1" s="245" t="str">
        <f>'Master Inputs Start here'!B4</f>
        <v>Caramba</v>
      </c>
      <c r="C1" s="245"/>
    </row>
    <row r="2" spans="1:4">
      <c r="A2" s="246" t="s">
        <v>667</v>
      </c>
      <c r="B2" s="246"/>
      <c r="C2" s="246"/>
      <c r="D2" s="246"/>
    </row>
    <row r="3" spans="1:4">
      <c r="A3" s="245"/>
      <c r="B3" s="245"/>
      <c r="C3" s="245"/>
      <c r="D3" s="245"/>
    </row>
    <row r="4" spans="1:4">
      <c r="A4" s="245"/>
      <c r="B4" s="245"/>
      <c r="C4" s="245"/>
      <c r="D4" s="245"/>
    </row>
    <row r="5" spans="1:4">
      <c r="A5" s="245"/>
      <c r="B5" s="245"/>
      <c r="C5" s="245"/>
      <c r="D5" s="245"/>
    </row>
    <row r="6" spans="1:4">
      <c r="A6" s="245"/>
      <c r="B6" s="245"/>
      <c r="C6" s="245"/>
      <c r="D6" s="245"/>
    </row>
    <row r="7" spans="1:4">
      <c r="A7" s="245"/>
      <c r="B7" s="245"/>
      <c r="C7" s="245"/>
      <c r="D7" s="245"/>
    </row>
    <row r="8" spans="1:4">
      <c r="A8" s="245"/>
      <c r="B8" s="245"/>
      <c r="C8" s="245"/>
      <c r="D8" s="245"/>
    </row>
    <row r="9" spans="1:4">
      <c r="A9" s="119"/>
      <c r="B9" s="125" t="s">
        <v>663</v>
      </c>
      <c r="C9" s="125" t="s">
        <v>664</v>
      </c>
      <c r="D9" s="119" t="s">
        <v>659</v>
      </c>
    </row>
    <row r="10" spans="1:4">
      <c r="A10" s="119" t="s">
        <v>660</v>
      </c>
      <c r="B10" s="125">
        <f>'Valuation Model'!D14</f>
        <v>10</v>
      </c>
      <c r="C10" s="125" t="s">
        <v>34</v>
      </c>
      <c r="D10" s="147"/>
    </row>
    <row r="11" spans="1:4">
      <c r="A11" s="119" t="s">
        <v>661</v>
      </c>
      <c r="B11" s="123">
        <f ca="1">'Valuation Model'!D15</f>
        <v>0.17608790741161465</v>
      </c>
      <c r="C11" s="123">
        <f>'Valuation Model'!E15</f>
        <v>0.03</v>
      </c>
      <c r="D11" s="147"/>
    </row>
    <row r="12" spans="1:4">
      <c r="A12" s="119" t="s">
        <v>665</v>
      </c>
      <c r="B12" s="123">
        <f ca="1">'Valuation Model'!D23</f>
        <v>0.34451664437775592</v>
      </c>
      <c r="C12" s="123">
        <f>'Valuation Model'!E23</f>
        <v>0.25</v>
      </c>
      <c r="D12" s="147"/>
    </row>
    <row r="13" spans="1:4">
      <c r="A13" s="119" t="s">
        <v>452</v>
      </c>
      <c r="B13" s="123">
        <f ca="1">'Valuation Model'!D31</f>
        <v>0.10345656751128458</v>
      </c>
      <c r="C13" s="123">
        <f>'Valuation Model'!D58</f>
        <v>9.1319999999999998E-2</v>
      </c>
      <c r="D13" s="147"/>
    </row>
    <row r="14" spans="1:4">
      <c r="A14" s="119" t="s">
        <v>662</v>
      </c>
      <c r="B14" s="123">
        <f ca="1">B12-B13</f>
        <v>0.24106007686647135</v>
      </c>
      <c r="C14" s="123">
        <f>C12-C13</f>
        <v>0.15867999999999999</v>
      </c>
      <c r="D14" s="147"/>
    </row>
    <row r="15" spans="1:4">
      <c r="A15" s="119" t="s">
        <v>27</v>
      </c>
      <c r="B15" s="123">
        <f ca="1">'Valuation Model'!D24</f>
        <v>0.51111582062937322</v>
      </c>
      <c r="C15" s="123">
        <f>'Valuation Model'!E24</f>
        <v>0.12</v>
      </c>
      <c r="D15" s="147"/>
    </row>
    <row r="16" spans="1:4">
      <c r="A16" s="119" t="s">
        <v>685</v>
      </c>
      <c r="B16" s="141">
        <f ca="1">B12*B15</f>
        <v>0.17608790741161465</v>
      </c>
      <c r="C16" s="149">
        <f>C15*C12</f>
        <v>0.03</v>
      </c>
      <c r="D16" s="147"/>
    </row>
    <row r="17" spans="1:6">
      <c r="A17" s="119" t="s">
        <v>686</v>
      </c>
      <c r="B17" s="123">
        <f ca="1">B11-B16</f>
        <v>0</v>
      </c>
      <c r="C17" s="150">
        <f>C11-C16</f>
        <v>0</v>
      </c>
      <c r="D17" s="147"/>
    </row>
    <row r="19" spans="1:6">
      <c r="A19" s="247" t="s">
        <v>669</v>
      </c>
      <c r="B19" s="247"/>
      <c r="C19" s="247"/>
      <c r="D19" s="247"/>
      <c r="E19" s="34" t="s">
        <v>683</v>
      </c>
      <c r="F19" s="125" t="s">
        <v>684</v>
      </c>
    </row>
    <row r="20" spans="1:6">
      <c r="A20" s="142" t="s">
        <v>670</v>
      </c>
      <c r="B20" s="143"/>
      <c r="C20" s="145">
        <f ca="1">'Valuation Model'!F61</f>
        <v>8653.7760247347651</v>
      </c>
      <c r="D20" s="119" t="s">
        <v>681</v>
      </c>
      <c r="E20" s="148">
        <f ca="1">'Valuation Model'!C41/'Valuation Model'!D58</f>
        <v>17584.699069528931</v>
      </c>
      <c r="F20" s="146">
        <f ca="1">E20/(E20+E21)</f>
        <v>0.59860090336420535</v>
      </c>
    </row>
    <row r="21" spans="1:6">
      <c r="A21" s="142" t="s">
        <v>671</v>
      </c>
      <c r="B21" s="143"/>
      <c r="C21" s="145">
        <f ca="1">'Valuation Model'!D59</f>
        <v>53654.682143563819</v>
      </c>
      <c r="D21" s="119" t="s">
        <v>682</v>
      </c>
      <c r="E21" s="148">
        <f ca="1">C23-E20</f>
        <v>11791.633259241233</v>
      </c>
      <c r="F21" s="146">
        <f ca="1">E21/(E20+E21)</f>
        <v>0.40139909663579459</v>
      </c>
    </row>
    <row r="22" spans="1:6">
      <c r="A22" s="142" t="s">
        <v>672</v>
      </c>
      <c r="B22" s="143"/>
      <c r="C22" s="145">
        <f ca="1">'Valuation Model'!F62</f>
        <v>20722.556304035399</v>
      </c>
    </row>
    <row r="23" spans="1:6">
      <c r="A23" s="142" t="s">
        <v>673</v>
      </c>
      <c r="B23" s="143"/>
      <c r="C23" s="145">
        <f ca="1">C20+C22</f>
        <v>29376.332328770164</v>
      </c>
    </row>
    <row r="24" spans="1:6">
      <c r="A24" s="142" t="s">
        <v>674</v>
      </c>
      <c r="B24" s="143"/>
      <c r="C24" s="145">
        <f>'Valuation Model'!F64</f>
        <v>1570</v>
      </c>
    </row>
    <row r="25" spans="1:6">
      <c r="A25" s="142" t="s">
        <v>680</v>
      </c>
      <c r="B25" s="144"/>
      <c r="C25" s="145">
        <f ca="1">'Valuation Model'!F66+'Valuation Model'!F67</f>
        <v>4043.2416858237066</v>
      </c>
    </row>
    <row r="26" spans="1:6">
      <c r="A26" s="142" t="s">
        <v>675</v>
      </c>
      <c r="B26" s="144"/>
      <c r="C26" s="145">
        <f ca="1">C23+C24-C25</f>
        <v>26903.090642946459</v>
      </c>
    </row>
    <row r="27" spans="1:6">
      <c r="A27" s="142" t="s">
        <v>676</v>
      </c>
      <c r="B27" s="144"/>
      <c r="C27" s="145">
        <f>'Valuation Model'!F69</f>
        <v>0</v>
      </c>
    </row>
    <row r="28" spans="1:6">
      <c r="A28" s="142" t="s">
        <v>677</v>
      </c>
      <c r="B28" s="144"/>
      <c r="C28" s="145">
        <f ca="1">C26-C27</f>
        <v>26903.090642946459</v>
      </c>
    </row>
    <row r="29" spans="1:6">
      <c r="A29" s="142" t="s">
        <v>656</v>
      </c>
      <c r="B29" s="144"/>
      <c r="C29" s="145">
        <f ca="1">'Valuation Model'!F71</f>
        <v>60.907262784208278</v>
      </c>
    </row>
    <row r="30" spans="1:6">
      <c r="A30" s="142" t="s">
        <v>678</v>
      </c>
      <c r="B30" s="144"/>
      <c r="C30" s="145">
        <f>'Valuation Model'!F72</f>
        <v>38.340000000000003</v>
      </c>
    </row>
    <row r="31" spans="1:6">
      <c r="A31" s="142" t="s">
        <v>679</v>
      </c>
      <c r="B31" s="144"/>
      <c r="C31" s="146">
        <f ca="1">C30/C29-1</f>
        <v>-0.37051842017860959</v>
      </c>
    </row>
  </sheetData>
  <mergeCells count="4">
    <mergeCell ref="B1:C1"/>
    <mergeCell ref="A2:D2"/>
    <mergeCell ref="A3:D8"/>
    <mergeCell ref="A19:D19"/>
  </mergeCells>
  <pageMargins left="0.75" right="0.75" top="1" bottom="1" header="0.3" footer="0.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workbookViewId="0">
      <selection activeCell="D27" sqref="D27"/>
    </sheetView>
  </sheetViews>
  <sheetFormatPr baseColWidth="10" defaultRowHeight="14"/>
  <cols>
    <col min="4" max="4" width="15.42578125" bestFit="1" customWidth="1"/>
  </cols>
  <sheetData>
    <row r="1" spans="1:7" s="35" customFormat="1" ht="19">
      <c r="A1" s="14" t="s">
        <v>198</v>
      </c>
      <c r="B1" s="14"/>
    </row>
    <row r="2" spans="1:7">
      <c r="A2" s="1" t="s">
        <v>284</v>
      </c>
      <c r="B2" s="1"/>
      <c r="D2" s="71">
        <f>IF('Master Inputs Start here'!B54="Current Price",'Master Inputs Start here'!B31,'Valuation Model'!F71)</f>
        <v>38.340000000000003</v>
      </c>
    </row>
    <row r="3" spans="1:7">
      <c r="A3" s="1" t="s">
        <v>285</v>
      </c>
      <c r="B3" s="1"/>
      <c r="D3" s="47">
        <f>'Master Inputs Start here'!B51</f>
        <v>40.35</v>
      </c>
    </row>
    <row r="4" spans="1:7">
      <c r="A4" s="1" t="s">
        <v>59</v>
      </c>
      <c r="B4" s="1"/>
      <c r="D4" s="76">
        <f>'Master Inputs Start here'!B52</f>
        <v>8.3000000000000007</v>
      </c>
    </row>
    <row r="5" spans="1:7">
      <c r="A5" s="1" t="s">
        <v>73</v>
      </c>
      <c r="B5" s="1"/>
      <c r="D5" s="77">
        <f>'Master Inputs Start here'!B53</f>
        <v>0.25</v>
      </c>
      <c r="E5" s="1" t="s">
        <v>391</v>
      </c>
    </row>
    <row r="6" spans="1:7">
      <c r="A6" s="1" t="s">
        <v>294</v>
      </c>
      <c r="B6" s="1"/>
      <c r="D6" s="78">
        <v>0</v>
      </c>
    </row>
    <row r="7" spans="1:7">
      <c r="A7" s="1" t="s">
        <v>295</v>
      </c>
      <c r="B7" s="1"/>
      <c r="D7" s="78">
        <f>'Master Inputs Start here'!B39</f>
        <v>0.03</v>
      </c>
    </row>
    <row r="8" spans="1:7">
      <c r="A8" s="1" t="s">
        <v>271</v>
      </c>
      <c r="B8" s="1"/>
      <c r="D8" s="79">
        <f>'Master Inputs Start here'!B50</f>
        <v>50.997999999999998</v>
      </c>
    </row>
    <row r="9" spans="1:7">
      <c r="A9" s="1" t="s">
        <v>234</v>
      </c>
      <c r="B9" s="1"/>
      <c r="D9" s="80">
        <f>'Master Inputs Start here'!B32</f>
        <v>441.70579029733955</v>
      </c>
    </row>
    <row r="10" spans="1:7">
      <c r="A10" s="1"/>
      <c r="B10" s="1"/>
    </row>
    <row r="11" spans="1:7" s="36" customFormat="1">
      <c r="A11" s="2" t="s">
        <v>395</v>
      </c>
      <c r="B11" s="4"/>
    </row>
    <row r="12" spans="1:7" s="1" customFormat="1" ht="13">
      <c r="A12" s="3" t="s">
        <v>222</v>
      </c>
    </row>
    <row r="13" spans="1:7" s="1" customFormat="1" ht="13">
      <c r="A13" s="1" t="s">
        <v>109</v>
      </c>
      <c r="C13" s="37">
        <f>D2</f>
        <v>38.340000000000003</v>
      </c>
      <c r="D13" s="1" t="s">
        <v>84</v>
      </c>
      <c r="F13" s="7">
        <f>D8</f>
        <v>50.997999999999998</v>
      </c>
      <c r="G13" s="38"/>
    </row>
    <row r="14" spans="1:7" s="1" customFormat="1" ht="13">
      <c r="A14" s="1" t="s">
        <v>147</v>
      </c>
      <c r="C14" s="37">
        <f>D3</f>
        <v>40.35</v>
      </c>
      <c r="D14" s="1" t="s">
        <v>151</v>
      </c>
      <c r="F14" s="39">
        <f>D9</f>
        <v>441.70579029733955</v>
      </c>
      <c r="G14" s="38"/>
    </row>
    <row r="15" spans="1:7" s="1" customFormat="1" ht="13">
      <c r="A15" s="1" t="s">
        <v>106</v>
      </c>
      <c r="C15" s="37">
        <f ca="1">(C13*F14+C26*F13)/(F14+F13)</f>
        <v>35.57388646193521</v>
      </c>
      <c r="D15" s="1" t="s">
        <v>152</v>
      </c>
      <c r="F15" s="40">
        <f>D7</f>
        <v>0.03</v>
      </c>
    </row>
    <row r="16" spans="1:7" s="1" customFormat="1" ht="13">
      <c r="A16" s="1" t="s">
        <v>107</v>
      </c>
      <c r="C16" s="37">
        <f>C14</f>
        <v>40.35</v>
      </c>
      <c r="D16" s="1" t="s">
        <v>250</v>
      </c>
      <c r="F16" s="41">
        <f>D5^2</f>
        <v>6.25E-2</v>
      </c>
    </row>
    <row r="17" spans="1:7" s="1" customFormat="1" ht="13">
      <c r="A17" s="1" t="s">
        <v>251</v>
      </c>
      <c r="C17" s="37">
        <f>D4</f>
        <v>8.3000000000000007</v>
      </c>
      <c r="D17" s="1" t="s">
        <v>158</v>
      </c>
      <c r="F17" s="40">
        <f>D6</f>
        <v>0</v>
      </c>
    </row>
    <row r="18" spans="1:7" s="1" customFormat="1" ht="13">
      <c r="C18" s="3"/>
      <c r="D18" s="1" t="s">
        <v>159</v>
      </c>
      <c r="F18" s="20">
        <f>F15-F17</f>
        <v>0.03</v>
      </c>
    </row>
    <row r="19" spans="1:7" s="1" customFormat="1" ht="13"/>
    <row r="20" spans="1:7" s="1" customFormat="1" ht="13">
      <c r="A20" s="1" t="s">
        <v>160</v>
      </c>
      <c r="B20" s="7">
        <f ca="1">(LN(C15/C16)+(F18+(F16/2))*C17)/(((F16)^(0.5))*(C17^0.5))</f>
        <v>0.53092559026302755</v>
      </c>
    </row>
    <row r="21" spans="1:7" s="1" customFormat="1" ht="13">
      <c r="A21" s="1" t="s">
        <v>243</v>
      </c>
      <c r="B21" s="7">
        <f ca="1">NORMSDIST(B20)</f>
        <v>0.70226482813556157</v>
      </c>
    </row>
    <row r="22" spans="1:7" s="1" customFormat="1" ht="13"/>
    <row r="23" spans="1:7" s="1" customFormat="1" ht="16" customHeight="1">
      <c r="A23" s="1" t="s">
        <v>253</v>
      </c>
      <c r="B23" s="7">
        <f ca="1">B20-((F16^0.5)*(C17^(0.5)))</f>
        <v>-0.18931742428136911</v>
      </c>
    </row>
    <row r="24" spans="1:7" s="1" customFormat="1" ht="13">
      <c r="A24" s="1" t="s">
        <v>254</v>
      </c>
      <c r="B24" s="7">
        <f ca="1">NORMSDIST(B23)</f>
        <v>0.42492201982941474</v>
      </c>
    </row>
    <row r="25" spans="1:7" ht="15" thickBot="1">
      <c r="A25" s="1"/>
      <c r="B25" s="1"/>
    </row>
    <row r="26" spans="1:7" s="1" customFormat="1" thickBot="1">
      <c r="A26" s="1" t="s">
        <v>199</v>
      </c>
      <c r="C26" s="83">
        <f ca="1">((EXP((0-F17)*C17))*C15*B21-C16*(EXP((0-F15)*C17))*B24)</f>
        <v>11.615920142019162</v>
      </c>
      <c r="G26" s="45"/>
    </row>
    <row r="27" spans="1:7" s="1" customFormat="1" thickBot="1">
      <c r="A27" s="1" t="s">
        <v>200</v>
      </c>
      <c r="D27" s="18">
        <f ca="1">C26*D8</f>
        <v>592.3886954026932</v>
      </c>
    </row>
  </sheetData>
  <phoneticPr fontId="25" type="noConversion"/>
  <pageMargins left="0.75" right="0.75" top="1" bottom="1" header="0.5" footer="0.5"/>
  <pageSetup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workbookViewId="0">
      <selection activeCell="G9" sqref="G9"/>
    </sheetView>
  </sheetViews>
  <sheetFormatPr baseColWidth="10" defaultRowHeight="14"/>
  <cols>
    <col min="1" max="1" width="32" bestFit="1" customWidth="1"/>
    <col min="7" max="7" width="16.7109375" bestFit="1" customWidth="1"/>
    <col min="8" max="8" width="14" customWidth="1"/>
    <col min="11" max="11" width="15.5703125" bestFit="1" customWidth="1"/>
  </cols>
  <sheetData>
    <row r="1" spans="1:17" s="95" customFormat="1" ht="18">
      <c r="A1" s="248" t="s">
        <v>748</v>
      </c>
      <c r="B1" s="248"/>
      <c r="C1" s="248"/>
      <c r="D1" s="248"/>
      <c r="E1" s="248"/>
      <c r="F1" s="248"/>
      <c r="G1" s="248"/>
      <c r="H1" s="248"/>
      <c r="I1" s="248"/>
      <c r="J1" s="248"/>
      <c r="K1" s="248"/>
      <c r="L1"/>
      <c r="M1"/>
      <c r="N1"/>
      <c r="O1"/>
      <c r="P1"/>
      <c r="Q1"/>
    </row>
    <row r="2" spans="1:17" s="2" customFormat="1" ht="15" customHeight="1">
      <c r="A2" s="248"/>
      <c r="B2" s="248"/>
      <c r="C2" s="248"/>
      <c r="D2" s="248"/>
      <c r="E2" s="248"/>
      <c r="F2" s="248"/>
      <c r="G2" s="248"/>
      <c r="H2" s="248"/>
      <c r="I2" s="248"/>
      <c r="J2" s="248"/>
      <c r="K2" s="248"/>
      <c r="L2"/>
      <c r="M2"/>
      <c r="N2"/>
      <c r="O2"/>
      <c r="P2"/>
      <c r="Q2"/>
    </row>
    <row r="3" spans="1:17" s="1" customFormat="1" ht="15" customHeight="1">
      <c r="A3" s="3" t="s">
        <v>411</v>
      </c>
      <c r="G3" s="96" t="s">
        <v>749</v>
      </c>
      <c r="H3" s="95"/>
      <c r="I3" s="95"/>
      <c r="J3" s="95"/>
      <c r="K3" s="95"/>
      <c r="L3" s="95"/>
      <c r="M3" s="95"/>
      <c r="N3" s="95"/>
      <c r="O3" s="95"/>
      <c r="P3" s="95"/>
      <c r="Q3" s="95"/>
    </row>
    <row r="4" spans="1:17" s="1" customFormat="1" ht="15" customHeight="1">
      <c r="A4" s="1" t="s">
        <v>413</v>
      </c>
      <c r="B4" s="99">
        <f>'Master Inputs Start here'!B32</f>
        <v>441.70579029733955</v>
      </c>
      <c r="D4" s="249" t="s">
        <v>773</v>
      </c>
      <c r="E4" s="249"/>
      <c r="F4" s="249"/>
      <c r="G4" s="97" t="s">
        <v>407</v>
      </c>
      <c r="H4" s="97" t="s">
        <v>270</v>
      </c>
      <c r="I4" s="97" t="s">
        <v>408</v>
      </c>
      <c r="J4" s="97" t="s">
        <v>409</v>
      </c>
      <c r="K4" s="97" t="s">
        <v>410</v>
      </c>
      <c r="L4" s="2"/>
      <c r="M4" s="2"/>
      <c r="N4" s="2"/>
      <c r="O4" s="2"/>
      <c r="P4" s="2"/>
      <c r="Q4" s="2"/>
    </row>
    <row r="5" spans="1:17" s="1" customFormat="1" ht="15" customHeight="1">
      <c r="A5" s="1" t="s">
        <v>415</v>
      </c>
      <c r="B5" s="173">
        <f>'Master Inputs Start here'!B31</f>
        <v>38.340000000000003</v>
      </c>
      <c r="D5" s="249"/>
      <c r="E5" s="249"/>
      <c r="F5" s="249"/>
      <c r="G5" s="92" t="s">
        <v>487</v>
      </c>
      <c r="H5" s="92">
        <v>48421</v>
      </c>
      <c r="I5" s="98">
        <f>IF(H5=0,0,VLOOKUP(G5,'Country ERP'!$A$5:$F$181,4))</f>
        <v>7.4005788281155213E-2</v>
      </c>
      <c r="J5" s="98">
        <f t="shared" ref="J5:J12" si="0">IF(H5&gt;0,H5/$H$18,)</f>
        <v>1</v>
      </c>
      <c r="K5" s="98">
        <f t="shared" ref="K5:K12" si="1">IF(J5=0,0,I5*J5)</f>
        <v>7.4005788281155213E-2</v>
      </c>
      <c r="M5" s="249" t="s">
        <v>750</v>
      </c>
      <c r="N5" s="249"/>
      <c r="O5" s="249"/>
      <c r="P5" s="249"/>
      <c r="Q5" s="249"/>
    </row>
    <row r="6" spans="1:17" s="1" customFormat="1" ht="15" customHeight="1">
      <c r="D6" s="249"/>
      <c r="E6" s="249"/>
      <c r="F6" s="249"/>
      <c r="G6" s="92"/>
      <c r="H6" s="92"/>
      <c r="I6" s="98">
        <f>IF(H6=0,0,VLOOKUP(G6,'Country ERP'!$A$5:$F$181,4))</f>
        <v>0</v>
      </c>
      <c r="J6" s="98">
        <f t="shared" si="0"/>
        <v>0</v>
      </c>
      <c r="K6" s="98">
        <f t="shared" si="1"/>
        <v>0</v>
      </c>
      <c r="M6" s="249"/>
      <c r="N6" s="249"/>
      <c r="O6" s="249"/>
      <c r="P6" s="249"/>
      <c r="Q6" s="249"/>
    </row>
    <row r="7" spans="1:17" s="1" customFormat="1" ht="15" customHeight="1">
      <c r="A7" s="1" t="s">
        <v>416</v>
      </c>
      <c r="B7" s="102">
        <f>K48</f>
        <v>1.2874181030738883</v>
      </c>
      <c r="D7" s="249"/>
      <c r="E7" s="249"/>
      <c r="F7" s="249"/>
      <c r="G7" s="92"/>
      <c r="H7" s="92"/>
      <c r="I7" s="98">
        <f>IF(H7=0,0,VLOOKUP(G7,'Country ERP'!$A$5:$F$181,4))</f>
        <v>0</v>
      </c>
      <c r="J7" s="98">
        <f t="shared" si="0"/>
        <v>0</v>
      </c>
      <c r="K7" s="98">
        <f t="shared" si="1"/>
        <v>0</v>
      </c>
      <c r="M7" s="249"/>
      <c r="N7" s="249"/>
      <c r="O7" s="249"/>
      <c r="P7" s="249"/>
      <c r="Q7" s="249"/>
    </row>
    <row r="8" spans="1:17" s="1" customFormat="1" ht="15" customHeight="1">
      <c r="A8" s="1" t="s">
        <v>417</v>
      </c>
      <c r="B8" s="103">
        <f>'Master Inputs Start here'!B39</f>
        <v>0.03</v>
      </c>
      <c r="D8" s="249"/>
      <c r="E8" s="249"/>
      <c r="F8" s="249"/>
      <c r="G8" s="92"/>
      <c r="H8" s="92"/>
      <c r="I8" s="98">
        <f>IF(H8=0,0,VLOOKUP(G8,'Country ERP'!$A$5:$F$181,4))</f>
        <v>0</v>
      </c>
      <c r="J8" s="98">
        <f t="shared" si="0"/>
        <v>0</v>
      </c>
      <c r="K8" s="98">
        <f t="shared" si="1"/>
        <v>0</v>
      </c>
      <c r="M8" s="249"/>
      <c r="N8" s="249"/>
      <c r="O8" s="249"/>
      <c r="P8" s="249"/>
      <c r="Q8" s="249"/>
    </row>
    <row r="9" spans="1:17" s="1" customFormat="1" ht="15" customHeight="1">
      <c r="A9" s="1" t="s">
        <v>418</v>
      </c>
      <c r="B9" s="175">
        <f>K18</f>
        <v>7.4005788281155213E-2</v>
      </c>
      <c r="D9" s="249"/>
      <c r="E9" s="249"/>
      <c r="F9" s="249"/>
      <c r="G9" s="92"/>
      <c r="H9" s="92"/>
      <c r="I9" s="98">
        <f>IF(H9=0,0,VLOOKUP(G9,'Country ERP'!$A$5:$F$181,4))</f>
        <v>0</v>
      </c>
      <c r="J9" s="98">
        <f t="shared" si="0"/>
        <v>0</v>
      </c>
      <c r="K9" s="98">
        <f t="shared" si="1"/>
        <v>0</v>
      </c>
      <c r="M9" s="249"/>
      <c r="N9" s="249"/>
      <c r="O9" s="249"/>
      <c r="P9" s="249"/>
      <c r="Q9" s="249"/>
    </row>
    <row r="10" spans="1:17" s="1" customFormat="1" ht="15" customHeight="1">
      <c r="D10" s="249"/>
      <c r="E10" s="249"/>
      <c r="F10" s="249"/>
      <c r="G10" s="92"/>
      <c r="H10" s="92"/>
      <c r="I10" s="98">
        <f>IF(H10=0,0,VLOOKUP(G10,'Country ERP'!$A$5:$F$181,4))</f>
        <v>0</v>
      </c>
      <c r="J10" s="98">
        <f t="shared" si="0"/>
        <v>0</v>
      </c>
      <c r="K10" s="98">
        <f t="shared" si="1"/>
        <v>0</v>
      </c>
      <c r="M10" s="249"/>
      <c r="N10" s="249"/>
      <c r="O10" s="249"/>
      <c r="P10" s="249"/>
      <c r="Q10" s="249"/>
    </row>
    <row r="11" spans="1:17" s="1" customFormat="1" ht="15" customHeight="1">
      <c r="A11" s="3" t="s">
        <v>419</v>
      </c>
      <c r="D11" s="249"/>
      <c r="E11" s="249"/>
      <c r="F11" s="249"/>
      <c r="G11" s="92"/>
      <c r="H11" s="92"/>
      <c r="I11" s="98">
        <f>IF(H11=0,0,VLOOKUP(G11,'Country ERP'!$A$5:$F$181,4))</f>
        <v>0</v>
      </c>
      <c r="J11" s="98">
        <f t="shared" si="0"/>
        <v>0</v>
      </c>
      <c r="K11" s="98">
        <f t="shared" si="1"/>
        <v>0</v>
      </c>
      <c r="M11" s="249"/>
      <c r="N11" s="249"/>
      <c r="O11" s="249"/>
      <c r="P11" s="249"/>
      <c r="Q11" s="249"/>
    </row>
    <row r="12" spans="1:17" s="1" customFormat="1" ht="15" customHeight="1">
      <c r="A12" s="1" t="s">
        <v>420</v>
      </c>
      <c r="B12" s="173">
        <f>'Master Inputs Start here'!B21</f>
        <v>2609</v>
      </c>
      <c r="D12" s="249"/>
      <c r="E12" s="249"/>
      <c r="F12" s="249"/>
      <c r="G12" s="92"/>
      <c r="H12" s="92"/>
      <c r="I12" s="98">
        <f>IF(H12=0,0,VLOOKUP(G12,'Country ERP'!$A$5:$F$181,4))</f>
        <v>0</v>
      </c>
      <c r="J12" s="98">
        <f t="shared" si="0"/>
        <v>0</v>
      </c>
      <c r="K12" s="98">
        <f t="shared" si="1"/>
        <v>0</v>
      </c>
      <c r="M12" s="249"/>
      <c r="N12" s="249"/>
      <c r="O12" s="249"/>
      <c r="P12" s="249"/>
      <c r="Q12" s="249"/>
    </row>
    <row r="13" spans="1:17" s="1" customFormat="1" ht="15" customHeight="1">
      <c r="A13" s="1" t="s">
        <v>421</v>
      </c>
      <c r="B13" s="173">
        <f>'Master Inputs Start here'!B13</f>
        <v>255.25800000000001</v>
      </c>
      <c r="D13" s="249"/>
      <c r="E13" s="249"/>
      <c r="F13" s="249"/>
      <c r="G13" s="92"/>
      <c r="H13" s="92"/>
      <c r="I13" s="98">
        <f>IF(H13=0,0,VLOOKUP(G13,'Country ERP'!$A$5:$F$181,4))</f>
        <v>0</v>
      </c>
      <c r="J13" s="98">
        <f>IF(H13&gt;0,H13/$H$18,)</f>
        <v>0</v>
      </c>
      <c r="K13" s="98">
        <f>IF(J13=0,0,I13*J13)</f>
        <v>0</v>
      </c>
      <c r="M13" s="249"/>
      <c r="N13" s="249"/>
      <c r="O13" s="249"/>
      <c r="P13" s="249"/>
      <c r="Q13" s="249"/>
    </row>
    <row r="14" spans="1:17" s="1" customFormat="1" ht="15" customHeight="1">
      <c r="A14" s="1" t="s">
        <v>422</v>
      </c>
      <c r="B14" s="58">
        <v>5</v>
      </c>
      <c r="D14" s="249"/>
      <c r="E14" s="249"/>
      <c r="F14" s="249"/>
      <c r="G14" s="92"/>
      <c r="H14" s="92"/>
      <c r="I14" s="98">
        <f>IF(H14=0,0,VLOOKUP(G14,'Country ERP'!$A$5:$F$181,4))</f>
        <v>0</v>
      </c>
      <c r="J14" s="98">
        <f>IF(H14&gt;0,H14/$H$18,)</f>
        <v>0</v>
      </c>
      <c r="K14" s="98">
        <f>IF(J14=0,0,I14*J14)</f>
        <v>0</v>
      </c>
      <c r="M14" s="249"/>
      <c r="N14" s="249"/>
      <c r="O14" s="249"/>
      <c r="P14" s="249"/>
      <c r="Q14" s="249"/>
    </row>
    <row r="15" spans="1:17" s="1" customFormat="1" ht="15" customHeight="1">
      <c r="A15" s="1" t="s">
        <v>269</v>
      </c>
      <c r="B15" s="175">
        <v>3.6499999999999998E-2</v>
      </c>
      <c r="D15" s="249"/>
      <c r="E15" s="249"/>
      <c r="F15" s="249"/>
      <c r="G15" s="92"/>
      <c r="H15" s="92"/>
      <c r="I15" s="98">
        <f>IF(H15=0,0,VLOOKUP(G15,'Country ERP'!$A$5:$F$181,4))</f>
        <v>0</v>
      </c>
      <c r="J15" s="98">
        <f>IF(H15&gt;0,H15/$H$18,)</f>
        <v>0</v>
      </c>
      <c r="K15" s="98">
        <f>IF(J15=0,0,I15*J15)</f>
        <v>0</v>
      </c>
      <c r="M15" s="249"/>
      <c r="N15" s="249"/>
      <c r="O15" s="249"/>
      <c r="P15" s="249"/>
      <c r="Q15" s="249"/>
    </row>
    <row r="16" spans="1:17" s="1" customFormat="1" ht="15" customHeight="1">
      <c r="A16" s="1" t="s">
        <v>37</v>
      </c>
      <c r="B16" s="176">
        <f>'Master Inputs Start here'!B17</f>
        <v>0.34</v>
      </c>
      <c r="D16" s="249"/>
      <c r="E16" s="249"/>
      <c r="F16" s="249"/>
      <c r="G16" s="139"/>
      <c r="H16" s="92"/>
      <c r="I16" s="139"/>
      <c r="J16" s="98">
        <f>IF(H16&gt;0,H16/$H$18,)</f>
        <v>0</v>
      </c>
      <c r="K16" s="98">
        <f>IF(J16=0,0,I16*J16)</f>
        <v>0</v>
      </c>
      <c r="M16" s="249"/>
      <c r="N16" s="249"/>
      <c r="O16" s="249"/>
      <c r="P16" s="249"/>
      <c r="Q16" s="249"/>
    </row>
    <row r="17" spans="1:17" s="1" customFormat="1" ht="15" customHeight="1">
      <c r="D17" s="249"/>
      <c r="E17" s="249"/>
      <c r="F17" s="249"/>
      <c r="G17" s="139"/>
      <c r="H17" s="92"/>
      <c r="I17" s="139"/>
      <c r="J17" s="98">
        <f>IF(H17&gt;0,H17/$H$18,)</f>
        <v>0</v>
      </c>
      <c r="K17" s="98">
        <f>IF(J17=0,0,I17*J17)</f>
        <v>0</v>
      </c>
      <c r="M17" s="249"/>
      <c r="N17" s="249"/>
      <c r="O17" s="249"/>
      <c r="P17" s="249"/>
      <c r="Q17" s="249"/>
    </row>
    <row r="18" spans="1:17" s="1" customFormat="1" ht="15" customHeight="1">
      <c r="A18" s="1" t="s">
        <v>424</v>
      </c>
      <c r="B18" s="58">
        <v>0</v>
      </c>
      <c r="D18" s="249"/>
      <c r="E18" s="249"/>
      <c r="F18" s="249"/>
      <c r="G18" s="101" t="s">
        <v>36</v>
      </c>
      <c r="H18" s="101">
        <f>SUM(H5:H17)</f>
        <v>48421</v>
      </c>
      <c r="I18" s="101"/>
      <c r="J18" s="98">
        <f>SUM(J5:J17)</f>
        <v>1</v>
      </c>
      <c r="K18" s="98">
        <f>SUM(K5:K17)</f>
        <v>7.4005788281155213E-2</v>
      </c>
      <c r="M18" s="249"/>
      <c r="N18" s="249"/>
      <c r="O18" s="249"/>
      <c r="P18" s="249"/>
      <c r="Q18" s="249"/>
    </row>
    <row r="19" spans="1:17" s="1" customFormat="1" ht="15" customHeight="1">
      <c r="A19" s="1" t="s">
        <v>425</v>
      </c>
      <c r="B19" s="58">
        <v>0</v>
      </c>
      <c r="D19" s="249"/>
      <c r="E19" s="249"/>
      <c r="F19" s="249"/>
      <c r="G19" s="96" t="s">
        <v>753</v>
      </c>
      <c r="M19" s="249"/>
      <c r="N19" s="249"/>
      <c r="O19" s="249"/>
      <c r="P19" s="249"/>
      <c r="Q19" s="249"/>
    </row>
    <row r="20" spans="1:17" s="1" customFormat="1" ht="15" customHeight="1">
      <c r="A20" s="1" t="s">
        <v>426</v>
      </c>
      <c r="B20" s="58">
        <v>0</v>
      </c>
      <c r="D20" s="249"/>
      <c r="E20" s="249"/>
      <c r="F20" s="249"/>
      <c r="G20" s="7" t="s">
        <v>423</v>
      </c>
      <c r="H20" s="7" t="s">
        <v>270</v>
      </c>
      <c r="I20" s="7" t="s">
        <v>408</v>
      </c>
      <c r="J20" s="7" t="s">
        <v>409</v>
      </c>
      <c r="K20" s="7" t="s">
        <v>410</v>
      </c>
    </row>
    <row r="21" spans="1:17" s="1" customFormat="1" ht="15" customHeight="1">
      <c r="A21" s="1" t="s">
        <v>427</v>
      </c>
      <c r="B21" s="58">
        <v>0</v>
      </c>
      <c r="D21" s="249"/>
      <c r="E21" s="249"/>
      <c r="F21" s="249"/>
      <c r="G21" s="7" t="str">
        <f>'Country ERP'!A185</f>
        <v>Africa</v>
      </c>
      <c r="H21" s="92">
        <v>0</v>
      </c>
      <c r="I21" s="20">
        <f>'Country ERP'!B185</f>
        <v>0.15575842480808141</v>
      </c>
      <c r="J21" s="98">
        <f t="shared" ref="J21:J29" si="2">H21/$H$32</f>
        <v>0</v>
      </c>
      <c r="K21" s="104">
        <f>I21*J21</f>
        <v>0</v>
      </c>
    </row>
    <row r="22" spans="1:17" s="1" customFormat="1" ht="15" customHeight="1">
      <c r="D22" s="249"/>
      <c r="E22" s="249"/>
      <c r="F22" s="249"/>
      <c r="G22" s="7" t="str">
        <f>'Country ERP'!A186</f>
        <v>Asia</v>
      </c>
      <c r="H22" s="92">
        <f>3159+4281</f>
        <v>7440</v>
      </c>
      <c r="I22" s="20">
        <f>'Country ERP'!B186</f>
        <v>7.8681546633950522E-2</v>
      </c>
      <c r="J22" s="98">
        <f t="shared" si="2"/>
        <v>7.3442312248282404E-2</v>
      </c>
      <c r="K22" s="104">
        <f t="shared" ref="K22:K29" si="3">I22*J22</f>
        <v>5.7785547160683877E-3</v>
      </c>
    </row>
    <row r="23" spans="1:17" s="1" customFormat="1" ht="15" customHeight="1">
      <c r="A23" s="1" t="s">
        <v>428</v>
      </c>
      <c r="B23" s="100">
        <f ca="1">IF('Master Inputs Start here'!B7="Yes",'Operating lease converter'!C30,0)</f>
        <v>1416.541685823707</v>
      </c>
      <c r="G23" s="7" t="str">
        <f>'Country ERP'!A187</f>
        <v>Australia &amp; New Zealand</v>
      </c>
      <c r="H23" s="92"/>
      <c r="I23" s="20">
        <f>'Country ERP'!B187</f>
        <v>5.940001664280644E-2</v>
      </c>
      <c r="J23" s="98">
        <f t="shared" si="2"/>
        <v>0</v>
      </c>
      <c r="K23" s="104">
        <f t="shared" si="3"/>
        <v>0</v>
      </c>
    </row>
    <row r="24" spans="1:17" s="1" customFormat="1" ht="15" customHeight="1">
      <c r="G24" s="7" t="str">
        <f>'Country ERP'!A188</f>
        <v>Caribbean</v>
      </c>
      <c r="H24" s="92">
        <v>0</v>
      </c>
      <c r="I24" s="20">
        <f>'Country ERP'!B188</f>
        <v>0.17130442097799001</v>
      </c>
      <c r="J24" s="98">
        <f t="shared" si="2"/>
        <v>0</v>
      </c>
      <c r="K24" s="104">
        <f t="shared" si="3"/>
        <v>0</v>
      </c>
    </row>
    <row r="25" spans="1:17" s="1" customFormat="1" ht="15" customHeight="1">
      <c r="A25" s="3" t="s">
        <v>429</v>
      </c>
      <c r="G25" s="7" t="str">
        <f>'Country ERP'!A189</f>
        <v>Central and South America</v>
      </c>
      <c r="H25" s="92">
        <v>0</v>
      </c>
      <c r="I25" s="20">
        <f>'Country ERP'!B189</f>
        <v>0.12505674061025501</v>
      </c>
      <c r="J25" s="98">
        <f t="shared" si="2"/>
        <v>0</v>
      </c>
      <c r="K25" s="104">
        <f t="shared" si="3"/>
        <v>0</v>
      </c>
    </row>
    <row r="26" spans="1:17" s="1" customFormat="1" ht="15" customHeight="1">
      <c r="A26" s="1" t="s">
        <v>430</v>
      </c>
      <c r="B26" s="58">
        <v>0</v>
      </c>
      <c r="G26" s="7" t="str">
        <f>'Country ERP'!A190</f>
        <v>Eastern Europe &amp; Russia</v>
      </c>
      <c r="H26" s="92"/>
      <c r="I26" s="20">
        <f>'Country ERP'!B190</f>
        <v>0.13732098212912111</v>
      </c>
      <c r="J26" s="98">
        <f t="shared" si="2"/>
        <v>0</v>
      </c>
      <c r="K26" s="104">
        <f t="shared" si="3"/>
        <v>0</v>
      </c>
    </row>
    <row r="27" spans="1:17" s="1" customFormat="1" ht="15" customHeight="1">
      <c r="A27" s="1" t="s">
        <v>431</v>
      </c>
      <c r="B27" s="58">
        <v>70</v>
      </c>
      <c r="G27" s="7" t="str">
        <f>'Country ERP'!A191</f>
        <v>Middle East</v>
      </c>
      <c r="H27" s="92">
        <v>0</v>
      </c>
      <c r="I27" s="20">
        <f>'Country ERP'!B191</f>
        <v>8.4462475549707261E-2</v>
      </c>
      <c r="J27" s="98">
        <f t="shared" si="2"/>
        <v>0</v>
      </c>
      <c r="K27" s="104">
        <f t="shared" si="3"/>
        <v>0</v>
      </c>
    </row>
    <row r="28" spans="1:17" s="1" customFormat="1" ht="15" customHeight="1">
      <c r="A28" s="1" t="s">
        <v>432</v>
      </c>
      <c r="B28" s="58">
        <v>5</v>
      </c>
      <c r="G28" s="7" t="str">
        <f>'Country ERP'!A192</f>
        <v>North America</v>
      </c>
      <c r="H28" s="92">
        <v>93864</v>
      </c>
      <c r="I28" s="20">
        <f>'Country ERP'!B192</f>
        <v>5.9400000000000001E-2</v>
      </c>
      <c r="J28" s="98">
        <f t="shared" si="2"/>
        <v>0.92655768775171765</v>
      </c>
      <c r="K28" s="104">
        <f t="shared" si="3"/>
        <v>5.5037526652452033E-2</v>
      </c>
    </row>
    <row r="29" spans="1:17" s="1" customFormat="1" ht="15" customHeight="1">
      <c r="G29" s="7" t="str">
        <f>'Country ERP'!A193</f>
        <v>Western Europe</v>
      </c>
      <c r="H29" s="92"/>
      <c r="I29" s="20">
        <f>'Country ERP'!B193</f>
        <v>7.4468788892060586E-2</v>
      </c>
      <c r="J29" s="98">
        <f t="shared" si="2"/>
        <v>0</v>
      </c>
      <c r="K29" s="104">
        <f t="shared" si="3"/>
        <v>0</v>
      </c>
    </row>
    <row r="30" spans="1:17" s="1" customFormat="1" ht="15" customHeight="1">
      <c r="A30" s="2" t="s">
        <v>220</v>
      </c>
      <c r="G30" s="92"/>
      <c r="H30" s="92"/>
      <c r="I30" s="140"/>
      <c r="J30" s="98">
        <f>H30/$H$32</f>
        <v>0</v>
      </c>
      <c r="K30" s="104">
        <f>I30*J30</f>
        <v>0</v>
      </c>
    </row>
    <row r="31" spans="1:17" s="1" customFormat="1" ht="15" customHeight="1">
      <c r="A31" s="7" t="s">
        <v>434</v>
      </c>
      <c r="B31" s="7"/>
      <c r="C31" s="109">
        <f>B13*(1-(1+B15)^(-B14))/B15+B12/(1+B15)^B14</f>
        <v>3328.482329717358</v>
      </c>
      <c r="G31" s="92"/>
      <c r="H31" s="92"/>
      <c r="I31" s="140"/>
      <c r="J31" s="98">
        <f>H31/$H$32</f>
        <v>0</v>
      </c>
      <c r="K31" s="104">
        <f>I31*J31</f>
        <v>0</v>
      </c>
    </row>
    <row r="32" spans="1:17" s="1" customFormat="1" ht="15" customHeight="1">
      <c r="A32" s="7" t="s">
        <v>435</v>
      </c>
      <c r="B32" s="7"/>
      <c r="C32" s="109">
        <f>B19*(1-(1+B15)^(-B20))/B15+B18/(1+B15)^B20</f>
        <v>0</v>
      </c>
      <c r="G32" s="101" t="s">
        <v>36</v>
      </c>
      <c r="H32" s="101">
        <f>SUM(H21:H31)</f>
        <v>101304</v>
      </c>
      <c r="I32" s="103"/>
      <c r="J32" s="98">
        <f>SUM(J21:J31)</f>
        <v>1</v>
      </c>
      <c r="K32" s="105">
        <f>SUM(K21:K31)</f>
        <v>6.0816081368520424E-2</v>
      </c>
    </row>
    <row r="33" spans="1:17" s="1" customFormat="1" ht="15" customHeight="1">
      <c r="A33" s="7" t="s">
        <v>436</v>
      </c>
      <c r="B33" s="7"/>
      <c r="C33" s="109">
        <f ca="1">B23</f>
        <v>1416.541685823707</v>
      </c>
    </row>
    <row r="34" spans="1:17" s="1" customFormat="1" ht="15" customHeight="1">
      <c r="A34" s="7" t="s">
        <v>437</v>
      </c>
      <c r="B34" s="7"/>
      <c r="C34" s="109">
        <f>B21-C32</f>
        <v>0</v>
      </c>
      <c r="G34" s="95" t="s">
        <v>755</v>
      </c>
    </row>
    <row r="35" spans="1:17" s="1" customFormat="1" ht="15" customHeight="1">
      <c r="A35" s="7" t="s">
        <v>438</v>
      </c>
      <c r="B35" s="7"/>
      <c r="C35" s="110">
        <f ca="1">B7*(1+(1-B16)*(C38/B38))</f>
        <v>1.5254947301364465</v>
      </c>
      <c r="G35" s="7" t="s">
        <v>433</v>
      </c>
      <c r="H35" s="7" t="s">
        <v>270</v>
      </c>
      <c r="I35" s="7" t="s">
        <v>332</v>
      </c>
      <c r="J35" s="7" t="s">
        <v>403</v>
      </c>
      <c r="K35" s="7" t="s">
        <v>343</v>
      </c>
    </row>
    <row r="36" spans="1:17" s="1" customFormat="1" ht="15" customHeight="1">
      <c r="G36" s="92" t="s">
        <v>171</v>
      </c>
      <c r="H36" s="106">
        <v>84</v>
      </c>
      <c r="I36" s="107">
        <f>IF(G36=0,,VLOOKUP(G36,'US Industry averages'!$A$2:$Z$95,15))</f>
        <v>1.9623441180972629</v>
      </c>
      <c r="J36" s="108">
        <f>H36*I36</f>
        <v>164.8369059201701</v>
      </c>
      <c r="K36" s="107">
        <f>IF(I36=0,0,VLOOKUP(G36,'US Industry averages'!$A$2:$Z$95,7))</f>
        <v>1.3458926691301203</v>
      </c>
    </row>
    <row r="37" spans="1:17" s="10" customFormat="1" ht="15" customHeight="1">
      <c r="B37" s="111" t="s">
        <v>411</v>
      </c>
      <c r="C37" s="111" t="s">
        <v>439</v>
      </c>
      <c r="D37" s="111" t="s">
        <v>429</v>
      </c>
      <c r="E37" s="111" t="s">
        <v>440</v>
      </c>
      <c r="G37" s="92" t="s">
        <v>259</v>
      </c>
      <c r="H37" s="106">
        <v>16</v>
      </c>
      <c r="I37" s="107">
        <f>IF(G37=0,,VLOOKUP(G37,'US Industry averages'!$A$2:$Z$95,15))</f>
        <v>1.0151710556389202</v>
      </c>
      <c r="J37" s="108">
        <f>H37*I37</f>
        <v>16.242736890222723</v>
      </c>
      <c r="K37" s="107">
        <f>IF(I37=0,0,VLOOKUP(G37,'US Industry averages'!$A$2:$Z$95,7))</f>
        <v>0.69399800343932827</v>
      </c>
      <c r="L37" s="1"/>
      <c r="M37" s="1"/>
      <c r="N37" s="1"/>
      <c r="O37" s="1"/>
      <c r="P37" s="1"/>
      <c r="Q37" s="1"/>
    </row>
    <row r="38" spans="1:17" s="1" customFormat="1" ht="15" customHeight="1">
      <c r="A38" s="7" t="s">
        <v>441</v>
      </c>
      <c r="B38" s="109">
        <f>B4*B5</f>
        <v>16935</v>
      </c>
      <c r="C38" s="109">
        <f ca="1">C31+C32+C33</f>
        <v>4745.0240155410647</v>
      </c>
      <c r="D38" s="109">
        <f>B26*B27</f>
        <v>0</v>
      </c>
      <c r="E38" s="100">
        <f ca="1">SUM(B38:D38)</f>
        <v>21680.024015541065</v>
      </c>
      <c r="G38" s="92"/>
      <c r="H38" s="106"/>
      <c r="I38" s="107">
        <f>IF(G38=0,,VLOOKUP(G38,'US Industry averages'!$A$2:$Z$95,15))</f>
        <v>0</v>
      </c>
      <c r="J38" s="108">
        <f t="shared" ref="J38:J47" si="4">H38*I38</f>
        <v>0</v>
      </c>
      <c r="K38" s="107">
        <f>IF(I38=0,0,VLOOKUP(G38,'US Industry averages'!$A$2:$Z$95,7))</f>
        <v>0</v>
      </c>
    </row>
    <row r="39" spans="1:17" s="1" customFormat="1" ht="15" customHeight="1" thickBot="1">
      <c r="A39" s="7" t="s">
        <v>442</v>
      </c>
      <c r="B39" s="98">
        <f ca="1">B38/$E$38</f>
        <v>0.78113382106312934</v>
      </c>
      <c r="C39" s="98">
        <f ca="1">C38/$E$38</f>
        <v>0.21886617893687071</v>
      </c>
      <c r="D39" s="98">
        <f ca="1">D38/$E$38</f>
        <v>0</v>
      </c>
      <c r="E39" s="112">
        <f ca="1">SUM(B39:D39)</f>
        <v>1</v>
      </c>
      <c r="G39" s="92"/>
      <c r="H39" s="106"/>
      <c r="I39" s="107">
        <f>IF(G39=0,,VLOOKUP(G39,'US Industry averages'!$A$2:$Z$95,15))</f>
        <v>0</v>
      </c>
      <c r="J39" s="108">
        <f t="shared" si="4"/>
        <v>0</v>
      </c>
      <c r="K39" s="107">
        <f>IF(I39=0,0,VLOOKUP(G39,'US Industry averages'!$A$2:$Z$95,7))</f>
        <v>0</v>
      </c>
    </row>
    <row r="40" spans="1:17" s="1" customFormat="1" ht="15" customHeight="1" thickBot="1">
      <c r="A40" s="7" t="s">
        <v>443</v>
      </c>
      <c r="B40" s="103">
        <f ca="1">B8+C35*B9</f>
        <v>0.14289544002249588</v>
      </c>
      <c r="C40" s="98">
        <f>B15*(1-B16)</f>
        <v>2.4089999999999997E-2</v>
      </c>
      <c r="D40" s="113">
        <f>B28/B27</f>
        <v>7.1428571428571425E-2</v>
      </c>
      <c r="E40" s="114">
        <f ca="1">B39*B40+C39*C40+D39*D40</f>
        <v>0.11689294732785864</v>
      </c>
      <c r="G40" s="92"/>
      <c r="H40" s="106"/>
      <c r="I40" s="107">
        <f>IF(G40=0,,VLOOKUP(G40,'US Industry averages'!$A$2:$Z$95,15))</f>
        <v>0</v>
      </c>
      <c r="J40" s="108">
        <f t="shared" si="4"/>
        <v>0</v>
      </c>
      <c r="K40" s="107">
        <f>IF(I40=0,0,VLOOKUP(G40,'US Industry averages'!$A$2:$Z$95,7))</f>
        <v>0</v>
      </c>
      <c r="L40" s="10"/>
      <c r="M40" s="10"/>
      <c r="N40" s="10"/>
      <c r="O40" s="10"/>
      <c r="P40" s="10"/>
      <c r="Q40" s="10"/>
    </row>
    <row r="41" spans="1:17">
      <c r="G41" s="92"/>
      <c r="H41" s="106"/>
      <c r="I41" s="107">
        <f>IF(G41=0,,VLOOKUP(G41,'US Industry averages'!$A$2:$Z$95,15))</f>
        <v>0</v>
      </c>
      <c r="J41" s="108">
        <f t="shared" si="4"/>
        <v>0</v>
      </c>
      <c r="K41" s="107">
        <f>IF(I41=0,0,VLOOKUP(G41,'US Industry averages'!$A$2:$Z$95,7))</f>
        <v>0</v>
      </c>
      <c r="L41" s="1"/>
      <c r="M41" s="1"/>
      <c r="N41" s="1"/>
      <c r="O41" s="1"/>
      <c r="P41" s="1"/>
      <c r="Q41" s="1"/>
    </row>
    <row r="42" spans="1:17">
      <c r="G42" s="92"/>
      <c r="H42" s="106"/>
      <c r="I42" s="107">
        <f>IF(G42=0,,VLOOKUP(G42,'US Industry averages'!$A$2:$Z$95,15))</f>
        <v>0</v>
      </c>
      <c r="J42" s="108">
        <f t="shared" si="4"/>
        <v>0</v>
      </c>
      <c r="K42" s="107">
        <f>IF(I42=0,0,VLOOKUP(G42,'US Industry averages'!$A$2:$Z$95,7))</f>
        <v>0</v>
      </c>
      <c r="L42" s="1"/>
      <c r="M42" s="1"/>
      <c r="N42" s="1"/>
      <c r="O42" s="1"/>
      <c r="P42" s="1"/>
      <c r="Q42" s="1"/>
    </row>
    <row r="43" spans="1:17">
      <c r="G43" s="92"/>
      <c r="H43" s="106"/>
      <c r="I43" s="107">
        <f>IF(G43=0,,VLOOKUP(G43,'US Industry averages'!$A$2:$Z$95,15))</f>
        <v>0</v>
      </c>
      <c r="J43" s="108">
        <f t="shared" si="4"/>
        <v>0</v>
      </c>
      <c r="K43" s="107">
        <f>IF(I43=0,0,VLOOKUP(G43,'US Industry averages'!$A$2:$Z$95,7))</f>
        <v>0</v>
      </c>
      <c r="L43" s="1"/>
      <c r="M43" s="1"/>
      <c r="N43" s="1"/>
      <c r="O43" s="1"/>
      <c r="P43" s="1"/>
      <c r="Q43" s="1"/>
    </row>
    <row r="44" spans="1:17">
      <c r="G44" s="92"/>
      <c r="H44" s="106"/>
      <c r="I44" s="107">
        <f>IF(G44=0,,VLOOKUP(G44,'US Industry averages'!$A$2:$Z$95,15))</f>
        <v>0</v>
      </c>
      <c r="J44" s="108">
        <f t="shared" si="4"/>
        <v>0</v>
      </c>
      <c r="K44" s="107">
        <f>IF(I44=0,0,VLOOKUP(G44,'US Industry averages'!$A$2:$Z$95,7))</f>
        <v>0</v>
      </c>
    </row>
    <row r="45" spans="1:17">
      <c r="G45" s="92"/>
      <c r="H45" s="106"/>
      <c r="I45" s="107">
        <f>IF(G45=0,,VLOOKUP(G45,'US Industry averages'!$A$2:$Z$95,15))</f>
        <v>0</v>
      </c>
      <c r="J45" s="108">
        <f t="shared" si="4"/>
        <v>0</v>
      </c>
      <c r="K45" s="107">
        <f>IF(I45=0,0,VLOOKUP(G45,'US Industry averages'!$A$2:$Z$95,7))</f>
        <v>0</v>
      </c>
    </row>
    <row r="46" spans="1:17">
      <c r="G46" s="92"/>
      <c r="H46" s="106"/>
      <c r="I46" s="107">
        <f>IF(G46=0,,VLOOKUP(G46,'US Industry averages'!$A$2:$Z$95,15))</f>
        <v>0</v>
      </c>
      <c r="J46" s="108">
        <f t="shared" si="4"/>
        <v>0</v>
      </c>
      <c r="K46" s="107">
        <f>IF(I46=0,0,VLOOKUP(G46,'US Industry averages'!$A$2:$Z$95,7))</f>
        <v>0</v>
      </c>
    </row>
    <row r="47" spans="1:17">
      <c r="G47" s="92"/>
      <c r="H47" s="106"/>
      <c r="I47" s="107">
        <f>IF(G47=0,,VLOOKUP(G47,'US Industry averages'!$A$2:$Z$95,15))</f>
        <v>0</v>
      </c>
      <c r="J47" s="108">
        <f t="shared" si="4"/>
        <v>0</v>
      </c>
      <c r="K47" s="107">
        <f>IF(I47=0,0,VLOOKUP(G47,'US Industry averages'!$A$2:$Z$95,7))</f>
        <v>0</v>
      </c>
    </row>
    <row r="48" spans="1:17">
      <c r="G48" s="115" t="s">
        <v>444</v>
      </c>
      <c r="H48" s="116">
        <f>SUM(H36:H47)</f>
        <v>100</v>
      </c>
      <c r="I48" s="117"/>
      <c r="J48" s="108">
        <f>SUM(J36:J47)</f>
        <v>181.07964281039281</v>
      </c>
      <c r="K48" s="117">
        <f>K36*(J36/J48)+K37*J37/J48+K38*J38/J48+K39*J39/J48+K40*J40/J48+K41*J41/J48+K42*J42/J48+K43*J43/J48+K44*J44/J48+K45*J45/J48+K46*J46/J48+K47*J47/J48</f>
        <v>1.2874181030738883</v>
      </c>
    </row>
    <row r="50" spans="7:11" ht="18">
      <c r="G50" s="172" t="s">
        <v>756</v>
      </c>
    </row>
    <row r="51" spans="7:11">
      <c r="G51" s="7" t="s">
        <v>433</v>
      </c>
      <c r="H51" s="7" t="s">
        <v>270</v>
      </c>
      <c r="I51" s="7" t="s">
        <v>332</v>
      </c>
      <c r="J51" s="7" t="s">
        <v>403</v>
      </c>
      <c r="K51" s="7" t="s">
        <v>343</v>
      </c>
    </row>
    <row r="52" spans="7:11">
      <c r="G52" s="92" t="s">
        <v>287</v>
      </c>
      <c r="H52" s="106">
        <f>25471+10067</f>
        <v>35538</v>
      </c>
      <c r="I52" s="107">
        <f>IF(G52=0,,VLOOKUP(G52,'Global Industry averages'!$A$2:$Z$95,15))</f>
        <v>2.0056137769058395</v>
      </c>
      <c r="J52" s="108">
        <f>H52*I52</f>
        <v>71275.502403679726</v>
      </c>
      <c r="K52" s="107">
        <f>IF(G52=0,,VLOOKUP(G52,'Global Industry averages'!$A$2:$Z$95,7))</f>
        <v>1.2200041411476166</v>
      </c>
    </row>
    <row r="53" spans="7:11">
      <c r="G53" s="92"/>
      <c r="H53" s="106"/>
      <c r="I53" s="107">
        <f>IF(G53=0,,VLOOKUP(G53,'Global Industry averages'!$A$2:$Z$95,15))</f>
        <v>0</v>
      </c>
      <c r="J53" s="108">
        <f>H53*I53</f>
        <v>0</v>
      </c>
      <c r="K53" s="107">
        <f>IF(G53=0,,VLOOKUP(G53,'Global Industry averages'!$A$2:$Z$95,7))</f>
        <v>0</v>
      </c>
    </row>
    <row r="54" spans="7:11">
      <c r="G54" s="92"/>
      <c r="H54" s="106"/>
      <c r="I54" s="107">
        <f>IF(G54=0,,VLOOKUP(G54,'Global Industry averages'!$A$2:$Z$95,15))</f>
        <v>0</v>
      </c>
      <c r="J54" s="108">
        <f t="shared" ref="J54:J63" si="5">H54*I54</f>
        <v>0</v>
      </c>
      <c r="K54" s="107">
        <f>IF(G54=0,,VLOOKUP(G54,'Global Industry averages'!$A$2:$Z$95,7))</f>
        <v>0</v>
      </c>
    </row>
    <row r="55" spans="7:11">
      <c r="G55" s="92"/>
      <c r="H55" s="106"/>
      <c r="I55" s="107">
        <f>IF(G55=0,,VLOOKUP(G55,'Global Industry averages'!$A$2:$Z$95,15))</f>
        <v>0</v>
      </c>
      <c r="J55" s="108">
        <f t="shared" si="5"/>
        <v>0</v>
      </c>
      <c r="K55" s="107">
        <f>IF(G55=0,,VLOOKUP(G55,'Global Industry averages'!$A$2:$Z$95,7))</f>
        <v>0</v>
      </c>
    </row>
    <row r="56" spans="7:11">
      <c r="G56" s="92"/>
      <c r="H56" s="106"/>
      <c r="I56" s="107">
        <f>IF(G56=0,,VLOOKUP(G56,'Global Industry averages'!$A$2:$Z$95,15))</f>
        <v>0</v>
      </c>
      <c r="J56" s="108">
        <f t="shared" si="5"/>
        <v>0</v>
      </c>
      <c r="K56" s="107">
        <f>IF(G56=0,,VLOOKUP(G56,'Global Industry averages'!$A$2:$Z$95,7))</f>
        <v>0</v>
      </c>
    </row>
    <row r="57" spans="7:11">
      <c r="G57" s="92"/>
      <c r="H57" s="106"/>
      <c r="I57" s="107">
        <f>IF(G57=0,,VLOOKUP(G57,'Global Industry averages'!$A$2:$Z$95,15))</f>
        <v>0</v>
      </c>
      <c r="J57" s="108">
        <f t="shared" si="5"/>
        <v>0</v>
      </c>
      <c r="K57" s="107">
        <f>IF(G57=0,,VLOOKUP(G57,'Global Industry averages'!$A$2:$Z$95,7))</f>
        <v>0</v>
      </c>
    </row>
    <row r="58" spans="7:11">
      <c r="G58" s="92"/>
      <c r="H58" s="106"/>
      <c r="I58" s="107">
        <f>IF(G58=0,,VLOOKUP(G58,'Global Industry averages'!$A$2:$Z$95,15))</f>
        <v>0</v>
      </c>
      <c r="J58" s="108">
        <f t="shared" si="5"/>
        <v>0</v>
      </c>
      <c r="K58" s="107">
        <f>IF(G58=0,,VLOOKUP(G58,'Global Industry averages'!$A$2:$Z$95,7))</f>
        <v>0</v>
      </c>
    </row>
    <row r="59" spans="7:11">
      <c r="G59" s="92"/>
      <c r="H59" s="106"/>
      <c r="I59" s="107">
        <f>IF(G59=0,,VLOOKUP(G59,'Global Industry averages'!$A$2:$Z$95,15))</f>
        <v>0</v>
      </c>
      <c r="J59" s="108">
        <f t="shared" si="5"/>
        <v>0</v>
      </c>
      <c r="K59" s="107">
        <f>IF(G59=0,,VLOOKUP(G59,'Global Industry averages'!$A$2:$Z$95,7))</f>
        <v>0</v>
      </c>
    </row>
    <row r="60" spans="7:11">
      <c r="G60" s="92"/>
      <c r="H60" s="106"/>
      <c r="I60" s="107">
        <f>IF(G60=0,,VLOOKUP(G60,'Global Industry averages'!$A$2:$Z$95,15))</f>
        <v>0</v>
      </c>
      <c r="J60" s="108">
        <f t="shared" si="5"/>
        <v>0</v>
      </c>
      <c r="K60" s="107">
        <f>IF(G60=0,,VLOOKUP(G60,'Global Industry averages'!$A$2:$Z$95,7))</f>
        <v>0</v>
      </c>
    </row>
    <row r="61" spans="7:11">
      <c r="G61" s="92"/>
      <c r="H61" s="106"/>
      <c r="I61" s="107">
        <f>IF(G61=0,,VLOOKUP(G61,'Global Industry averages'!$A$2:$Z$95,15))</f>
        <v>0</v>
      </c>
      <c r="J61" s="108">
        <f t="shared" si="5"/>
        <v>0</v>
      </c>
      <c r="K61" s="107">
        <f>IF(G61=0,,VLOOKUP(G61,'Global Industry averages'!$A$2:$Z$95,7))</f>
        <v>0</v>
      </c>
    </row>
    <row r="62" spans="7:11">
      <c r="G62" s="92"/>
      <c r="H62" s="106"/>
      <c r="I62" s="107">
        <f>IF(G62=0,,VLOOKUP(G62,'Global Industry averages'!$A$2:$Z$95,15))</f>
        <v>0</v>
      </c>
      <c r="J62" s="108">
        <f t="shared" si="5"/>
        <v>0</v>
      </c>
      <c r="K62" s="107">
        <f>IF(G62=0,,VLOOKUP(G62,'Global Industry averages'!$A$2:$Z$95,7))</f>
        <v>0</v>
      </c>
    </row>
    <row r="63" spans="7:11">
      <c r="G63" s="92"/>
      <c r="H63" s="106"/>
      <c r="I63" s="107">
        <f>IF(G63=0,,VLOOKUP(G63,'Global Industry averages'!$A$2:$Z$95,15))</f>
        <v>0</v>
      </c>
      <c r="J63" s="108">
        <f t="shared" si="5"/>
        <v>0</v>
      </c>
      <c r="K63" s="107">
        <f>IF(G63=0,,VLOOKUP(G63,'Global Industry averages'!$A$2:$Z$95,7))</f>
        <v>0</v>
      </c>
    </row>
    <row r="64" spans="7:11">
      <c r="G64" s="115" t="s">
        <v>444</v>
      </c>
      <c r="H64" s="116">
        <f>SUM(H52:H63)</f>
        <v>35538</v>
      </c>
      <c r="I64" s="117"/>
      <c r="J64" s="108">
        <f>SUM(J52:J63)</f>
        <v>71275.502403679726</v>
      </c>
      <c r="K64" s="117">
        <f>K52*(J52/J64)+K53*J53/J64+K54*J54/J64+K55*J55/J64+K56*J56/J64+K57*J57/J64+K58*J58/J64+K59*J59/J64+K60*J60/J64+K61*J61/J64+K62*J62/J64+K63*J63/J64</f>
        <v>1.2200041411476166</v>
      </c>
    </row>
  </sheetData>
  <mergeCells count="3">
    <mergeCell ref="A1:K2"/>
    <mergeCell ref="M5:Q19"/>
    <mergeCell ref="D4:F22"/>
  </mergeCells>
  <phoneticPr fontId="25"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2B58674D-009D-DC46-A63D-5456E7C62ED7}">
          <x14:formula1>
            <xm:f>'US Industry averages'!$A$2:$A$95</xm:f>
          </x14:formula1>
          <xm:sqref>G36:G47</xm:sqref>
        </x14:dataValidation>
        <x14:dataValidation type="list" allowBlank="1" showInputMessage="1" showErrorMessage="1" xr:uid="{63791D90-B6BC-1847-BC83-DDA7FD86B7C9}">
          <x14:formula1>
            <xm:f>'Global Industry averages'!$A$2:$A$95</xm:f>
          </x14:formula1>
          <xm:sqref>G52:G63</xm:sqref>
        </x14:dataValidation>
        <x14:dataValidation type="list" allowBlank="1" showInputMessage="1" showErrorMessage="1" xr:uid="{375A43B8-6000-364C-8095-6635170FE598}">
          <x14:formula1>
            <xm:f>'Country ERP'!$A$5:$A$181</xm:f>
          </x14:formula1>
          <xm:sqref>G5:G15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Read me first</vt:lpstr>
      <vt:lpstr>Master Inputs Start here</vt:lpstr>
      <vt:lpstr>Valuation Model</vt:lpstr>
      <vt:lpstr>Earnings Normalizer</vt:lpstr>
      <vt:lpstr>R&amp;D converter</vt:lpstr>
      <vt:lpstr>Operating lease converter</vt:lpstr>
      <vt:lpstr>Stories to Numbers</vt:lpstr>
      <vt:lpstr>Option Value</vt:lpstr>
      <vt:lpstr>Cost of capital worksheet</vt:lpstr>
      <vt:lpstr>Ratings estimator</vt:lpstr>
      <vt:lpstr>US Industry averages</vt:lpstr>
      <vt:lpstr>Global Industry averages</vt:lpstr>
      <vt:lpstr>Country ERP</vt:lpstr>
      <vt:lpstr>Trailing 12-month numbers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Aswath Damodaran</dc:creator>
  <cp:keywords/>
  <dc:description/>
  <cp:lastModifiedBy>Microsoft Office User</cp:lastModifiedBy>
  <cp:lastPrinted>1999-04-05T16:26:46Z</cp:lastPrinted>
  <dcterms:created xsi:type="dcterms:W3CDTF">1999-04-05T16:05:46Z</dcterms:created>
  <dcterms:modified xsi:type="dcterms:W3CDTF">2023-01-22T02:16:48Z</dcterms:modified>
</cp:coreProperties>
</file>