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ate1904="1" codeName="ThisWorkbook"/>
  <mc:AlternateContent xmlns:mc="http://schemas.openxmlformats.org/markup-compatibility/2006">
    <mc:Choice Requires="x15">
      <x15ac:absPath xmlns:x15ac="http://schemas.microsoft.com/office/spreadsheetml/2010/11/ac" url="/Users/Shared/Previously Relocated Items/Security/All My Stuff/Home Page 2002/pc/"/>
    </mc:Choice>
  </mc:AlternateContent>
  <xr:revisionPtr revIDLastSave="0" documentId="8_{EECD54F8-60E4-104D-8771-E89D56E668A9}" xr6:coauthVersionLast="47" xr6:coauthVersionMax="47" xr10:uidLastSave="{00000000-0000-0000-0000-000000000000}"/>
  <bookViews>
    <workbookView xWindow="-4340" yWindow="-21100" windowWidth="19200" windowHeight="21100" tabRatio="772" firstSheet="6" activeTab="9" xr2:uid="{00000000-000D-0000-FFFF-FFFF00000000}"/>
  </bookViews>
  <sheets>
    <sheet name="Input sheet" sheetId="11" r:id="rId1"/>
    <sheet name="Valuation output" sheetId="13" r:id="rId2"/>
    <sheet name="Stories to Numbers" sheetId="28" r:id="rId3"/>
    <sheet name="Diagnostics" sheetId="12" r:id="rId4"/>
    <sheet name="Summary Sheet" sheetId="29" r:id="rId5"/>
    <sheet name="Option value" sheetId="14" r:id="rId6"/>
    <sheet name="Cost of capital worksheet" sheetId="19" r:id="rId7"/>
    <sheet name="R&amp; D converter" sheetId="25" r:id="rId8"/>
    <sheet name="Operating lease converter" sheetId="18" r:id="rId9"/>
    <sheet name="Country equity risk premiums" sheetId="23" r:id="rId10"/>
    <sheet name="Synthetic rating" sheetId="20" r:id="rId11"/>
    <sheet name="Industry Averages(US)" sheetId="8" r:id="rId12"/>
    <sheet name="Industry Average Beta (Global)" sheetId="26" r:id="rId13"/>
    <sheet name="Trailing 12 month" sheetId="24" r:id="rId14"/>
    <sheet name="Answer keys" sheetId="21" r:id="rId15"/>
  </sheets>
  <externalReferences>
    <externalReference r:id="rId16"/>
    <externalReference r:id="rId17"/>
  </externalReferenc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5" i="26" l="1"/>
  <c r="Z95" i="26"/>
  <c r="Y95" i="26"/>
  <c r="X95" i="26"/>
  <c r="W95" i="26"/>
  <c r="V95" i="26"/>
  <c r="U95" i="26"/>
  <c r="T95" i="26"/>
  <c r="S95" i="26"/>
  <c r="R95" i="26"/>
  <c r="Q95" i="26"/>
  <c r="P95" i="26"/>
  <c r="O95" i="26"/>
  <c r="N95" i="26"/>
  <c r="M95" i="26"/>
  <c r="L95" i="26"/>
  <c r="K95" i="26"/>
  <c r="J95" i="26"/>
  <c r="I95" i="26"/>
  <c r="H95" i="26"/>
  <c r="G95" i="26"/>
  <c r="F95" i="26"/>
  <c r="E95" i="26"/>
  <c r="D95" i="26"/>
  <c r="C95" i="26"/>
  <c r="B95" i="26"/>
  <c r="A95" i="26"/>
  <c r="AA94" i="26"/>
  <c r="Z94" i="26"/>
  <c r="Y94" i="26"/>
  <c r="X94" i="26"/>
  <c r="W94" i="26"/>
  <c r="V94" i="26"/>
  <c r="U94" i="26"/>
  <c r="T94" i="26"/>
  <c r="S94" i="26"/>
  <c r="R94" i="26"/>
  <c r="Q94" i="26"/>
  <c r="P94" i="26"/>
  <c r="O94" i="26"/>
  <c r="N94" i="26"/>
  <c r="M94" i="26"/>
  <c r="L94" i="26"/>
  <c r="K94" i="26"/>
  <c r="J94" i="26"/>
  <c r="I94" i="26"/>
  <c r="H94" i="26"/>
  <c r="G94" i="26"/>
  <c r="F94" i="26"/>
  <c r="E94" i="26"/>
  <c r="D94" i="26"/>
  <c r="C94" i="26"/>
  <c r="B94" i="26"/>
  <c r="A94" i="26"/>
  <c r="AA93" i="26"/>
  <c r="Z93" i="26"/>
  <c r="Y93" i="26"/>
  <c r="X93" i="26"/>
  <c r="W93" i="26"/>
  <c r="V93" i="26"/>
  <c r="U93" i="26"/>
  <c r="T93" i="26"/>
  <c r="S93" i="26"/>
  <c r="R93" i="26"/>
  <c r="Q93" i="26"/>
  <c r="P93" i="26"/>
  <c r="O93" i="26"/>
  <c r="N93" i="26"/>
  <c r="M93" i="26"/>
  <c r="L93" i="26"/>
  <c r="K93" i="26"/>
  <c r="J93" i="26"/>
  <c r="I93" i="26"/>
  <c r="H93" i="26"/>
  <c r="G93" i="26"/>
  <c r="F93" i="26"/>
  <c r="E93" i="26"/>
  <c r="D93" i="26"/>
  <c r="C93" i="26"/>
  <c r="B93" i="26"/>
  <c r="A93" i="26"/>
  <c r="AA92" i="26"/>
  <c r="Z92" i="26"/>
  <c r="Y92" i="26"/>
  <c r="X92" i="26"/>
  <c r="W92" i="26"/>
  <c r="V92" i="26"/>
  <c r="U92" i="26"/>
  <c r="T92" i="26"/>
  <c r="S92" i="26"/>
  <c r="R92" i="26"/>
  <c r="Q92" i="26"/>
  <c r="P92" i="26"/>
  <c r="O92" i="26"/>
  <c r="N92" i="26"/>
  <c r="M92" i="26"/>
  <c r="L92" i="26"/>
  <c r="K92" i="26"/>
  <c r="J92" i="26"/>
  <c r="I92" i="26"/>
  <c r="H92" i="26"/>
  <c r="G92" i="26"/>
  <c r="F92" i="26"/>
  <c r="E92" i="26"/>
  <c r="D92" i="26"/>
  <c r="C92" i="26"/>
  <c r="B92" i="26"/>
  <c r="A92" i="26"/>
  <c r="AA91" i="26"/>
  <c r="Z91" i="26"/>
  <c r="Y91" i="26"/>
  <c r="X91" i="26"/>
  <c r="W91" i="26"/>
  <c r="V91" i="26"/>
  <c r="U91" i="26"/>
  <c r="T91" i="26"/>
  <c r="S91" i="26"/>
  <c r="R91" i="26"/>
  <c r="Q91" i="26"/>
  <c r="P91" i="26"/>
  <c r="O91" i="26"/>
  <c r="N91" i="26"/>
  <c r="M91" i="26"/>
  <c r="L91" i="26"/>
  <c r="K91" i="26"/>
  <c r="J91" i="26"/>
  <c r="I91" i="26"/>
  <c r="H91" i="26"/>
  <c r="G91" i="26"/>
  <c r="F91" i="26"/>
  <c r="E91" i="26"/>
  <c r="D91" i="26"/>
  <c r="C91" i="26"/>
  <c r="B91" i="26"/>
  <c r="A91" i="26"/>
  <c r="AA90" i="26"/>
  <c r="Z90" i="26"/>
  <c r="Y90" i="26"/>
  <c r="X90" i="26"/>
  <c r="W90" i="26"/>
  <c r="V90" i="26"/>
  <c r="U90" i="26"/>
  <c r="T90" i="26"/>
  <c r="S90" i="26"/>
  <c r="R90" i="26"/>
  <c r="Q90" i="26"/>
  <c r="P90" i="26"/>
  <c r="O90" i="26"/>
  <c r="N90" i="26"/>
  <c r="M90" i="26"/>
  <c r="L90" i="26"/>
  <c r="K90" i="26"/>
  <c r="J90" i="26"/>
  <c r="I90" i="26"/>
  <c r="H90" i="26"/>
  <c r="G90" i="26"/>
  <c r="F90" i="26"/>
  <c r="E90" i="26"/>
  <c r="D90" i="26"/>
  <c r="C90" i="26"/>
  <c r="B90" i="26"/>
  <c r="A90" i="26"/>
  <c r="AA89" i="26"/>
  <c r="Z89" i="26"/>
  <c r="Y89" i="26"/>
  <c r="X89" i="26"/>
  <c r="W89" i="26"/>
  <c r="V89" i="26"/>
  <c r="U89" i="26"/>
  <c r="T89" i="26"/>
  <c r="S89" i="26"/>
  <c r="R89" i="26"/>
  <c r="Q89" i="26"/>
  <c r="P89" i="26"/>
  <c r="O89" i="26"/>
  <c r="N89" i="26"/>
  <c r="M89" i="26"/>
  <c r="L89" i="26"/>
  <c r="K89" i="26"/>
  <c r="J89" i="26"/>
  <c r="I89" i="26"/>
  <c r="H89" i="26"/>
  <c r="G89" i="26"/>
  <c r="F89" i="26"/>
  <c r="E89" i="26"/>
  <c r="D89" i="26"/>
  <c r="C89" i="26"/>
  <c r="B89" i="26"/>
  <c r="A89" i="26"/>
  <c r="AA88" i="26"/>
  <c r="Z88" i="26"/>
  <c r="Y88" i="26"/>
  <c r="X88" i="26"/>
  <c r="W88" i="26"/>
  <c r="V88" i="26"/>
  <c r="U88" i="26"/>
  <c r="T88" i="26"/>
  <c r="S88" i="26"/>
  <c r="R88" i="26"/>
  <c r="Q88" i="26"/>
  <c r="P88" i="26"/>
  <c r="O88" i="26"/>
  <c r="N88" i="26"/>
  <c r="M88" i="26"/>
  <c r="L88" i="26"/>
  <c r="K88" i="26"/>
  <c r="J88" i="26"/>
  <c r="I88" i="26"/>
  <c r="H88" i="26"/>
  <c r="G88" i="26"/>
  <c r="F88" i="26"/>
  <c r="E88" i="26"/>
  <c r="D88" i="26"/>
  <c r="C88" i="26"/>
  <c r="B88" i="26"/>
  <c r="A88" i="26"/>
  <c r="AA87" i="26"/>
  <c r="Z87" i="26"/>
  <c r="Y87" i="26"/>
  <c r="X87" i="26"/>
  <c r="W87" i="26"/>
  <c r="V87" i="26"/>
  <c r="U87" i="26"/>
  <c r="T87" i="26"/>
  <c r="S87" i="26"/>
  <c r="R87" i="26"/>
  <c r="Q87" i="26"/>
  <c r="P87" i="26"/>
  <c r="O87" i="26"/>
  <c r="N87" i="26"/>
  <c r="M87" i="26"/>
  <c r="L87" i="26"/>
  <c r="K87" i="26"/>
  <c r="J87" i="26"/>
  <c r="I87" i="26"/>
  <c r="H87" i="26"/>
  <c r="G87" i="26"/>
  <c r="F87" i="26"/>
  <c r="E87" i="26"/>
  <c r="D87" i="26"/>
  <c r="C87" i="26"/>
  <c r="B87" i="26"/>
  <c r="A87" i="26"/>
  <c r="AA86" i="26"/>
  <c r="Z86" i="26"/>
  <c r="Y86" i="26"/>
  <c r="X86" i="26"/>
  <c r="W86" i="26"/>
  <c r="V86" i="26"/>
  <c r="U86" i="26"/>
  <c r="T86" i="26"/>
  <c r="S86" i="26"/>
  <c r="R86" i="26"/>
  <c r="Q86" i="26"/>
  <c r="P86" i="26"/>
  <c r="O86" i="26"/>
  <c r="N86" i="26"/>
  <c r="M86" i="26"/>
  <c r="L86" i="26"/>
  <c r="K86" i="26"/>
  <c r="J86" i="26"/>
  <c r="I86" i="26"/>
  <c r="H86" i="26"/>
  <c r="G86" i="26"/>
  <c r="F86" i="26"/>
  <c r="E86" i="26"/>
  <c r="D86" i="26"/>
  <c r="C86" i="26"/>
  <c r="B86" i="26"/>
  <c r="A86" i="26"/>
  <c r="AA85" i="26"/>
  <c r="Z85" i="26"/>
  <c r="Y85" i="26"/>
  <c r="X85" i="26"/>
  <c r="W85" i="26"/>
  <c r="V85" i="26"/>
  <c r="U85" i="26"/>
  <c r="T85" i="26"/>
  <c r="S85" i="26"/>
  <c r="R85" i="26"/>
  <c r="Q85" i="26"/>
  <c r="P85" i="26"/>
  <c r="O85" i="26"/>
  <c r="N85" i="26"/>
  <c r="M85" i="26"/>
  <c r="L85" i="26"/>
  <c r="K85" i="26"/>
  <c r="J85" i="26"/>
  <c r="I85" i="26"/>
  <c r="H85" i="26"/>
  <c r="G85" i="26"/>
  <c r="F85" i="26"/>
  <c r="E85" i="26"/>
  <c r="D85" i="26"/>
  <c r="C85" i="26"/>
  <c r="B85" i="26"/>
  <c r="A85" i="26"/>
  <c r="AA84" i="26"/>
  <c r="Z84" i="26"/>
  <c r="Y84" i="26"/>
  <c r="X84" i="26"/>
  <c r="W84" i="26"/>
  <c r="V84" i="26"/>
  <c r="U84" i="26"/>
  <c r="T84" i="26"/>
  <c r="S84" i="26"/>
  <c r="R84" i="26"/>
  <c r="Q84" i="26"/>
  <c r="P84" i="26"/>
  <c r="O84" i="26"/>
  <c r="N84" i="26"/>
  <c r="M84" i="26"/>
  <c r="L84" i="26"/>
  <c r="K84" i="26"/>
  <c r="J84" i="26"/>
  <c r="I84" i="26"/>
  <c r="H84" i="26"/>
  <c r="G84" i="26"/>
  <c r="F84" i="26"/>
  <c r="E84" i="26"/>
  <c r="D84" i="26"/>
  <c r="C84" i="26"/>
  <c r="B84" i="26"/>
  <c r="A84" i="26"/>
  <c r="AA83" i="26"/>
  <c r="Z83" i="26"/>
  <c r="Y83" i="26"/>
  <c r="X83" i="26"/>
  <c r="W83" i="26"/>
  <c r="V83" i="26"/>
  <c r="U83" i="26"/>
  <c r="T83" i="26"/>
  <c r="S83" i="26"/>
  <c r="R83" i="26"/>
  <c r="Q83" i="26"/>
  <c r="P83" i="26"/>
  <c r="O83" i="26"/>
  <c r="N83" i="26"/>
  <c r="M83" i="26"/>
  <c r="L83" i="26"/>
  <c r="K83" i="26"/>
  <c r="J83" i="26"/>
  <c r="I83" i="26"/>
  <c r="H83" i="26"/>
  <c r="G83" i="26"/>
  <c r="F83" i="26"/>
  <c r="E83" i="26"/>
  <c r="D83" i="26"/>
  <c r="C83" i="26"/>
  <c r="B83" i="26"/>
  <c r="A83" i="26"/>
  <c r="AA82" i="26"/>
  <c r="Z82" i="26"/>
  <c r="Y82" i="26"/>
  <c r="X82" i="26"/>
  <c r="W82" i="26"/>
  <c r="V82" i="26"/>
  <c r="U82" i="26"/>
  <c r="T82" i="26"/>
  <c r="S82" i="26"/>
  <c r="R82" i="26"/>
  <c r="Q82" i="26"/>
  <c r="P82" i="26"/>
  <c r="O82" i="26"/>
  <c r="N82" i="26"/>
  <c r="M82" i="26"/>
  <c r="L82" i="26"/>
  <c r="K82" i="26"/>
  <c r="J82" i="26"/>
  <c r="I82" i="26"/>
  <c r="H82" i="26"/>
  <c r="G82" i="26"/>
  <c r="F82" i="26"/>
  <c r="E82" i="26"/>
  <c r="D82" i="26"/>
  <c r="C82" i="26"/>
  <c r="B82" i="26"/>
  <c r="A82" i="26"/>
  <c r="AA81" i="26"/>
  <c r="Z81" i="26"/>
  <c r="Y81" i="26"/>
  <c r="X81" i="26"/>
  <c r="W81" i="26"/>
  <c r="V81" i="26"/>
  <c r="U81" i="26"/>
  <c r="T81" i="26"/>
  <c r="S81" i="26"/>
  <c r="R81" i="26"/>
  <c r="Q81" i="26"/>
  <c r="P81" i="26"/>
  <c r="O81" i="26"/>
  <c r="N81" i="26"/>
  <c r="M81" i="26"/>
  <c r="L81" i="26"/>
  <c r="K81" i="26"/>
  <c r="J81" i="26"/>
  <c r="I81" i="26"/>
  <c r="H81" i="26"/>
  <c r="G81" i="26"/>
  <c r="F81" i="26"/>
  <c r="E81" i="26"/>
  <c r="D81" i="26"/>
  <c r="C81" i="26"/>
  <c r="B81" i="26"/>
  <c r="A81" i="26"/>
  <c r="AA80" i="26"/>
  <c r="Z80" i="26"/>
  <c r="Y80" i="26"/>
  <c r="X80" i="26"/>
  <c r="W80" i="26"/>
  <c r="V80" i="26"/>
  <c r="U80" i="26"/>
  <c r="T80" i="26"/>
  <c r="S80" i="26"/>
  <c r="R80" i="26"/>
  <c r="Q80" i="26"/>
  <c r="P80" i="26"/>
  <c r="O80" i="26"/>
  <c r="N80" i="26"/>
  <c r="M80" i="26"/>
  <c r="L80" i="26"/>
  <c r="K80" i="26"/>
  <c r="J80" i="26"/>
  <c r="I80" i="26"/>
  <c r="H80" i="26"/>
  <c r="G80" i="26"/>
  <c r="F80" i="26"/>
  <c r="E80" i="26"/>
  <c r="D80" i="26"/>
  <c r="C80" i="26"/>
  <c r="B80" i="26"/>
  <c r="A80" i="26"/>
  <c r="AA79" i="26"/>
  <c r="Z79" i="26"/>
  <c r="Y79" i="26"/>
  <c r="X79" i="26"/>
  <c r="W79" i="26"/>
  <c r="V79" i="26"/>
  <c r="U79" i="26"/>
  <c r="T79" i="26"/>
  <c r="S79" i="26"/>
  <c r="R79" i="26"/>
  <c r="Q79" i="26"/>
  <c r="P79" i="26"/>
  <c r="O79" i="26"/>
  <c r="N79" i="26"/>
  <c r="M79" i="26"/>
  <c r="L79" i="26"/>
  <c r="K79" i="26"/>
  <c r="J79" i="26"/>
  <c r="I79" i="26"/>
  <c r="H79" i="26"/>
  <c r="G79" i="26"/>
  <c r="F79" i="26"/>
  <c r="E79" i="26"/>
  <c r="D79" i="26"/>
  <c r="C79" i="26"/>
  <c r="B79" i="26"/>
  <c r="A79" i="26"/>
  <c r="AA78" i="26"/>
  <c r="Z78" i="26"/>
  <c r="Y78" i="26"/>
  <c r="X78" i="26"/>
  <c r="W78" i="26"/>
  <c r="V78" i="26"/>
  <c r="U78" i="26"/>
  <c r="T78" i="26"/>
  <c r="S78" i="26"/>
  <c r="R78" i="26"/>
  <c r="Q78" i="26"/>
  <c r="P78" i="26"/>
  <c r="O78" i="26"/>
  <c r="N78" i="26"/>
  <c r="M78" i="26"/>
  <c r="L78" i="26"/>
  <c r="K78" i="26"/>
  <c r="J78" i="26"/>
  <c r="I78" i="26"/>
  <c r="H78" i="26"/>
  <c r="G78" i="26"/>
  <c r="F78" i="26"/>
  <c r="E78" i="26"/>
  <c r="D78" i="26"/>
  <c r="C78" i="26"/>
  <c r="B78" i="26"/>
  <c r="A78" i="26"/>
  <c r="AA77" i="26"/>
  <c r="Z77" i="26"/>
  <c r="Y77" i="26"/>
  <c r="X77" i="26"/>
  <c r="W77" i="26"/>
  <c r="V77" i="26"/>
  <c r="U77" i="26"/>
  <c r="T77" i="26"/>
  <c r="S77" i="26"/>
  <c r="R77" i="26"/>
  <c r="Q77" i="26"/>
  <c r="P77" i="26"/>
  <c r="O77" i="26"/>
  <c r="N77" i="26"/>
  <c r="M77" i="26"/>
  <c r="L77" i="26"/>
  <c r="K77" i="26"/>
  <c r="J77" i="26"/>
  <c r="I77" i="26"/>
  <c r="H77" i="26"/>
  <c r="G77" i="26"/>
  <c r="F77" i="26"/>
  <c r="E77" i="26"/>
  <c r="D77" i="26"/>
  <c r="C77" i="26"/>
  <c r="B77" i="26"/>
  <c r="A77" i="26"/>
  <c r="AA76" i="26"/>
  <c r="Z76" i="26"/>
  <c r="Y76" i="26"/>
  <c r="X76" i="26"/>
  <c r="W76" i="26"/>
  <c r="V76" i="26"/>
  <c r="U76" i="26"/>
  <c r="T76" i="26"/>
  <c r="S76" i="26"/>
  <c r="R76" i="26"/>
  <c r="Q76" i="26"/>
  <c r="P76" i="26"/>
  <c r="O76" i="26"/>
  <c r="N76" i="26"/>
  <c r="M76" i="26"/>
  <c r="L76" i="26"/>
  <c r="K76" i="26"/>
  <c r="J76" i="26"/>
  <c r="I76" i="26"/>
  <c r="H76" i="26"/>
  <c r="G76" i="26"/>
  <c r="F76" i="26"/>
  <c r="E76" i="26"/>
  <c r="D76" i="26"/>
  <c r="C76" i="26"/>
  <c r="B76" i="26"/>
  <c r="A76" i="26"/>
  <c r="AA75" i="26"/>
  <c r="Z75" i="26"/>
  <c r="Y75" i="26"/>
  <c r="X75" i="26"/>
  <c r="W75" i="26"/>
  <c r="V75" i="26"/>
  <c r="U75" i="26"/>
  <c r="T75" i="26"/>
  <c r="S75" i="26"/>
  <c r="R75" i="26"/>
  <c r="Q75" i="26"/>
  <c r="P75" i="26"/>
  <c r="O75" i="26"/>
  <c r="N75" i="26"/>
  <c r="M75" i="26"/>
  <c r="L75" i="26"/>
  <c r="K75" i="26"/>
  <c r="J75" i="26"/>
  <c r="I75" i="26"/>
  <c r="H75" i="26"/>
  <c r="G75" i="26"/>
  <c r="F75" i="26"/>
  <c r="E75" i="26"/>
  <c r="D75" i="26"/>
  <c r="C75" i="26"/>
  <c r="B75" i="26"/>
  <c r="A75" i="26"/>
  <c r="AA74" i="26"/>
  <c r="Z74" i="26"/>
  <c r="Y74" i="26"/>
  <c r="X74" i="26"/>
  <c r="W74" i="26"/>
  <c r="V74" i="26"/>
  <c r="U74" i="26"/>
  <c r="T74" i="26"/>
  <c r="S74" i="26"/>
  <c r="R74" i="26"/>
  <c r="Q74" i="26"/>
  <c r="P74" i="26"/>
  <c r="O74" i="26"/>
  <c r="N74" i="26"/>
  <c r="M74" i="26"/>
  <c r="L74" i="26"/>
  <c r="K74" i="26"/>
  <c r="J74" i="26"/>
  <c r="I74" i="26"/>
  <c r="H74" i="26"/>
  <c r="G74" i="26"/>
  <c r="F74" i="26"/>
  <c r="E74" i="26"/>
  <c r="D74" i="26"/>
  <c r="C74" i="26"/>
  <c r="B74" i="26"/>
  <c r="A74" i="26"/>
  <c r="AA73" i="26"/>
  <c r="Z73" i="26"/>
  <c r="Y73" i="26"/>
  <c r="X73" i="26"/>
  <c r="W73" i="26"/>
  <c r="V73" i="26"/>
  <c r="U73" i="26"/>
  <c r="T73" i="26"/>
  <c r="S73" i="26"/>
  <c r="R73" i="26"/>
  <c r="Q73" i="26"/>
  <c r="P73" i="26"/>
  <c r="O73" i="26"/>
  <c r="N73" i="26"/>
  <c r="M73" i="26"/>
  <c r="L73" i="26"/>
  <c r="K73" i="26"/>
  <c r="J73" i="26"/>
  <c r="I73" i="26"/>
  <c r="H73" i="26"/>
  <c r="G73" i="26"/>
  <c r="F73" i="26"/>
  <c r="E73" i="26"/>
  <c r="D73" i="26"/>
  <c r="C73" i="26"/>
  <c r="B73" i="26"/>
  <c r="A73" i="26"/>
  <c r="AA72" i="26"/>
  <c r="Z72" i="26"/>
  <c r="Y72" i="26"/>
  <c r="X72" i="26"/>
  <c r="W72" i="26"/>
  <c r="V72" i="26"/>
  <c r="U72" i="26"/>
  <c r="T72" i="26"/>
  <c r="S72" i="26"/>
  <c r="R72" i="26"/>
  <c r="Q72" i="26"/>
  <c r="P72" i="26"/>
  <c r="O72" i="26"/>
  <c r="N72" i="26"/>
  <c r="M72" i="26"/>
  <c r="L72" i="26"/>
  <c r="K72" i="26"/>
  <c r="J72" i="26"/>
  <c r="I72" i="26"/>
  <c r="H72" i="26"/>
  <c r="G72" i="26"/>
  <c r="F72" i="26"/>
  <c r="E72" i="26"/>
  <c r="D72" i="26"/>
  <c r="C72" i="26"/>
  <c r="B72" i="26"/>
  <c r="A72" i="26"/>
  <c r="AA71" i="26"/>
  <c r="Z71" i="26"/>
  <c r="Y71" i="26"/>
  <c r="X71" i="26"/>
  <c r="W71" i="26"/>
  <c r="V71" i="26"/>
  <c r="U71" i="26"/>
  <c r="T71" i="26"/>
  <c r="S71" i="26"/>
  <c r="R71" i="26"/>
  <c r="Q71" i="26"/>
  <c r="P71" i="26"/>
  <c r="O71" i="26"/>
  <c r="N71" i="26"/>
  <c r="M71" i="26"/>
  <c r="L71" i="26"/>
  <c r="K71" i="26"/>
  <c r="J71" i="26"/>
  <c r="I71" i="26"/>
  <c r="H71" i="26"/>
  <c r="G71" i="26"/>
  <c r="F71" i="26"/>
  <c r="E71" i="26"/>
  <c r="D71" i="26"/>
  <c r="C71" i="26"/>
  <c r="B71" i="26"/>
  <c r="A71" i="26"/>
  <c r="AA70" i="26"/>
  <c r="Z70" i="26"/>
  <c r="Y70" i="26"/>
  <c r="X70" i="26"/>
  <c r="W70" i="26"/>
  <c r="V70" i="26"/>
  <c r="U70" i="26"/>
  <c r="T70" i="26"/>
  <c r="S70" i="26"/>
  <c r="R70" i="26"/>
  <c r="Q70" i="26"/>
  <c r="P70" i="26"/>
  <c r="O70" i="26"/>
  <c r="N70" i="26"/>
  <c r="M70" i="26"/>
  <c r="L70" i="26"/>
  <c r="K70" i="26"/>
  <c r="J70" i="26"/>
  <c r="I70" i="26"/>
  <c r="H70" i="26"/>
  <c r="G70" i="26"/>
  <c r="F70" i="26"/>
  <c r="E70" i="26"/>
  <c r="D70" i="26"/>
  <c r="C70" i="26"/>
  <c r="B70" i="26"/>
  <c r="A70" i="26"/>
  <c r="AA69" i="26"/>
  <c r="Z69" i="26"/>
  <c r="Y69" i="26"/>
  <c r="X69" i="26"/>
  <c r="W69" i="26"/>
  <c r="V69" i="26"/>
  <c r="U69" i="26"/>
  <c r="T69" i="26"/>
  <c r="S69" i="26"/>
  <c r="R69" i="26"/>
  <c r="Q69" i="26"/>
  <c r="P69" i="26"/>
  <c r="O69" i="26"/>
  <c r="N69" i="26"/>
  <c r="M69" i="26"/>
  <c r="L69" i="26"/>
  <c r="K69" i="26"/>
  <c r="J69" i="26"/>
  <c r="I69" i="26"/>
  <c r="H69" i="26"/>
  <c r="G69" i="26"/>
  <c r="F69" i="26"/>
  <c r="E69" i="26"/>
  <c r="D69" i="26"/>
  <c r="C69" i="26"/>
  <c r="B69" i="26"/>
  <c r="A69" i="26"/>
  <c r="AA68" i="26"/>
  <c r="Z68" i="26"/>
  <c r="Y68" i="26"/>
  <c r="X68" i="26"/>
  <c r="W68" i="26"/>
  <c r="V68" i="26"/>
  <c r="U68" i="26"/>
  <c r="T68" i="26"/>
  <c r="S68" i="26"/>
  <c r="R68" i="26"/>
  <c r="Q68" i="26"/>
  <c r="P68" i="26"/>
  <c r="O68" i="26"/>
  <c r="N68" i="26"/>
  <c r="M68" i="26"/>
  <c r="L68" i="26"/>
  <c r="K68" i="26"/>
  <c r="J68" i="26"/>
  <c r="I68" i="26"/>
  <c r="H68" i="26"/>
  <c r="G68" i="26"/>
  <c r="F68" i="26"/>
  <c r="E68" i="26"/>
  <c r="D68" i="26"/>
  <c r="C68" i="26"/>
  <c r="B68" i="26"/>
  <c r="A68" i="26"/>
  <c r="AA67" i="26"/>
  <c r="Z67" i="26"/>
  <c r="Y67" i="26"/>
  <c r="X67" i="26"/>
  <c r="W67" i="26"/>
  <c r="V67" i="26"/>
  <c r="U67" i="26"/>
  <c r="T67" i="26"/>
  <c r="S67" i="26"/>
  <c r="R67" i="26"/>
  <c r="Q67" i="26"/>
  <c r="P67" i="26"/>
  <c r="O67" i="26"/>
  <c r="N67" i="26"/>
  <c r="M67" i="26"/>
  <c r="L67" i="26"/>
  <c r="K67" i="26"/>
  <c r="J67" i="26"/>
  <c r="I67" i="26"/>
  <c r="H67" i="26"/>
  <c r="G67" i="26"/>
  <c r="F67" i="26"/>
  <c r="E67" i="26"/>
  <c r="D67" i="26"/>
  <c r="C67" i="26"/>
  <c r="B67" i="26"/>
  <c r="A67" i="26"/>
  <c r="AA66" i="26"/>
  <c r="Z66" i="26"/>
  <c r="Y66" i="26"/>
  <c r="X66" i="26"/>
  <c r="W66" i="26"/>
  <c r="V66" i="26"/>
  <c r="U66" i="26"/>
  <c r="T66" i="26"/>
  <c r="S66" i="26"/>
  <c r="R66" i="26"/>
  <c r="Q66" i="26"/>
  <c r="P66" i="26"/>
  <c r="O66" i="26"/>
  <c r="N66" i="26"/>
  <c r="M66" i="26"/>
  <c r="L66" i="26"/>
  <c r="K66" i="26"/>
  <c r="J66" i="26"/>
  <c r="I66" i="26"/>
  <c r="H66" i="26"/>
  <c r="G66" i="26"/>
  <c r="F66" i="26"/>
  <c r="E66" i="26"/>
  <c r="D66" i="26"/>
  <c r="C66" i="26"/>
  <c r="B66" i="26"/>
  <c r="A66" i="26"/>
  <c r="AA65" i="26"/>
  <c r="Z65" i="26"/>
  <c r="Y65" i="26"/>
  <c r="X65" i="26"/>
  <c r="W65" i="26"/>
  <c r="V65" i="26"/>
  <c r="U65" i="26"/>
  <c r="T65" i="26"/>
  <c r="S65" i="26"/>
  <c r="R65" i="26"/>
  <c r="Q65" i="26"/>
  <c r="P65" i="26"/>
  <c r="O65" i="26"/>
  <c r="N65" i="26"/>
  <c r="M65" i="26"/>
  <c r="L65" i="26"/>
  <c r="K65" i="26"/>
  <c r="J65" i="26"/>
  <c r="I65" i="26"/>
  <c r="H65" i="26"/>
  <c r="G65" i="26"/>
  <c r="F65" i="26"/>
  <c r="E65" i="26"/>
  <c r="D65" i="26"/>
  <c r="C65" i="26"/>
  <c r="B65" i="26"/>
  <c r="A65" i="26"/>
  <c r="AA64" i="26"/>
  <c r="Z64" i="26"/>
  <c r="Y64" i="26"/>
  <c r="X64" i="26"/>
  <c r="W64" i="26"/>
  <c r="V64" i="26"/>
  <c r="U64" i="26"/>
  <c r="T64" i="26"/>
  <c r="S64" i="26"/>
  <c r="R64" i="26"/>
  <c r="Q64" i="26"/>
  <c r="P64" i="26"/>
  <c r="O64" i="26"/>
  <c r="N64" i="26"/>
  <c r="M64" i="26"/>
  <c r="L64" i="26"/>
  <c r="K64" i="26"/>
  <c r="J64" i="26"/>
  <c r="I64" i="26"/>
  <c r="H64" i="26"/>
  <c r="G64" i="26"/>
  <c r="F64" i="26"/>
  <c r="E64" i="26"/>
  <c r="D64" i="26"/>
  <c r="C64" i="26"/>
  <c r="B64" i="26"/>
  <c r="A64" i="26"/>
  <c r="AA63" i="26"/>
  <c r="Z63" i="26"/>
  <c r="Y63" i="26"/>
  <c r="X63" i="26"/>
  <c r="W63" i="26"/>
  <c r="V63" i="26"/>
  <c r="U63" i="26"/>
  <c r="T63" i="26"/>
  <c r="S63" i="26"/>
  <c r="R63" i="26"/>
  <c r="Q63" i="26"/>
  <c r="P63" i="26"/>
  <c r="O63" i="26"/>
  <c r="N63" i="26"/>
  <c r="M63" i="26"/>
  <c r="L63" i="26"/>
  <c r="K63" i="26"/>
  <c r="J63" i="26"/>
  <c r="I63" i="26"/>
  <c r="H63" i="26"/>
  <c r="G63" i="26"/>
  <c r="F63" i="26"/>
  <c r="E63" i="26"/>
  <c r="D63" i="26"/>
  <c r="C63" i="26"/>
  <c r="B63" i="26"/>
  <c r="A63" i="26"/>
  <c r="AA62" i="26"/>
  <c r="Z62" i="26"/>
  <c r="Y62" i="26"/>
  <c r="X62" i="26"/>
  <c r="W62" i="26"/>
  <c r="V62" i="26"/>
  <c r="U62" i="26"/>
  <c r="T62" i="26"/>
  <c r="S62" i="26"/>
  <c r="R62" i="26"/>
  <c r="Q62" i="26"/>
  <c r="P62" i="26"/>
  <c r="O62" i="26"/>
  <c r="N62" i="26"/>
  <c r="M62" i="26"/>
  <c r="L62" i="26"/>
  <c r="K62" i="26"/>
  <c r="J62" i="26"/>
  <c r="I62" i="26"/>
  <c r="H62" i="26"/>
  <c r="G62" i="26"/>
  <c r="F62" i="26"/>
  <c r="E62" i="26"/>
  <c r="D62" i="26"/>
  <c r="C62" i="26"/>
  <c r="B62" i="26"/>
  <c r="A62" i="26"/>
  <c r="AA61" i="26"/>
  <c r="Z61" i="26"/>
  <c r="Y61" i="26"/>
  <c r="X61" i="26"/>
  <c r="W61" i="26"/>
  <c r="V61" i="26"/>
  <c r="U61" i="26"/>
  <c r="T61" i="26"/>
  <c r="S61" i="26"/>
  <c r="R61" i="26"/>
  <c r="Q61" i="26"/>
  <c r="P61" i="26"/>
  <c r="O61" i="26"/>
  <c r="N61" i="26"/>
  <c r="M61" i="26"/>
  <c r="L61" i="26"/>
  <c r="K61" i="26"/>
  <c r="J61" i="26"/>
  <c r="I61" i="26"/>
  <c r="H61" i="26"/>
  <c r="G61" i="26"/>
  <c r="F61" i="26"/>
  <c r="E61" i="26"/>
  <c r="D61" i="26"/>
  <c r="C61" i="26"/>
  <c r="B61" i="26"/>
  <c r="A61" i="26"/>
  <c r="AA60" i="26"/>
  <c r="Z60" i="26"/>
  <c r="Y60" i="26"/>
  <c r="X60" i="26"/>
  <c r="W60" i="26"/>
  <c r="V60" i="26"/>
  <c r="U60" i="26"/>
  <c r="T60" i="26"/>
  <c r="S60" i="26"/>
  <c r="R60" i="26"/>
  <c r="Q60" i="26"/>
  <c r="P60" i="26"/>
  <c r="O60" i="26"/>
  <c r="N60" i="26"/>
  <c r="M60" i="26"/>
  <c r="L60" i="26"/>
  <c r="K60" i="26"/>
  <c r="J60" i="26"/>
  <c r="I60" i="26"/>
  <c r="H60" i="26"/>
  <c r="G60" i="26"/>
  <c r="F60" i="26"/>
  <c r="E60" i="26"/>
  <c r="D60" i="26"/>
  <c r="C60" i="26"/>
  <c r="B60" i="26"/>
  <c r="A60" i="26"/>
  <c r="AA59" i="26"/>
  <c r="Z59" i="26"/>
  <c r="Y59" i="26"/>
  <c r="X59" i="26"/>
  <c r="W59" i="26"/>
  <c r="V59" i="26"/>
  <c r="U59" i="26"/>
  <c r="T59" i="26"/>
  <c r="S59" i="26"/>
  <c r="R59" i="26"/>
  <c r="Q59" i="26"/>
  <c r="P59" i="26"/>
  <c r="O59" i="26"/>
  <c r="N59" i="26"/>
  <c r="M59" i="26"/>
  <c r="L59" i="26"/>
  <c r="K59" i="26"/>
  <c r="J59" i="26"/>
  <c r="I59" i="26"/>
  <c r="H59" i="26"/>
  <c r="G59" i="26"/>
  <c r="F59" i="26"/>
  <c r="E59" i="26"/>
  <c r="D59" i="26"/>
  <c r="C59" i="26"/>
  <c r="B59" i="26"/>
  <c r="A59" i="26"/>
  <c r="AA58" i="26"/>
  <c r="Z58" i="26"/>
  <c r="Y58" i="26"/>
  <c r="X58" i="26"/>
  <c r="W58" i="26"/>
  <c r="V58" i="26"/>
  <c r="U58" i="26"/>
  <c r="T58" i="26"/>
  <c r="S58" i="26"/>
  <c r="R58" i="26"/>
  <c r="Q58" i="26"/>
  <c r="P58" i="26"/>
  <c r="O58" i="26"/>
  <c r="N58" i="26"/>
  <c r="M58" i="26"/>
  <c r="L58" i="26"/>
  <c r="K58" i="26"/>
  <c r="J58" i="26"/>
  <c r="I58" i="26"/>
  <c r="H58" i="26"/>
  <c r="G58" i="26"/>
  <c r="F58" i="26"/>
  <c r="E58" i="26"/>
  <c r="D58" i="26"/>
  <c r="C58" i="26"/>
  <c r="B58" i="26"/>
  <c r="A58" i="26"/>
  <c r="AA57" i="26"/>
  <c r="Z57" i="26"/>
  <c r="Y57" i="26"/>
  <c r="X57" i="26"/>
  <c r="W57" i="26"/>
  <c r="V57" i="26"/>
  <c r="U57" i="26"/>
  <c r="T57" i="26"/>
  <c r="S57" i="26"/>
  <c r="R57" i="26"/>
  <c r="Q57" i="26"/>
  <c r="P57" i="26"/>
  <c r="O57" i="26"/>
  <c r="N57" i="26"/>
  <c r="M57" i="26"/>
  <c r="L57" i="26"/>
  <c r="K57" i="26"/>
  <c r="J57" i="26"/>
  <c r="I57" i="26"/>
  <c r="H57" i="26"/>
  <c r="G57" i="26"/>
  <c r="F57" i="26"/>
  <c r="E57" i="26"/>
  <c r="D57" i="26"/>
  <c r="C57" i="26"/>
  <c r="B57" i="26"/>
  <c r="A57" i="26"/>
  <c r="AA56" i="26"/>
  <c r="Z56" i="26"/>
  <c r="Y56" i="26"/>
  <c r="X56" i="26"/>
  <c r="W56" i="26"/>
  <c r="V56" i="26"/>
  <c r="U56" i="26"/>
  <c r="T56" i="26"/>
  <c r="S56" i="26"/>
  <c r="R56" i="26"/>
  <c r="Q56" i="26"/>
  <c r="P56" i="26"/>
  <c r="O56" i="26"/>
  <c r="N56" i="26"/>
  <c r="M56" i="26"/>
  <c r="L56" i="26"/>
  <c r="K56" i="26"/>
  <c r="J56" i="26"/>
  <c r="I56" i="26"/>
  <c r="H56" i="26"/>
  <c r="G56" i="26"/>
  <c r="F56" i="26"/>
  <c r="E56" i="26"/>
  <c r="D56" i="26"/>
  <c r="C56" i="26"/>
  <c r="B56" i="26"/>
  <c r="A56" i="26"/>
  <c r="AA55" i="26"/>
  <c r="Z55" i="26"/>
  <c r="Y55" i="26"/>
  <c r="X55" i="26"/>
  <c r="W55" i="26"/>
  <c r="V55" i="26"/>
  <c r="U55" i="26"/>
  <c r="T55" i="26"/>
  <c r="S55" i="26"/>
  <c r="R55" i="26"/>
  <c r="Q55" i="26"/>
  <c r="P55" i="26"/>
  <c r="O55" i="26"/>
  <c r="N55" i="26"/>
  <c r="M55" i="26"/>
  <c r="L55" i="26"/>
  <c r="K55" i="26"/>
  <c r="J55" i="26"/>
  <c r="I55" i="26"/>
  <c r="H55" i="26"/>
  <c r="G55" i="26"/>
  <c r="F55" i="26"/>
  <c r="E55" i="26"/>
  <c r="D55" i="26"/>
  <c r="C55" i="26"/>
  <c r="B55" i="26"/>
  <c r="A55" i="26"/>
  <c r="AA54" i="26"/>
  <c r="Z54" i="26"/>
  <c r="Y54" i="26"/>
  <c r="X54" i="26"/>
  <c r="W54" i="26"/>
  <c r="V54" i="26"/>
  <c r="U54" i="26"/>
  <c r="T54" i="26"/>
  <c r="S54" i="26"/>
  <c r="R54" i="26"/>
  <c r="Q54" i="26"/>
  <c r="P54" i="26"/>
  <c r="O54" i="26"/>
  <c r="N54" i="26"/>
  <c r="M54" i="26"/>
  <c r="L54" i="26"/>
  <c r="K54" i="26"/>
  <c r="J54" i="26"/>
  <c r="I54" i="26"/>
  <c r="H54" i="26"/>
  <c r="G54" i="26"/>
  <c r="F54" i="26"/>
  <c r="E54" i="26"/>
  <c r="D54" i="26"/>
  <c r="C54" i="26"/>
  <c r="B54" i="26"/>
  <c r="A54" i="26"/>
  <c r="AA53" i="26"/>
  <c r="Z53" i="26"/>
  <c r="Y53" i="26"/>
  <c r="X53" i="26"/>
  <c r="W53" i="26"/>
  <c r="V53" i="26"/>
  <c r="U53" i="26"/>
  <c r="T53" i="26"/>
  <c r="S53" i="26"/>
  <c r="R53" i="26"/>
  <c r="Q53" i="26"/>
  <c r="P53" i="26"/>
  <c r="O53" i="26"/>
  <c r="N53" i="26"/>
  <c r="M53" i="26"/>
  <c r="L53" i="26"/>
  <c r="K53" i="26"/>
  <c r="J53" i="26"/>
  <c r="I53" i="26"/>
  <c r="H53" i="26"/>
  <c r="G53" i="26"/>
  <c r="F53" i="26"/>
  <c r="E53" i="26"/>
  <c r="D53" i="26"/>
  <c r="C53" i="26"/>
  <c r="B53" i="26"/>
  <c r="A53" i="26"/>
  <c r="AA52" i="26"/>
  <c r="Z52" i="26"/>
  <c r="Y52" i="26"/>
  <c r="X52" i="26"/>
  <c r="W52" i="26"/>
  <c r="V52" i="26"/>
  <c r="U52" i="26"/>
  <c r="T52" i="26"/>
  <c r="S52" i="26"/>
  <c r="R52" i="26"/>
  <c r="Q52" i="26"/>
  <c r="P52" i="26"/>
  <c r="O52" i="26"/>
  <c r="N52" i="26"/>
  <c r="M52" i="26"/>
  <c r="L52" i="26"/>
  <c r="K52" i="26"/>
  <c r="J52" i="26"/>
  <c r="I52" i="26"/>
  <c r="H52" i="26"/>
  <c r="G52" i="26"/>
  <c r="F52" i="26"/>
  <c r="E52" i="26"/>
  <c r="D52" i="26"/>
  <c r="C52" i="26"/>
  <c r="B52" i="26"/>
  <c r="A52" i="26"/>
  <c r="AA51" i="26"/>
  <c r="Z51" i="26"/>
  <c r="Y51" i="26"/>
  <c r="X51" i="26"/>
  <c r="W51" i="26"/>
  <c r="V51" i="26"/>
  <c r="U51" i="26"/>
  <c r="T51" i="26"/>
  <c r="S51" i="26"/>
  <c r="R51" i="26"/>
  <c r="Q51" i="26"/>
  <c r="P51" i="26"/>
  <c r="O51" i="26"/>
  <c r="N51" i="26"/>
  <c r="M51" i="26"/>
  <c r="L51" i="26"/>
  <c r="K51" i="26"/>
  <c r="J51" i="26"/>
  <c r="I51" i="26"/>
  <c r="H51" i="26"/>
  <c r="G51" i="26"/>
  <c r="F51" i="26"/>
  <c r="E51" i="26"/>
  <c r="D51" i="26"/>
  <c r="C51" i="26"/>
  <c r="B51" i="26"/>
  <c r="A51" i="26"/>
  <c r="AA50" i="26"/>
  <c r="Z50" i="26"/>
  <c r="Y50" i="26"/>
  <c r="X50" i="26"/>
  <c r="W50" i="26"/>
  <c r="V50" i="26"/>
  <c r="U50" i="26"/>
  <c r="T50" i="26"/>
  <c r="S50" i="26"/>
  <c r="R50" i="26"/>
  <c r="Q50" i="26"/>
  <c r="P50" i="26"/>
  <c r="O50" i="26"/>
  <c r="N50" i="26"/>
  <c r="M50" i="26"/>
  <c r="L50" i="26"/>
  <c r="K50" i="26"/>
  <c r="J50" i="26"/>
  <c r="I50" i="26"/>
  <c r="H50" i="26"/>
  <c r="G50" i="26"/>
  <c r="F50" i="26"/>
  <c r="E50" i="26"/>
  <c r="D50" i="26"/>
  <c r="C50" i="26"/>
  <c r="B50" i="26"/>
  <c r="A50" i="26"/>
  <c r="AA49" i="26"/>
  <c r="Z49" i="26"/>
  <c r="Y49" i="26"/>
  <c r="X49" i="26"/>
  <c r="W49" i="26"/>
  <c r="V49" i="26"/>
  <c r="U49" i="26"/>
  <c r="T49" i="26"/>
  <c r="S49" i="26"/>
  <c r="R49" i="26"/>
  <c r="Q49" i="26"/>
  <c r="P49" i="26"/>
  <c r="O49" i="26"/>
  <c r="N49" i="26"/>
  <c r="M49" i="26"/>
  <c r="L49" i="26"/>
  <c r="K49" i="26"/>
  <c r="J49" i="26"/>
  <c r="I49" i="26"/>
  <c r="H49" i="26"/>
  <c r="G49" i="26"/>
  <c r="F49" i="26"/>
  <c r="E49" i="26"/>
  <c r="D49" i="26"/>
  <c r="C49" i="26"/>
  <c r="B49" i="26"/>
  <c r="A49" i="26"/>
  <c r="AA48" i="26"/>
  <c r="Z48" i="26"/>
  <c r="Y48" i="26"/>
  <c r="X48" i="26"/>
  <c r="W48" i="26"/>
  <c r="V48" i="26"/>
  <c r="U48" i="26"/>
  <c r="T48" i="26"/>
  <c r="S48" i="26"/>
  <c r="R48" i="26"/>
  <c r="Q48" i="26"/>
  <c r="P48" i="26"/>
  <c r="O48" i="26"/>
  <c r="N48" i="26"/>
  <c r="M48" i="26"/>
  <c r="L48" i="26"/>
  <c r="K48" i="26"/>
  <c r="J48" i="26"/>
  <c r="I48" i="26"/>
  <c r="H48" i="26"/>
  <c r="G48" i="26"/>
  <c r="F48" i="26"/>
  <c r="E48" i="26"/>
  <c r="D48" i="26"/>
  <c r="C48" i="26"/>
  <c r="B48" i="26"/>
  <c r="A48" i="26"/>
  <c r="AA47" i="26"/>
  <c r="Z47" i="26"/>
  <c r="Y47" i="26"/>
  <c r="X47" i="26"/>
  <c r="W47" i="26"/>
  <c r="V47" i="26"/>
  <c r="U47" i="26"/>
  <c r="T47" i="26"/>
  <c r="S47" i="26"/>
  <c r="R47" i="26"/>
  <c r="Q47" i="26"/>
  <c r="P47" i="26"/>
  <c r="O47" i="26"/>
  <c r="N47" i="26"/>
  <c r="M47" i="26"/>
  <c r="L47" i="26"/>
  <c r="K47" i="26"/>
  <c r="J47" i="26"/>
  <c r="I47" i="26"/>
  <c r="H47" i="26"/>
  <c r="G47" i="26"/>
  <c r="F47" i="26"/>
  <c r="E47" i="26"/>
  <c r="D47" i="26"/>
  <c r="C47" i="26"/>
  <c r="B47" i="26"/>
  <c r="A47" i="26"/>
  <c r="AA46" i="26"/>
  <c r="Z46" i="26"/>
  <c r="Y46" i="26"/>
  <c r="X46" i="26"/>
  <c r="W46" i="26"/>
  <c r="V46" i="26"/>
  <c r="U46" i="26"/>
  <c r="T46" i="26"/>
  <c r="S46" i="26"/>
  <c r="R46" i="26"/>
  <c r="Q46" i="26"/>
  <c r="P46" i="26"/>
  <c r="O46" i="26"/>
  <c r="N46" i="26"/>
  <c r="M46" i="26"/>
  <c r="L46" i="26"/>
  <c r="K46" i="26"/>
  <c r="J46" i="26"/>
  <c r="I46" i="26"/>
  <c r="H46" i="26"/>
  <c r="G46" i="26"/>
  <c r="F46" i="26"/>
  <c r="E46" i="26"/>
  <c r="D46" i="26"/>
  <c r="C46" i="26"/>
  <c r="B46" i="26"/>
  <c r="A46" i="26"/>
  <c r="AA45" i="26"/>
  <c r="Z45" i="26"/>
  <c r="Y45" i="26"/>
  <c r="X45" i="26"/>
  <c r="W45" i="26"/>
  <c r="V45" i="26"/>
  <c r="U45" i="26"/>
  <c r="T45" i="26"/>
  <c r="S45" i="26"/>
  <c r="R45" i="26"/>
  <c r="Q45" i="26"/>
  <c r="P45" i="26"/>
  <c r="O45" i="26"/>
  <c r="N45" i="26"/>
  <c r="M45" i="26"/>
  <c r="L45" i="26"/>
  <c r="K45" i="26"/>
  <c r="J45" i="26"/>
  <c r="I45" i="26"/>
  <c r="H45" i="26"/>
  <c r="G45" i="26"/>
  <c r="F45" i="26"/>
  <c r="E45" i="26"/>
  <c r="D45" i="26"/>
  <c r="C45" i="26"/>
  <c r="B45" i="26"/>
  <c r="A45" i="26"/>
  <c r="AA44" i="26"/>
  <c r="Z44" i="26"/>
  <c r="Y44" i="26"/>
  <c r="X44" i="26"/>
  <c r="W44" i="26"/>
  <c r="V44" i="26"/>
  <c r="U44" i="26"/>
  <c r="T44" i="26"/>
  <c r="S44" i="26"/>
  <c r="R44" i="26"/>
  <c r="Q44" i="26"/>
  <c r="P44" i="26"/>
  <c r="O44" i="26"/>
  <c r="N44" i="26"/>
  <c r="M44" i="26"/>
  <c r="L44" i="26"/>
  <c r="K44" i="26"/>
  <c r="J44" i="26"/>
  <c r="I44" i="26"/>
  <c r="H44" i="26"/>
  <c r="G44" i="26"/>
  <c r="F44" i="26"/>
  <c r="E44" i="26"/>
  <c r="D44" i="26"/>
  <c r="C44" i="26"/>
  <c r="B44" i="26"/>
  <c r="A44" i="26"/>
  <c r="AA43" i="26"/>
  <c r="Z43" i="26"/>
  <c r="Y43" i="26"/>
  <c r="X43" i="26"/>
  <c r="W43" i="26"/>
  <c r="V43" i="26"/>
  <c r="U43" i="26"/>
  <c r="T43" i="26"/>
  <c r="S43" i="26"/>
  <c r="R43" i="26"/>
  <c r="Q43" i="26"/>
  <c r="P43" i="26"/>
  <c r="O43" i="26"/>
  <c r="N43" i="26"/>
  <c r="M43" i="26"/>
  <c r="L43" i="26"/>
  <c r="K43" i="26"/>
  <c r="J43" i="26"/>
  <c r="I43" i="26"/>
  <c r="H43" i="26"/>
  <c r="G43" i="26"/>
  <c r="F43" i="26"/>
  <c r="E43" i="26"/>
  <c r="D43" i="26"/>
  <c r="C43" i="26"/>
  <c r="B43" i="26"/>
  <c r="A43" i="26"/>
  <c r="AA42" i="26"/>
  <c r="Z42" i="26"/>
  <c r="Y42" i="26"/>
  <c r="X42" i="26"/>
  <c r="W42" i="26"/>
  <c r="V42" i="26"/>
  <c r="U42" i="26"/>
  <c r="T42" i="26"/>
  <c r="S42" i="26"/>
  <c r="R42" i="26"/>
  <c r="Q42" i="26"/>
  <c r="P42" i="26"/>
  <c r="O42" i="26"/>
  <c r="N42" i="26"/>
  <c r="M42" i="26"/>
  <c r="L42" i="26"/>
  <c r="K42" i="26"/>
  <c r="J42" i="26"/>
  <c r="I42" i="26"/>
  <c r="H42" i="26"/>
  <c r="G42" i="26"/>
  <c r="F42" i="26"/>
  <c r="E42" i="26"/>
  <c r="D42" i="26"/>
  <c r="C42" i="26"/>
  <c r="B42" i="26"/>
  <c r="A42" i="26"/>
  <c r="AA41" i="26"/>
  <c r="Z41" i="26"/>
  <c r="Y41" i="26"/>
  <c r="X41" i="26"/>
  <c r="W41" i="26"/>
  <c r="V41" i="26"/>
  <c r="U41" i="26"/>
  <c r="T41" i="26"/>
  <c r="S41" i="26"/>
  <c r="R41" i="26"/>
  <c r="Q41" i="26"/>
  <c r="P41" i="26"/>
  <c r="O41" i="26"/>
  <c r="N41" i="26"/>
  <c r="M41" i="26"/>
  <c r="L41" i="26"/>
  <c r="K41" i="26"/>
  <c r="J41" i="26"/>
  <c r="I41" i="26"/>
  <c r="H41" i="26"/>
  <c r="G41" i="26"/>
  <c r="F41" i="26"/>
  <c r="E41" i="26"/>
  <c r="D41" i="26"/>
  <c r="C41" i="26"/>
  <c r="B41" i="26"/>
  <c r="A41" i="26"/>
  <c r="AA40" i="26"/>
  <c r="Z40" i="26"/>
  <c r="Y40" i="26"/>
  <c r="X40" i="26"/>
  <c r="W40" i="26"/>
  <c r="V40" i="26"/>
  <c r="U40" i="26"/>
  <c r="T40" i="26"/>
  <c r="S40" i="26"/>
  <c r="R40" i="26"/>
  <c r="Q40" i="26"/>
  <c r="P40" i="26"/>
  <c r="O40" i="26"/>
  <c r="N40" i="26"/>
  <c r="M40" i="26"/>
  <c r="L40" i="26"/>
  <c r="K40" i="26"/>
  <c r="J40" i="26"/>
  <c r="I40" i="26"/>
  <c r="H40" i="26"/>
  <c r="G40" i="26"/>
  <c r="F40" i="26"/>
  <c r="E40" i="26"/>
  <c r="D40" i="26"/>
  <c r="C40" i="26"/>
  <c r="B40" i="26"/>
  <c r="A40" i="26"/>
  <c r="AA39" i="26"/>
  <c r="Z39" i="26"/>
  <c r="Y39" i="26"/>
  <c r="X39" i="26"/>
  <c r="W39" i="26"/>
  <c r="V39" i="26"/>
  <c r="U39" i="26"/>
  <c r="T39" i="26"/>
  <c r="S39" i="26"/>
  <c r="R39" i="26"/>
  <c r="Q39" i="26"/>
  <c r="P39" i="26"/>
  <c r="O39" i="26"/>
  <c r="N39" i="26"/>
  <c r="M39" i="26"/>
  <c r="L39" i="26"/>
  <c r="K39" i="26"/>
  <c r="J39" i="26"/>
  <c r="I39" i="26"/>
  <c r="H39" i="26"/>
  <c r="G39" i="26"/>
  <c r="F39" i="26"/>
  <c r="E39" i="26"/>
  <c r="D39" i="26"/>
  <c r="C39" i="26"/>
  <c r="B39" i="26"/>
  <c r="A39" i="26"/>
  <c r="AA38" i="26"/>
  <c r="Z38" i="26"/>
  <c r="Y38" i="26"/>
  <c r="X38" i="26"/>
  <c r="W38" i="26"/>
  <c r="V38" i="26"/>
  <c r="U38" i="26"/>
  <c r="T38" i="26"/>
  <c r="S38" i="26"/>
  <c r="R38" i="26"/>
  <c r="Q38" i="26"/>
  <c r="P38" i="26"/>
  <c r="O38" i="26"/>
  <c r="N38" i="26"/>
  <c r="M38" i="26"/>
  <c r="L38" i="26"/>
  <c r="K38" i="26"/>
  <c r="J38" i="26"/>
  <c r="I38" i="26"/>
  <c r="H38" i="26"/>
  <c r="G38" i="26"/>
  <c r="F38" i="26"/>
  <c r="E38" i="26"/>
  <c r="D38" i="26"/>
  <c r="C38" i="26"/>
  <c r="B38" i="26"/>
  <c r="A38" i="26"/>
  <c r="AA37" i="26"/>
  <c r="Z37" i="26"/>
  <c r="Y37" i="26"/>
  <c r="X37" i="26"/>
  <c r="W37" i="26"/>
  <c r="V37" i="26"/>
  <c r="U37" i="26"/>
  <c r="T37" i="26"/>
  <c r="S37" i="26"/>
  <c r="R37" i="26"/>
  <c r="Q37" i="26"/>
  <c r="P37" i="26"/>
  <c r="O37" i="26"/>
  <c r="N37" i="26"/>
  <c r="M37" i="26"/>
  <c r="L37" i="26"/>
  <c r="K37" i="26"/>
  <c r="J37" i="26"/>
  <c r="I37" i="26"/>
  <c r="H37" i="26"/>
  <c r="G37" i="26"/>
  <c r="F37" i="26"/>
  <c r="E37" i="26"/>
  <c r="D37" i="26"/>
  <c r="C37" i="26"/>
  <c r="B37" i="26"/>
  <c r="A37" i="26"/>
  <c r="AA36" i="26"/>
  <c r="Z36" i="26"/>
  <c r="Y36" i="26"/>
  <c r="X36" i="26"/>
  <c r="W36" i="26"/>
  <c r="V36" i="26"/>
  <c r="U36" i="26"/>
  <c r="T36" i="26"/>
  <c r="S36" i="26"/>
  <c r="R36" i="26"/>
  <c r="Q36" i="26"/>
  <c r="P36" i="26"/>
  <c r="O36" i="26"/>
  <c r="N36" i="26"/>
  <c r="M36" i="26"/>
  <c r="L36" i="26"/>
  <c r="K36" i="26"/>
  <c r="J36" i="26"/>
  <c r="I36" i="26"/>
  <c r="H36" i="26"/>
  <c r="G36" i="26"/>
  <c r="F36" i="26"/>
  <c r="E36" i="26"/>
  <c r="D36" i="26"/>
  <c r="C36" i="26"/>
  <c r="B36" i="26"/>
  <c r="A36" i="26"/>
  <c r="AA35" i="26"/>
  <c r="Z35" i="26"/>
  <c r="Y35" i="26"/>
  <c r="X35" i="26"/>
  <c r="W35" i="26"/>
  <c r="V35" i="26"/>
  <c r="U35" i="26"/>
  <c r="T35" i="26"/>
  <c r="S35" i="26"/>
  <c r="R35" i="26"/>
  <c r="Q35" i="26"/>
  <c r="P35" i="26"/>
  <c r="O35" i="26"/>
  <c r="N35" i="26"/>
  <c r="M35" i="26"/>
  <c r="L35" i="26"/>
  <c r="K35" i="26"/>
  <c r="J35" i="26"/>
  <c r="I35" i="26"/>
  <c r="H35" i="26"/>
  <c r="G35" i="26"/>
  <c r="F35" i="26"/>
  <c r="E35" i="26"/>
  <c r="D35" i="26"/>
  <c r="C35" i="26"/>
  <c r="B35" i="26"/>
  <c r="A35" i="26"/>
  <c r="AA34" i="26"/>
  <c r="Z34" i="26"/>
  <c r="Y34" i="26"/>
  <c r="X34" i="26"/>
  <c r="W34" i="26"/>
  <c r="V34" i="26"/>
  <c r="U34" i="26"/>
  <c r="T34" i="26"/>
  <c r="S34" i="26"/>
  <c r="R34" i="26"/>
  <c r="Q34" i="26"/>
  <c r="P34" i="26"/>
  <c r="O34" i="26"/>
  <c r="N34" i="26"/>
  <c r="M34" i="26"/>
  <c r="L34" i="26"/>
  <c r="K34" i="26"/>
  <c r="J34" i="26"/>
  <c r="I34" i="26"/>
  <c r="H34" i="26"/>
  <c r="G34" i="26"/>
  <c r="F34" i="26"/>
  <c r="E34" i="26"/>
  <c r="D34" i="26"/>
  <c r="C34" i="26"/>
  <c r="B34" i="26"/>
  <c r="A34" i="26"/>
  <c r="AA33" i="26"/>
  <c r="Z33" i="26"/>
  <c r="Y33" i="26"/>
  <c r="X33" i="26"/>
  <c r="W33" i="26"/>
  <c r="V33" i="26"/>
  <c r="U33" i="26"/>
  <c r="T33" i="26"/>
  <c r="S33" i="26"/>
  <c r="R33" i="26"/>
  <c r="Q33" i="26"/>
  <c r="P33" i="26"/>
  <c r="O33" i="26"/>
  <c r="N33" i="26"/>
  <c r="M33" i="26"/>
  <c r="L33" i="26"/>
  <c r="K33" i="26"/>
  <c r="J33" i="26"/>
  <c r="I33" i="26"/>
  <c r="H33" i="26"/>
  <c r="G33" i="26"/>
  <c r="F33" i="26"/>
  <c r="E33" i="26"/>
  <c r="D33" i="26"/>
  <c r="C33" i="26"/>
  <c r="B33" i="26"/>
  <c r="A33" i="26"/>
  <c r="AA32" i="26"/>
  <c r="Z32" i="26"/>
  <c r="Y32" i="26"/>
  <c r="X32" i="26"/>
  <c r="W32" i="26"/>
  <c r="V32" i="26"/>
  <c r="U32" i="26"/>
  <c r="T32" i="26"/>
  <c r="S32" i="26"/>
  <c r="R32" i="26"/>
  <c r="Q32" i="26"/>
  <c r="P32" i="26"/>
  <c r="O32" i="26"/>
  <c r="N32" i="26"/>
  <c r="M32" i="26"/>
  <c r="L32" i="26"/>
  <c r="K32" i="26"/>
  <c r="J32" i="26"/>
  <c r="I32" i="26"/>
  <c r="H32" i="26"/>
  <c r="G32" i="26"/>
  <c r="F32" i="26"/>
  <c r="E32" i="26"/>
  <c r="D32" i="26"/>
  <c r="C32" i="26"/>
  <c r="B32" i="26"/>
  <c r="A32" i="26"/>
  <c r="AA31" i="26"/>
  <c r="Z31" i="26"/>
  <c r="Y31" i="26"/>
  <c r="X31" i="26"/>
  <c r="W31" i="26"/>
  <c r="V31" i="26"/>
  <c r="U31" i="26"/>
  <c r="T31" i="26"/>
  <c r="S31" i="26"/>
  <c r="R31" i="26"/>
  <c r="Q31" i="26"/>
  <c r="P31" i="26"/>
  <c r="O31" i="26"/>
  <c r="N31" i="26"/>
  <c r="M31" i="26"/>
  <c r="L31" i="26"/>
  <c r="K31" i="26"/>
  <c r="J31" i="26"/>
  <c r="I31" i="26"/>
  <c r="H31" i="26"/>
  <c r="G31" i="26"/>
  <c r="F31" i="26"/>
  <c r="E31" i="26"/>
  <c r="D31" i="26"/>
  <c r="C31" i="26"/>
  <c r="B31" i="26"/>
  <c r="A31" i="26"/>
  <c r="AA30" i="26"/>
  <c r="Z30" i="26"/>
  <c r="Y30" i="26"/>
  <c r="X30" i="26"/>
  <c r="W30" i="26"/>
  <c r="V30" i="26"/>
  <c r="U30" i="26"/>
  <c r="T30" i="26"/>
  <c r="S30" i="26"/>
  <c r="R30" i="26"/>
  <c r="Q30" i="26"/>
  <c r="P30" i="26"/>
  <c r="O30" i="26"/>
  <c r="N30" i="26"/>
  <c r="M30" i="26"/>
  <c r="L30" i="26"/>
  <c r="K30" i="26"/>
  <c r="J30" i="26"/>
  <c r="I30" i="26"/>
  <c r="H30" i="26"/>
  <c r="G30" i="26"/>
  <c r="F30" i="26"/>
  <c r="E30" i="26"/>
  <c r="D30" i="26"/>
  <c r="C30" i="26"/>
  <c r="B30" i="26"/>
  <c r="A30" i="26"/>
  <c r="AA29" i="26"/>
  <c r="Z29" i="26"/>
  <c r="Y29" i="26"/>
  <c r="X29" i="26"/>
  <c r="W29" i="26"/>
  <c r="V29" i="26"/>
  <c r="U29" i="26"/>
  <c r="T29" i="26"/>
  <c r="S29" i="26"/>
  <c r="R29" i="26"/>
  <c r="Q29" i="26"/>
  <c r="P29" i="26"/>
  <c r="O29" i="26"/>
  <c r="N29" i="26"/>
  <c r="M29" i="26"/>
  <c r="L29" i="26"/>
  <c r="K29" i="26"/>
  <c r="J29" i="26"/>
  <c r="I29" i="26"/>
  <c r="H29" i="26"/>
  <c r="G29" i="26"/>
  <c r="F29" i="26"/>
  <c r="E29" i="26"/>
  <c r="D29" i="26"/>
  <c r="C29" i="26"/>
  <c r="B29" i="26"/>
  <c r="A29" i="26"/>
  <c r="AA28" i="26"/>
  <c r="Z28" i="26"/>
  <c r="Y28" i="26"/>
  <c r="X28" i="26"/>
  <c r="W28" i="26"/>
  <c r="V28" i="26"/>
  <c r="U28" i="26"/>
  <c r="T28" i="26"/>
  <c r="S28" i="26"/>
  <c r="R28" i="26"/>
  <c r="Q28" i="26"/>
  <c r="P28" i="26"/>
  <c r="O28" i="26"/>
  <c r="N28" i="26"/>
  <c r="M28" i="26"/>
  <c r="L28" i="26"/>
  <c r="K28" i="26"/>
  <c r="J28" i="26"/>
  <c r="I28" i="26"/>
  <c r="H28" i="26"/>
  <c r="G28" i="26"/>
  <c r="F28" i="26"/>
  <c r="E28" i="26"/>
  <c r="D28" i="26"/>
  <c r="C28" i="26"/>
  <c r="B28" i="26"/>
  <c r="A28" i="26"/>
  <c r="AA27" i="26"/>
  <c r="Z27" i="26"/>
  <c r="Y27" i="26"/>
  <c r="X27" i="26"/>
  <c r="W27" i="26"/>
  <c r="V27" i="26"/>
  <c r="U27" i="26"/>
  <c r="T27" i="26"/>
  <c r="S27" i="26"/>
  <c r="R27" i="26"/>
  <c r="Q27" i="26"/>
  <c r="P27" i="26"/>
  <c r="O27" i="26"/>
  <c r="N27" i="26"/>
  <c r="M27" i="26"/>
  <c r="L27" i="26"/>
  <c r="K27" i="26"/>
  <c r="J27" i="26"/>
  <c r="I27" i="26"/>
  <c r="H27" i="26"/>
  <c r="G27" i="26"/>
  <c r="F27" i="26"/>
  <c r="E27" i="26"/>
  <c r="D27" i="26"/>
  <c r="C27" i="26"/>
  <c r="B27" i="26"/>
  <c r="A27"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A26" i="26"/>
  <c r="AA25" i="26"/>
  <c r="Z25" i="26"/>
  <c r="Y25" i="26"/>
  <c r="X25" i="26"/>
  <c r="W25" i="26"/>
  <c r="V25" i="26"/>
  <c r="U25" i="26"/>
  <c r="T25" i="26"/>
  <c r="S25" i="26"/>
  <c r="R25" i="26"/>
  <c r="Q25" i="26"/>
  <c r="P25" i="26"/>
  <c r="O25" i="26"/>
  <c r="N25" i="26"/>
  <c r="M25" i="26"/>
  <c r="L25" i="26"/>
  <c r="K25" i="26"/>
  <c r="J25" i="26"/>
  <c r="I25" i="26"/>
  <c r="H25" i="26"/>
  <c r="G25" i="26"/>
  <c r="F25" i="26"/>
  <c r="E25" i="26"/>
  <c r="D25" i="26"/>
  <c r="C25" i="26"/>
  <c r="B25" i="26"/>
  <c r="A25" i="26"/>
  <c r="AA24" i="26"/>
  <c r="Z24" i="26"/>
  <c r="Y24" i="26"/>
  <c r="X24" i="26"/>
  <c r="W24" i="26"/>
  <c r="V24" i="26"/>
  <c r="U24" i="26"/>
  <c r="T24" i="26"/>
  <c r="S24" i="26"/>
  <c r="R24" i="26"/>
  <c r="Q24" i="26"/>
  <c r="P24" i="26"/>
  <c r="O24" i="26"/>
  <c r="N24" i="26"/>
  <c r="M24" i="26"/>
  <c r="L24" i="26"/>
  <c r="K24" i="26"/>
  <c r="J24" i="26"/>
  <c r="I24" i="26"/>
  <c r="H24" i="26"/>
  <c r="G24" i="26"/>
  <c r="F24" i="26"/>
  <c r="E24" i="26"/>
  <c r="D24" i="26"/>
  <c r="C24" i="26"/>
  <c r="B24" i="26"/>
  <c r="A24" i="26"/>
  <c r="AA23" i="26"/>
  <c r="Z23" i="26"/>
  <c r="Y23" i="26"/>
  <c r="X23" i="26"/>
  <c r="W23" i="26"/>
  <c r="V23" i="26"/>
  <c r="U23" i="26"/>
  <c r="T23" i="26"/>
  <c r="S23" i="26"/>
  <c r="R23" i="26"/>
  <c r="Q23" i="26"/>
  <c r="P23" i="26"/>
  <c r="O23" i="26"/>
  <c r="N23" i="26"/>
  <c r="M23" i="26"/>
  <c r="L23" i="26"/>
  <c r="K23" i="26"/>
  <c r="J23" i="26"/>
  <c r="I23" i="26"/>
  <c r="H23" i="26"/>
  <c r="G23" i="26"/>
  <c r="F23" i="26"/>
  <c r="E23" i="26"/>
  <c r="D23" i="26"/>
  <c r="C23" i="26"/>
  <c r="B23" i="26"/>
  <c r="A23" i="26"/>
  <c r="AA22" i="26"/>
  <c r="Z22" i="26"/>
  <c r="Y22" i="26"/>
  <c r="X22" i="26"/>
  <c r="W22" i="26"/>
  <c r="V22" i="26"/>
  <c r="U22" i="26"/>
  <c r="T22" i="26"/>
  <c r="S22" i="26"/>
  <c r="R22" i="26"/>
  <c r="Q22" i="26"/>
  <c r="P22" i="26"/>
  <c r="O22" i="26"/>
  <c r="N22" i="26"/>
  <c r="M22" i="26"/>
  <c r="L22" i="26"/>
  <c r="K22" i="26"/>
  <c r="J22" i="26"/>
  <c r="I22" i="26"/>
  <c r="H22" i="26"/>
  <c r="G22" i="26"/>
  <c r="F22" i="26"/>
  <c r="E22" i="26"/>
  <c r="D22" i="26"/>
  <c r="C22" i="26"/>
  <c r="B22" i="26"/>
  <c r="A22" i="26"/>
  <c r="AA21" i="26"/>
  <c r="Z21" i="26"/>
  <c r="Y21" i="26"/>
  <c r="X21" i="26"/>
  <c r="W21" i="26"/>
  <c r="V21" i="26"/>
  <c r="U21" i="26"/>
  <c r="T21" i="26"/>
  <c r="S21" i="26"/>
  <c r="R21" i="26"/>
  <c r="Q21" i="26"/>
  <c r="P21" i="26"/>
  <c r="O21" i="26"/>
  <c r="N21" i="26"/>
  <c r="M21" i="26"/>
  <c r="L21" i="26"/>
  <c r="K21" i="26"/>
  <c r="J21" i="26"/>
  <c r="I21" i="26"/>
  <c r="H21" i="26"/>
  <c r="G21" i="26"/>
  <c r="F21" i="26"/>
  <c r="E21" i="26"/>
  <c r="D21" i="26"/>
  <c r="C21" i="26"/>
  <c r="B21" i="26"/>
  <c r="A21" i="26"/>
  <c r="AA20" i="26"/>
  <c r="Z20" i="26"/>
  <c r="Y20" i="26"/>
  <c r="X20" i="26"/>
  <c r="W20" i="26"/>
  <c r="V20" i="26"/>
  <c r="U20" i="26"/>
  <c r="T20" i="26"/>
  <c r="S20" i="26"/>
  <c r="R20" i="26"/>
  <c r="Q20" i="26"/>
  <c r="P20" i="26"/>
  <c r="O20" i="26"/>
  <c r="N20" i="26"/>
  <c r="M20" i="26"/>
  <c r="L20" i="26"/>
  <c r="K20" i="26"/>
  <c r="J20" i="26"/>
  <c r="I20" i="26"/>
  <c r="H20" i="26"/>
  <c r="G20" i="26"/>
  <c r="F20" i="26"/>
  <c r="E20" i="26"/>
  <c r="D20" i="26"/>
  <c r="C20" i="26"/>
  <c r="B20" i="26"/>
  <c r="A20" i="26"/>
  <c r="AA19" i="26"/>
  <c r="Z19" i="26"/>
  <c r="Y19" i="26"/>
  <c r="X19" i="26"/>
  <c r="W19" i="26"/>
  <c r="V19" i="26"/>
  <c r="U19" i="26"/>
  <c r="T19" i="26"/>
  <c r="S19" i="26"/>
  <c r="R19" i="26"/>
  <c r="Q19" i="26"/>
  <c r="P19" i="26"/>
  <c r="O19" i="26"/>
  <c r="N19" i="26"/>
  <c r="M19" i="26"/>
  <c r="L19" i="26"/>
  <c r="K19" i="26"/>
  <c r="J19" i="26"/>
  <c r="I19" i="26"/>
  <c r="H19" i="26"/>
  <c r="G19" i="26"/>
  <c r="F19" i="26"/>
  <c r="E19" i="26"/>
  <c r="D19" i="26"/>
  <c r="C19" i="26"/>
  <c r="B19" i="26"/>
  <c r="A19" i="26"/>
  <c r="AA18" i="26"/>
  <c r="Z18" i="26"/>
  <c r="Y18" i="26"/>
  <c r="X18" i="26"/>
  <c r="W18" i="26"/>
  <c r="V18" i="26"/>
  <c r="U18" i="26"/>
  <c r="T18" i="26"/>
  <c r="S18" i="26"/>
  <c r="R18" i="26"/>
  <c r="Q18" i="26"/>
  <c r="P18" i="26"/>
  <c r="O18" i="26"/>
  <c r="N18" i="26"/>
  <c r="M18" i="26"/>
  <c r="L18" i="26"/>
  <c r="K18" i="26"/>
  <c r="J18" i="26"/>
  <c r="I18" i="26"/>
  <c r="H18" i="26"/>
  <c r="G18" i="26"/>
  <c r="F18" i="26"/>
  <c r="E18" i="26"/>
  <c r="D18" i="26"/>
  <c r="C18" i="26"/>
  <c r="B18" i="26"/>
  <c r="A18" i="26"/>
  <c r="AA17" i="26"/>
  <c r="Z17" i="26"/>
  <c r="Y17" i="26"/>
  <c r="X17" i="26"/>
  <c r="W17" i="26"/>
  <c r="V17" i="26"/>
  <c r="U17" i="26"/>
  <c r="T17" i="26"/>
  <c r="S17" i="26"/>
  <c r="R17" i="26"/>
  <c r="Q17" i="26"/>
  <c r="P17" i="26"/>
  <c r="O17" i="26"/>
  <c r="N17" i="26"/>
  <c r="M17" i="26"/>
  <c r="L17" i="26"/>
  <c r="K17" i="26"/>
  <c r="J17" i="26"/>
  <c r="I17" i="26"/>
  <c r="H17" i="26"/>
  <c r="G17" i="26"/>
  <c r="F17" i="26"/>
  <c r="E17" i="26"/>
  <c r="D17" i="26"/>
  <c r="C17" i="26"/>
  <c r="B17" i="26"/>
  <c r="A17" i="26"/>
  <c r="AA16" i="26"/>
  <c r="Z16" i="26"/>
  <c r="Y16" i="26"/>
  <c r="X16" i="26"/>
  <c r="W16" i="26"/>
  <c r="V16" i="26"/>
  <c r="U16" i="26"/>
  <c r="T16" i="26"/>
  <c r="S16" i="26"/>
  <c r="R16" i="26"/>
  <c r="Q16" i="26"/>
  <c r="P16" i="26"/>
  <c r="O16" i="26"/>
  <c r="N16" i="26"/>
  <c r="M16" i="26"/>
  <c r="L16" i="26"/>
  <c r="K16" i="26"/>
  <c r="J16" i="26"/>
  <c r="I16" i="26"/>
  <c r="H16" i="26"/>
  <c r="G16" i="26"/>
  <c r="F16" i="26"/>
  <c r="E16" i="26"/>
  <c r="D16" i="26"/>
  <c r="C16" i="26"/>
  <c r="B16" i="26"/>
  <c r="A16" i="26"/>
  <c r="AA15" i="26"/>
  <c r="Z15" i="26"/>
  <c r="Y15" i="26"/>
  <c r="X15" i="26"/>
  <c r="W15" i="26"/>
  <c r="V15" i="26"/>
  <c r="U15" i="26"/>
  <c r="T15" i="26"/>
  <c r="S15" i="26"/>
  <c r="R15" i="26"/>
  <c r="Q15" i="26"/>
  <c r="P15" i="26"/>
  <c r="O15" i="26"/>
  <c r="N15" i="26"/>
  <c r="M15" i="26"/>
  <c r="L15" i="26"/>
  <c r="K15" i="26"/>
  <c r="J15" i="26"/>
  <c r="I15" i="26"/>
  <c r="H15" i="26"/>
  <c r="G15" i="26"/>
  <c r="F15" i="26"/>
  <c r="E15" i="26"/>
  <c r="D15" i="26"/>
  <c r="C15" i="26"/>
  <c r="B15" i="26"/>
  <c r="A15" i="26"/>
  <c r="AA14" i="26"/>
  <c r="Z14" i="26"/>
  <c r="Y14" i="26"/>
  <c r="X14" i="26"/>
  <c r="W14" i="26"/>
  <c r="V14" i="26"/>
  <c r="U14" i="26"/>
  <c r="T14" i="26"/>
  <c r="S14" i="26"/>
  <c r="R14" i="26"/>
  <c r="Q14" i="26"/>
  <c r="P14" i="26"/>
  <c r="O14" i="26"/>
  <c r="N14" i="26"/>
  <c r="M14" i="26"/>
  <c r="L14" i="26"/>
  <c r="K14" i="26"/>
  <c r="J14" i="26"/>
  <c r="I14" i="26"/>
  <c r="H14" i="26"/>
  <c r="G14" i="26"/>
  <c r="F14" i="26"/>
  <c r="E14" i="26"/>
  <c r="D14" i="26"/>
  <c r="C14" i="26"/>
  <c r="B14" i="26"/>
  <c r="A14" i="26"/>
  <c r="AA13" i="26"/>
  <c r="Z13" i="26"/>
  <c r="Y13" i="26"/>
  <c r="X13" i="26"/>
  <c r="W13" i="26"/>
  <c r="V13" i="26"/>
  <c r="U13" i="26"/>
  <c r="T13" i="26"/>
  <c r="S13" i="26"/>
  <c r="R13" i="26"/>
  <c r="Q13" i="26"/>
  <c r="P13" i="26"/>
  <c r="O13" i="26"/>
  <c r="N13" i="26"/>
  <c r="M13" i="26"/>
  <c r="L13" i="26"/>
  <c r="K13" i="26"/>
  <c r="J13" i="26"/>
  <c r="I13" i="26"/>
  <c r="H13" i="26"/>
  <c r="G13" i="26"/>
  <c r="F13" i="26"/>
  <c r="E13" i="26"/>
  <c r="D13" i="26"/>
  <c r="C13" i="26"/>
  <c r="B13" i="26"/>
  <c r="A13" i="26"/>
  <c r="AA12" i="26"/>
  <c r="Z12" i="26"/>
  <c r="Y12" i="26"/>
  <c r="X12" i="26"/>
  <c r="W12" i="26"/>
  <c r="V12" i="26"/>
  <c r="U12" i="26"/>
  <c r="T12" i="26"/>
  <c r="S12" i="26"/>
  <c r="R12" i="26"/>
  <c r="Q12" i="26"/>
  <c r="P12" i="26"/>
  <c r="O12" i="26"/>
  <c r="N12" i="26"/>
  <c r="M12" i="26"/>
  <c r="L12" i="26"/>
  <c r="K12" i="26"/>
  <c r="J12" i="26"/>
  <c r="I12" i="26"/>
  <c r="H12" i="26"/>
  <c r="G12" i="26"/>
  <c r="F12" i="26"/>
  <c r="E12" i="26"/>
  <c r="D12" i="26"/>
  <c r="C12" i="26"/>
  <c r="B12" i="26"/>
  <c r="A12" i="26"/>
  <c r="AA11" i="26"/>
  <c r="Z11" i="26"/>
  <c r="Y11" i="26"/>
  <c r="X11" i="26"/>
  <c r="W11" i="26"/>
  <c r="V11" i="26"/>
  <c r="U11" i="26"/>
  <c r="T11" i="26"/>
  <c r="S11" i="26"/>
  <c r="R11" i="26"/>
  <c r="Q11" i="26"/>
  <c r="P11" i="26"/>
  <c r="O11" i="26"/>
  <c r="N11" i="26"/>
  <c r="M11" i="26"/>
  <c r="L11" i="26"/>
  <c r="K11" i="26"/>
  <c r="J11" i="26"/>
  <c r="I11" i="26"/>
  <c r="H11" i="26"/>
  <c r="G11" i="26"/>
  <c r="F11" i="26"/>
  <c r="E11" i="26"/>
  <c r="D11" i="26"/>
  <c r="C11" i="26"/>
  <c r="B11" i="26"/>
  <c r="A11" i="26"/>
  <c r="AA10" i="26"/>
  <c r="Z10" i="26"/>
  <c r="Y10" i="26"/>
  <c r="X10" i="26"/>
  <c r="W10" i="26"/>
  <c r="V10" i="26"/>
  <c r="U10" i="26"/>
  <c r="T10" i="26"/>
  <c r="S10" i="26"/>
  <c r="R10" i="26"/>
  <c r="Q10" i="26"/>
  <c r="P10" i="26"/>
  <c r="O10" i="26"/>
  <c r="N10" i="26"/>
  <c r="M10" i="26"/>
  <c r="L10" i="26"/>
  <c r="K10" i="26"/>
  <c r="J10" i="26"/>
  <c r="I10" i="26"/>
  <c r="H10" i="26"/>
  <c r="G10" i="26"/>
  <c r="F10" i="26"/>
  <c r="E10" i="26"/>
  <c r="D10" i="26"/>
  <c r="C10" i="26"/>
  <c r="B10" i="26"/>
  <c r="A10" i="26"/>
  <c r="AA9" i="26"/>
  <c r="Z9" i="26"/>
  <c r="Y9" i="26"/>
  <c r="X9" i="26"/>
  <c r="W9" i="26"/>
  <c r="V9" i="26"/>
  <c r="U9" i="26"/>
  <c r="T9" i="26"/>
  <c r="S9" i="26"/>
  <c r="R9" i="26"/>
  <c r="Q9" i="26"/>
  <c r="P9" i="26"/>
  <c r="O9" i="26"/>
  <c r="N9" i="26"/>
  <c r="M9" i="26"/>
  <c r="L9" i="26"/>
  <c r="K9" i="26"/>
  <c r="J9" i="26"/>
  <c r="I9" i="26"/>
  <c r="H9" i="26"/>
  <c r="G9" i="26"/>
  <c r="F9" i="26"/>
  <c r="E9" i="26"/>
  <c r="D9" i="26"/>
  <c r="C9" i="26"/>
  <c r="B9" i="26"/>
  <c r="A9" i="26"/>
  <c r="AA8" i="26"/>
  <c r="Z8" i="26"/>
  <c r="Y8" i="26"/>
  <c r="X8" i="26"/>
  <c r="W8" i="26"/>
  <c r="V8" i="26"/>
  <c r="U8" i="26"/>
  <c r="T8" i="26"/>
  <c r="S8" i="26"/>
  <c r="R8" i="26"/>
  <c r="Q8" i="26"/>
  <c r="P8" i="26"/>
  <c r="O8" i="26"/>
  <c r="N8" i="26"/>
  <c r="M8" i="26"/>
  <c r="L8" i="26"/>
  <c r="K8" i="26"/>
  <c r="J8" i="26"/>
  <c r="I8" i="26"/>
  <c r="H8" i="26"/>
  <c r="G8" i="26"/>
  <c r="F8" i="26"/>
  <c r="E8" i="26"/>
  <c r="D8" i="26"/>
  <c r="C8" i="26"/>
  <c r="B8" i="26"/>
  <c r="A8" i="26"/>
  <c r="AA7" i="26"/>
  <c r="Z7" i="26"/>
  <c r="Y7" i="26"/>
  <c r="X7" i="26"/>
  <c r="W7" i="26"/>
  <c r="V7" i="26"/>
  <c r="U7" i="26"/>
  <c r="T7" i="26"/>
  <c r="S7" i="26"/>
  <c r="R7" i="26"/>
  <c r="Q7" i="26"/>
  <c r="P7" i="26"/>
  <c r="O7" i="26"/>
  <c r="N7" i="26"/>
  <c r="M7" i="26"/>
  <c r="L7" i="26"/>
  <c r="K7" i="26"/>
  <c r="J7" i="26"/>
  <c r="I7" i="26"/>
  <c r="H7" i="26"/>
  <c r="G7" i="26"/>
  <c r="F7" i="26"/>
  <c r="E7" i="26"/>
  <c r="D7" i="26"/>
  <c r="C7" i="26"/>
  <c r="B7" i="26"/>
  <c r="A7" i="26"/>
  <c r="AA6" i="26"/>
  <c r="Z6" i="26"/>
  <c r="Y6" i="26"/>
  <c r="X6" i="26"/>
  <c r="W6" i="26"/>
  <c r="V6" i="26"/>
  <c r="U6" i="26"/>
  <c r="T6" i="26"/>
  <c r="S6" i="26"/>
  <c r="R6" i="26"/>
  <c r="Q6" i="26"/>
  <c r="P6" i="26"/>
  <c r="O6" i="26"/>
  <c r="N6" i="26"/>
  <c r="M6" i="26"/>
  <c r="L6" i="26"/>
  <c r="K6" i="26"/>
  <c r="J6" i="26"/>
  <c r="I6" i="26"/>
  <c r="H6" i="26"/>
  <c r="G6" i="26"/>
  <c r="F6" i="26"/>
  <c r="E6" i="26"/>
  <c r="D6" i="26"/>
  <c r="C6" i="26"/>
  <c r="B6" i="26"/>
  <c r="A6" i="26"/>
  <c r="AA5" i="26"/>
  <c r="Z5" i="26"/>
  <c r="Y5" i="26"/>
  <c r="X5" i="26"/>
  <c r="W5" i="26"/>
  <c r="V5" i="26"/>
  <c r="U5" i="26"/>
  <c r="T5" i="26"/>
  <c r="S5" i="26"/>
  <c r="R5" i="26"/>
  <c r="Q5" i="26"/>
  <c r="P5" i="26"/>
  <c r="O5" i="26"/>
  <c r="N5" i="26"/>
  <c r="M5" i="26"/>
  <c r="L5" i="26"/>
  <c r="K5" i="26"/>
  <c r="J5" i="26"/>
  <c r="I5" i="26"/>
  <c r="H5" i="26"/>
  <c r="G5" i="26"/>
  <c r="F5" i="26"/>
  <c r="E5" i="26"/>
  <c r="D5" i="26"/>
  <c r="C5" i="26"/>
  <c r="B5" i="26"/>
  <c r="A5" i="26"/>
  <c r="AA4" i="26"/>
  <c r="Z4" i="26"/>
  <c r="Y4" i="26"/>
  <c r="X4" i="26"/>
  <c r="W4" i="26"/>
  <c r="V4" i="26"/>
  <c r="U4" i="26"/>
  <c r="T4" i="26"/>
  <c r="S4" i="26"/>
  <c r="R4" i="26"/>
  <c r="Q4" i="26"/>
  <c r="P4" i="26"/>
  <c r="O4" i="26"/>
  <c r="N4" i="26"/>
  <c r="M4" i="26"/>
  <c r="L4" i="26"/>
  <c r="K4" i="26"/>
  <c r="J4" i="26"/>
  <c r="I4" i="26"/>
  <c r="H4" i="26"/>
  <c r="G4" i="26"/>
  <c r="F4" i="26"/>
  <c r="E4" i="26"/>
  <c r="D4" i="26"/>
  <c r="C4" i="26"/>
  <c r="B4" i="26"/>
  <c r="A4" i="26"/>
  <c r="AA3" i="26"/>
  <c r="Z3" i="26"/>
  <c r="Y3" i="26"/>
  <c r="X3" i="26"/>
  <c r="W3" i="26"/>
  <c r="V3" i="26"/>
  <c r="U3" i="26"/>
  <c r="T3" i="26"/>
  <c r="S3" i="26"/>
  <c r="R3" i="26"/>
  <c r="Q3" i="26"/>
  <c r="P3" i="26"/>
  <c r="O3" i="26"/>
  <c r="N3" i="26"/>
  <c r="M3" i="26"/>
  <c r="L3" i="26"/>
  <c r="K3" i="26"/>
  <c r="J3" i="26"/>
  <c r="I3" i="26"/>
  <c r="H3" i="26"/>
  <c r="G3" i="26"/>
  <c r="F3" i="26"/>
  <c r="E3" i="26"/>
  <c r="D3" i="26"/>
  <c r="C3" i="26"/>
  <c r="B3" i="26"/>
  <c r="A3" i="26"/>
  <c r="AA2" i="26"/>
  <c r="Z2" i="26"/>
  <c r="Y2" i="26"/>
  <c r="X2" i="26"/>
  <c r="W2" i="26"/>
  <c r="V2" i="26"/>
  <c r="U2" i="26"/>
  <c r="T2" i="26"/>
  <c r="S2" i="26"/>
  <c r="R2" i="26"/>
  <c r="Q2" i="26"/>
  <c r="P2" i="26"/>
  <c r="O2" i="26"/>
  <c r="N2" i="26"/>
  <c r="M2" i="26"/>
  <c r="L2" i="26"/>
  <c r="K2" i="26"/>
  <c r="J2" i="26"/>
  <c r="I2" i="26"/>
  <c r="H2" i="26"/>
  <c r="G2" i="26"/>
  <c r="F2" i="26"/>
  <c r="E2" i="26"/>
  <c r="D2" i="26"/>
  <c r="C2" i="26"/>
  <c r="B2" i="26"/>
  <c r="B194" i="23" l="1"/>
  <c r="B193" i="23"/>
  <c r="B192" i="23"/>
  <c r="B191" i="23"/>
  <c r="B190" i="23"/>
  <c r="B189" i="23"/>
  <c r="B188" i="23"/>
  <c r="B187" i="23"/>
  <c r="B186" i="23"/>
  <c r="B185"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AA95" i="8" l="1"/>
  <c r="Z95" i="8"/>
  <c r="Y95" i="8"/>
  <c r="X95" i="8"/>
  <c r="W95" i="8"/>
  <c r="V95" i="8"/>
  <c r="U95" i="8"/>
  <c r="T95" i="8"/>
  <c r="S95" i="8"/>
  <c r="R95" i="8"/>
  <c r="Q95" i="8"/>
  <c r="P95" i="8"/>
  <c r="O95" i="8"/>
  <c r="N95" i="8"/>
  <c r="M95" i="8"/>
  <c r="L95" i="8"/>
  <c r="K95" i="8"/>
  <c r="J95" i="8"/>
  <c r="I95" i="8"/>
  <c r="H95" i="8"/>
  <c r="G95" i="8"/>
  <c r="F95" i="8"/>
  <c r="E95" i="8"/>
  <c r="D95" i="8"/>
  <c r="C95" i="8"/>
  <c r="B95" i="8"/>
  <c r="A95" i="8"/>
  <c r="AA94" i="8"/>
  <c r="Z94" i="8"/>
  <c r="Y94" i="8"/>
  <c r="X94" i="8"/>
  <c r="W94" i="8"/>
  <c r="V94" i="8"/>
  <c r="U94" i="8"/>
  <c r="T94" i="8"/>
  <c r="S94" i="8"/>
  <c r="R94" i="8"/>
  <c r="Q94" i="8"/>
  <c r="P94" i="8"/>
  <c r="O94" i="8"/>
  <c r="N94" i="8"/>
  <c r="M94" i="8"/>
  <c r="L94" i="8"/>
  <c r="K94" i="8"/>
  <c r="J94" i="8"/>
  <c r="I94" i="8"/>
  <c r="H94" i="8"/>
  <c r="G94" i="8"/>
  <c r="F94" i="8"/>
  <c r="E94" i="8"/>
  <c r="D94" i="8"/>
  <c r="C94" i="8"/>
  <c r="B94" i="8"/>
  <c r="A94" i="8"/>
  <c r="AA93" i="8"/>
  <c r="Z93" i="8"/>
  <c r="Y93" i="8"/>
  <c r="X93" i="8"/>
  <c r="W93" i="8"/>
  <c r="V93" i="8"/>
  <c r="U93" i="8"/>
  <c r="T93" i="8"/>
  <c r="S93" i="8"/>
  <c r="R93" i="8"/>
  <c r="Q93" i="8"/>
  <c r="P93" i="8"/>
  <c r="O93" i="8"/>
  <c r="N93" i="8"/>
  <c r="M93" i="8"/>
  <c r="L93" i="8"/>
  <c r="K93" i="8"/>
  <c r="J93" i="8"/>
  <c r="I93" i="8"/>
  <c r="H93" i="8"/>
  <c r="G93" i="8"/>
  <c r="F93" i="8"/>
  <c r="E93" i="8"/>
  <c r="D93" i="8"/>
  <c r="C93" i="8"/>
  <c r="B93" i="8"/>
  <c r="A93" i="8"/>
  <c r="AA92" i="8"/>
  <c r="Z92" i="8"/>
  <c r="Y92" i="8"/>
  <c r="X92" i="8"/>
  <c r="W92" i="8"/>
  <c r="V92" i="8"/>
  <c r="U92" i="8"/>
  <c r="T92" i="8"/>
  <c r="S92" i="8"/>
  <c r="R92" i="8"/>
  <c r="Q92" i="8"/>
  <c r="P92" i="8"/>
  <c r="O92" i="8"/>
  <c r="N92" i="8"/>
  <c r="M92" i="8"/>
  <c r="L92" i="8"/>
  <c r="K92" i="8"/>
  <c r="J92" i="8"/>
  <c r="I92" i="8"/>
  <c r="H92" i="8"/>
  <c r="G92" i="8"/>
  <c r="F92" i="8"/>
  <c r="E92" i="8"/>
  <c r="D92" i="8"/>
  <c r="C92" i="8"/>
  <c r="B92" i="8"/>
  <c r="A92" i="8"/>
  <c r="AA91" i="8"/>
  <c r="Z91" i="8"/>
  <c r="Y91" i="8"/>
  <c r="X91" i="8"/>
  <c r="W91" i="8"/>
  <c r="V91" i="8"/>
  <c r="U91" i="8"/>
  <c r="T91" i="8"/>
  <c r="S91" i="8"/>
  <c r="R91" i="8"/>
  <c r="Q91" i="8"/>
  <c r="P91" i="8"/>
  <c r="O91" i="8"/>
  <c r="N91" i="8"/>
  <c r="M91" i="8"/>
  <c r="L91" i="8"/>
  <c r="K91" i="8"/>
  <c r="J91" i="8"/>
  <c r="I91" i="8"/>
  <c r="H91" i="8"/>
  <c r="G91" i="8"/>
  <c r="F91" i="8"/>
  <c r="E91" i="8"/>
  <c r="D91" i="8"/>
  <c r="C91" i="8"/>
  <c r="B91" i="8"/>
  <c r="A91" i="8"/>
  <c r="AA90" i="8"/>
  <c r="Z90" i="8"/>
  <c r="Y90" i="8"/>
  <c r="X90" i="8"/>
  <c r="W90" i="8"/>
  <c r="V90" i="8"/>
  <c r="U90" i="8"/>
  <c r="T90" i="8"/>
  <c r="S90" i="8"/>
  <c r="R90" i="8"/>
  <c r="Q90" i="8"/>
  <c r="P90" i="8"/>
  <c r="O90" i="8"/>
  <c r="N90" i="8"/>
  <c r="M90" i="8"/>
  <c r="L90" i="8"/>
  <c r="K90" i="8"/>
  <c r="J90" i="8"/>
  <c r="I90" i="8"/>
  <c r="H90" i="8"/>
  <c r="G90" i="8"/>
  <c r="F90" i="8"/>
  <c r="E90" i="8"/>
  <c r="D90" i="8"/>
  <c r="C90" i="8"/>
  <c r="B90" i="8"/>
  <c r="A90" i="8"/>
  <c r="AA89" i="8"/>
  <c r="Z89" i="8"/>
  <c r="Y89" i="8"/>
  <c r="X89" i="8"/>
  <c r="W89" i="8"/>
  <c r="V89" i="8"/>
  <c r="U89" i="8"/>
  <c r="T89" i="8"/>
  <c r="S89" i="8"/>
  <c r="R89" i="8"/>
  <c r="Q89" i="8"/>
  <c r="P89" i="8"/>
  <c r="O89" i="8"/>
  <c r="N89" i="8"/>
  <c r="M89" i="8"/>
  <c r="L89" i="8"/>
  <c r="K89" i="8"/>
  <c r="J89" i="8"/>
  <c r="I89" i="8"/>
  <c r="H89" i="8"/>
  <c r="G89" i="8"/>
  <c r="F89" i="8"/>
  <c r="E89" i="8"/>
  <c r="D89" i="8"/>
  <c r="C89" i="8"/>
  <c r="B89" i="8"/>
  <c r="A89" i="8"/>
  <c r="AA88" i="8"/>
  <c r="Z88" i="8"/>
  <c r="Y88" i="8"/>
  <c r="X88" i="8"/>
  <c r="W88" i="8"/>
  <c r="V88" i="8"/>
  <c r="U88" i="8"/>
  <c r="T88" i="8"/>
  <c r="S88" i="8"/>
  <c r="R88" i="8"/>
  <c r="Q88" i="8"/>
  <c r="P88" i="8"/>
  <c r="O88" i="8"/>
  <c r="N88" i="8"/>
  <c r="M88" i="8"/>
  <c r="L88" i="8"/>
  <c r="K88" i="8"/>
  <c r="J88" i="8"/>
  <c r="I88" i="8"/>
  <c r="H88" i="8"/>
  <c r="G88" i="8"/>
  <c r="F88" i="8"/>
  <c r="E88" i="8"/>
  <c r="D88" i="8"/>
  <c r="C88" i="8"/>
  <c r="B88" i="8"/>
  <c r="A88" i="8"/>
  <c r="AA87" i="8"/>
  <c r="Z87" i="8"/>
  <c r="Y87" i="8"/>
  <c r="X87" i="8"/>
  <c r="W87" i="8"/>
  <c r="V87" i="8"/>
  <c r="U87" i="8"/>
  <c r="T87" i="8"/>
  <c r="S87" i="8"/>
  <c r="R87" i="8"/>
  <c r="Q87" i="8"/>
  <c r="P87" i="8"/>
  <c r="O87" i="8"/>
  <c r="N87" i="8"/>
  <c r="M87" i="8"/>
  <c r="L87" i="8"/>
  <c r="K87" i="8"/>
  <c r="J87" i="8"/>
  <c r="I87" i="8"/>
  <c r="H87" i="8"/>
  <c r="G87" i="8"/>
  <c r="F87" i="8"/>
  <c r="E87" i="8"/>
  <c r="D87" i="8"/>
  <c r="C87" i="8"/>
  <c r="B87" i="8"/>
  <c r="A87" i="8"/>
  <c r="AA86" i="8"/>
  <c r="Z86" i="8"/>
  <c r="Y86" i="8"/>
  <c r="X86" i="8"/>
  <c r="W86" i="8"/>
  <c r="V86" i="8"/>
  <c r="U86" i="8"/>
  <c r="T86" i="8"/>
  <c r="S86" i="8"/>
  <c r="R86" i="8"/>
  <c r="Q86" i="8"/>
  <c r="P86" i="8"/>
  <c r="O86" i="8"/>
  <c r="N86" i="8"/>
  <c r="M86" i="8"/>
  <c r="L86" i="8"/>
  <c r="K86" i="8"/>
  <c r="J86" i="8"/>
  <c r="I86" i="8"/>
  <c r="H86" i="8"/>
  <c r="G86" i="8"/>
  <c r="F86" i="8"/>
  <c r="E86" i="8"/>
  <c r="D86" i="8"/>
  <c r="C86" i="8"/>
  <c r="B86" i="8"/>
  <c r="A86" i="8"/>
  <c r="AA85" i="8"/>
  <c r="Z85" i="8"/>
  <c r="Y85" i="8"/>
  <c r="X85" i="8"/>
  <c r="W85" i="8"/>
  <c r="V85" i="8"/>
  <c r="U85" i="8"/>
  <c r="T85" i="8"/>
  <c r="S85" i="8"/>
  <c r="R85" i="8"/>
  <c r="Q85" i="8"/>
  <c r="P85" i="8"/>
  <c r="O85" i="8"/>
  <c r="N85" i="8"/>
  <c r="M85" i="8"/>
  <c r="L85" i="8"/>
  <c r="K85" i="8"/>
  <c r="J85" i="8"/>
  <c r="I85" i="8"/>
  <c r="H85" i="8"/>
  <c r="G85" i="8"/>
  <c r="F85" i="8"/>
  <c r="E85" i="8"/>
  <c r="D85" i="8"/>
  <c r="C85" i="8"/>
  <c r="B85" i="8"/>
  <c r="A85" i="8"/>
  <c r="AA84" i="8"/>
  <c r="Z84" i="8"/>
  <c r="Y84" i="8"/>
  <c r="X84" i="8"/>
  <c r="W84" i="8"/>
  <c r="V84" i="8"/>
  <c r="U84" i="8"/>
  <c r="T84" i="8"/>
  <c r="S84" i="8"/>
  <c r="R84" i="8"/>
  <c r="Q84" i="8"/>
  <c r="P84" i="8"/>
  <c r="O84" i="8"/>
  <c r="N84" i="8"/>
  <c r="M84" i="8"/>
  <c r="L84" i="8"/>
  <c r="K84" i="8"/>
  <c r="J84" i="8"/>
  <c r="I84" i="8"/>
  <c r="H84" i="8"/>
  <c r="G84" i="8"/>
  <c r="F84" i="8"/>
  <c r="E84" i="8"/>
  <c r="D84" i="8"/>
  <c r="C84" i="8"/>
  <c r="B84" i="8"/>
  <c r="A84" i="8"/>
  <c r="AA83" i="8"/>
  <c r="Z83" i="8"/>
  <c r="Y83" i="8"/>
  <c r="X83" i="8"/>
  <c r="W83" i="8"/>
  <c r="V83" i="8"/>
  <c r="U83" i="8"/>
  <c r="T83" i="8"/>
  <c r="S83" i="8"/>
  <c r="R83" i="8"/>
  <c r="Q83" i="8"/>
  <c r="P83" i="8"/>
  <c r="O83" i="8"/>
  <c r="N83" i="8"/>
  <c r="M83" i="8"/>
  <c r="L83" i="8"/>
  <c r="K83" i="8"/>
  <c r="J83" i="8"/>
  <c r="I83" i="8"/>
  <c r="H83" i="8"/>
  <c r="G83" i="8"/>
  <c r="F83" i="8"/>
  <c r="E83" i="8"/>
  <c r="D83" i="8"/>
  <c r="C83" i="8"/>
  <c r="B83" i="8"/>
  <c r="A83" i="8"/>
  <c r="AA82" i="8"/>
  <c r="Z82" i="8"/>
  <c r="Y82" i="8"/>
  <c r="X82" i="8"/>
  <c r="W82" i="8"/>
  <c r="V82" i="8"/>
  <c r="U82" i="8"/>
  <c r="T82" i="8"/>
  <c r="S82" i="8"/>
  <c r="R82" i="8"/>
  <c r="Q82" i="8"/>
  <c r="P82" i="8"/>
  <c r="O82" i="8"/>
  <c r="N82" i="8"/>
  <c r="M82" i="8"/>
  <c r="L82" i="8"/>
  <c r="K82" i="8"/>
  <c r="J82" i="8"/>
  <c r="I82" i="8"/>
  <c r="H82" i="8"/>
  <c r="G82" i="8"/>
  <c r="F82" i="8"/>
  <c r="E82" i="8"/>
  <c r="D82" i="8"/>
  <c r="C82" i="8"/>
  <c r="B82" i="8"/>
  <c r="A82" i="8"/>
  <c r="AA81" i="8"/>
  <c r="Z81" i="8"/>
  <c r="Y81" i="8"/>
  <c r="X81" i="8"/>
  <c r="W81" i="8"/>
  <c r="V81" i="8"/>
  <c r="U81" i="8"/>
  <c r="T81" i="8"/>
  <c r="S81" i="8"/>
  <c r="R81" i="8"/>
  <c r="Q81" i="8"/>
  <c r="P81" i="8"/>
  <c r="O81" i="8"/>
  <c r="N81" i="8"/>
  <c r="M81" i="8"/>
  <c r="L81" i="8"/>
  <c r="K81" i="8"/>
  <c r="J81" i="8"/>
  <c r="I81" i="8"/>
  <c r="H81" i="8"/>
  <c r="G81" i="8"/>
  <c r="F81" i="8"/>
  <c r="E81" i="8"/>
  <c r="D81" i="8"/>
  <c r="C81" i="8"/>
  <c r="B81" i="8"/>
  <c r="A81" i="8"/>
  <c r="AA80" i="8"/>
  <c r="Z80" i="8"/>
  <c r="Y80" i="8"/>
  <c r="X80" i="8"/>
  <c r="W80" i="8"/>
  <c r="V80" i="8"/>
  <c r="U80" i="8"/>
  <c r="T80" i="8"/>
  <c r="S80" i="8"/>
  <c r="R80" i="8"/>
  <c r="Q80" i="8"/>
  <c r="P80" i="8"/>
  <c r="O80" i="8"/>
  <c r="N80" i="8"/>
  <c r="M80" i="8"/>
  <c r="L80" i="8"/>
  <c r="K80" i="8"/>
  <c r="J80" i="8"/>
  <c r="I80" i="8"/>
  <c r="H80" i="8"/>
  <c r="G80" i="8"/>
  <c r="F80" i="8"/>
  <c r="E80" i="8"/>
  <c r="D80" i="8"/>
  <c r="C80" i="8"/>
  <c r="B80" i="8"/>
  <c r="A80" i="8"/>
  <c r="AA79" i="8"/>
  <c r="Z79" i="8"/>
  <c r="Y79" i="8"/>
  <c r="X79" i="8"/>
  <c r="W79" i="8"/>
  <c r="V79" i="8"/>
  <c r="U79" i="8"/>
  <c r="T79" i="8"/>
  <c r="S79" i="8"/>
  <c r="R79" i="8"/>
  <c r="Q79" i="8"/>
  <c r="P79" i="8"/>
  <c r="O79" i="8"/>
  <c r="N79" i="8"/>
  <c r="M79" i="8"/>
  <c r="L79" i="8"/>
  <c r="K79" i="8"/>
  <c r="J79" i="8"/>
  <c r="I79" i="8"/>
  <c r="H79" i="8"/>
  <c r="G79" i="8"/>
  <c r="F79" i="8"/>
  <c r="E79" i="8"/>
  <c r="D79" i="8"/>
  <c r="C79" i="8"/>
  <c r="B79" i="8"/>
  <c r="A79" i="8"/>
  <c r="AA78" i="8"/>
  <c r="Z78" i="8"/>
  <c r="Y78" i="8"/>
  <c r="X78" i="8"/>
  <c r="W78" i="8"/>
  <c r="V78" i="8"/>
  <c r="U78" i="8"/>
  <c r="T78" i="8"/>
  <c r="S78" i="8"/>
  <c r="R78" i="8"/>
  <c r="Q78" i="8"/>
  <c r="P78" i="8"/>
  <c r="O78" i="8"/>
  <c r="N78" i="8"/>
  <c r="M78" i="8"/>
  <c r="L78" i="8"/>
  <c r="K78" i="8"/>
  <c r="J78" i="8"/>
  <c r="I78" i="8"/>
  <c r="H78" i="8"/>
  <c r="G78" i="8"/>
  <c r="F78" i="8"/>
  <c r="E78" i="8"/>
  <c r="D78" i="8"/>
  <c r="C78" i="8"/>
  <c r="B78" i="8"/>
  <c r="A78" i="8"/>
  <c r="AA77" i="8"/>
  <c r="Z77" i="8"/>
  <c r="Y77" i="8"/>
  <c r="X77" i="8"/>
  <c r="W77" i="8"/>
  <c r="V77" i="8"/>
  <c r="U77" i="8"/>
  <c r="T77" i="8"/>
  <c r="S77" i="8"/>
  <c r="R77" i="8"/>
  <c r="Q77" i="8"/>
  <c r="P77" i="8"/>
  <c r="O77" i="8"/>
  <c r="N77" i="8"/>
  <c r="M77" i="8"/>
  <c r="L77" i="8"/>
  <c r="K77" i="8"/>
  <c r="J77" i="8"/>
  <c r="I77" i="8"/>
  <c r="H77" i="8"/>
  <c r="G77" i="8"/>
  <c r="F77" i="8"/>
  <c r="E77" i="8"/>
  <c r="D77" i="8"/>
  <c r="C77" i="8"/>
  <c r="B77" i="8"/>
  <c r="A77" i="8"/>
  <c r="AA76" i="8"/>
  <c r="Z76" i="8"/>
  <c r="Y76" i="8"/>
  <c r="X76" i="8"/>
  <c r="W76" i="8"/>
  <c r="V76" i="8"/>
  <c r="U76" i="8"/>
  <c r="T76" i="8"/>
  <c r="S76" i="8"/>
  <c r="R76" i="8"/>
  <c r="Q76" i="8"/>
  <c r="P76" i="8"/>
  <c r="O76" i="8"/>
  <c r="N76" i="8"/>
  <c r="M76" i="8"/>
  <c r="L76" i="8"/>
  <c r="K76" i="8"/>
  <c r="J76" i="8"/>
  <c r="I76" i="8"/>
  <c r="H76" i="8"/>
  <c r="G76" i="8"/>
  <c r="F76" i="8"/>
  <c r="E76" i="8"/>
  <c r="D76" i="8"/>
  <c r="C76" i="8"/>
  <c r="B76" i="8"/>
  <c r="A76" i="8"/>
  <c r="AA75" i="8"/>
  <c r="Z75" i="8"/>
  <c r="Y75" i="8"/>
  <c r="X75" i="8"/>
  <c r="W75" i="8"/>
  <c r="V75" i="8"/>
  <c r="U75" i="8"/>
  <c r="T75" i="8"/>
  <c r="S75" i="8"/>
  <c r="R75" i="8"/>
  <c r="Q75" i="8"/>
  <c r="P75" i="8"/>
  <c r="O75" i="8"/>
  <c r="N75" i="8"/>
  <c r="M75" i="8"/>
  <c r="L75" i="8"/>
  <c r="K75" i="8"/>
  <c r="J75" i="8"/>
  <c r="I75" i="8"/>
  <c r="H75" i="8"/>
  <c r="G75" i="8"/>
  <c r="F75" i="8"/>
  <c r="E75" i="8"/>
  <c r="D75" i="8"/>
  <c r="C75" i="8"/>
  <c r="B75" i="8"/>
  <c r="A75" i="8"/>
  <c r="AA74" i="8"/>
  <c r="Z74" i="8"/>
  <c r="Y74" i="8"/>
  <c r="X74" i="8"/>
  <c r="W74" i="8"/>
  <c r="V74" i="8"/>
  <c r="U74" i="8"/>
  <c r="T74" i="8"/>
  <c r="S74" i="8"/>
  <c r="R74" i="8"/>
  <c r="Q74" i="8"/>
  <c r="P74" i="8"/>
  <c r="O74" i="8"/>
  <c r="N74" i="8"/>
  <c r="M74" i="8"/>
  <c r="L74" i="8"/>
  <c r="K74" i="8"/>
  <c r="J74" i="8"/>
  <c r="I74" i="8"/>
  <c r="H74" i="8"/>
  <c r="G74" i="8"/>
  <c r="F74" i="8"/>
  <c r="E74" i="8"/>
  <c r="D74" i="8"/>
  <c r="C74" i="8"/>
  <c r="B74" i="8"/>
  <c r="A74" i="8"/>
  <c r="AA73" i="8"/>
  <c r="Z73" i="8"/>
  <c r="Y73" i="8"/>
  <c r="X73" i="8"/>
  <c r="W73" i="8"/>
  <c r="V73" i="8"/>
  <c r="U73" i="8"/>
  <c r="T73" i="8"/>
  <c r="S73" i="8"/>
  <c r="R73" i="8"/>
  <c r="Q73" i="8"/>
  <c r="P73" i="8"/>
  <c r="O73" i="8"/>
  <c r="N73" i="8"/>
  <c r="M73" i="8"/>
  <c r="L73" i="8"/>
  <c r="K73" i="8"/>
  <c r="J73" i="8"/>
  <c r="I73" i="8"/>
  <c r="H73" i="8"/>
  <c r="G73" i="8"/>
  <c r="F73" i="8"/>
  <c r="E73" i="8"/>
  <c r="D73" i="8"/>
  <c r="C73" i="8"/>
  <c r="B73" i="8"/>
  <c r="A73" i="8"/>
  <c r="AA72" i="8"/>
  <c r="Z72" i="8"/>
  <c r="Y72" i="8"/>
  <c r="X72" i="8"/>
  <c r="W72" i="8"/>
  <c r="V72" i="8"/>
  <c r="U72" i="8"/>
  <c r="T72" i="8"/>
  <c r="S72" i="8"/>
  <c r="R72" i="8"/>
  <c r="Q72" i="8"/>
  <c r="P72" i="8"/>
  <c r="O72" i="8"/>
  <c r="N72" i="8"/>
  <c r="M72" i="8"/>
  <c r="L72" i="8"/>
  <c r="K72" i="8"/>
  <c r="J72" i="8"/>
  <c r="I72" i="8"/>
  <c r="H72" i="8"/>
  <c r="G72" i="8"/>
  <c r="F72" i="8"/>
  <c r="E72" i="8"/>
  <c r="D72" i="8"/>
  <c r="C72" i="8"/>
  <c r="B72" i="8"/>
  <c r="A72" i="8"/>
  <c r="AA71" i="8"/>
  <c r="Z71" i="8"/>
  <c r="Y71" i="8"/>
  <c r="X71" i="8"/>
  <c r="W71" i="8"/>
  <c r="V71" i="8"/>
  <c r="U71" i="8"/>
  <c r="T71" i="8"/>
  <c r="S71" i="8"/>
  <c r="R71" i="8"/>
  <c r="Q71" i="8"/>
  <c r="P71" i="8"/>
  <c r="O71" i="8"/>
  <c r="N71" i="8"/>
  <c r="M71" i="8"/>
  <c r="L71" i="8"/>
  <c r="K71" i="8"/>
  <c r="J71" i="8"/>
  <c r="I71" i="8"/>
  <c r="H71" i="8"/>
  <c r="G71" i="8"/>
  <c r="F71" i="8"/>
  <c r="E71" i="8"/>
  <c r="D71" i="8"/>
  <c r="C71" i="8"/>
  <c r="B71" i="8"/>
  <c r="A71" i="8"/>
  <c r="AA70" i="8"/>
  <c r="Z70" i="8"/>
  <c r="Y70" i="8"/>
  <c r="X70" i="8"/>
  <c r="W70" i="8"/>
  <c r="V70" i="8"/>
  <c r="U70" i="8"/>
  <c r="T70" i="8"/>
  <c r="S70" i="8"/>
  <c r="R70" i="8"/>
  <c r="Q70" i="8"/>
  <c r="P70" i="8"/>
  <c r="O70" i="8"/>
  <c r="N70" i="8"/>
  <c r="M70" i="8"/>
  <c r="L70" i="8"/>
  <c r="K70" i="8"/>
  <c r="J70" i="8"/>
  <c r="I70" i="8"/>
  <c r="H70" i="8"/>
  <c r="G70" i="8"/>
  <c r="F70" i="8"/>
  <c r="E70" i="8"/>
  <c r="D70" i="8"/>
  <c r="C70" i="8"/>
  <c r="B70" i="8"/>
  <c r="A70" i="8"/>
  <c r="AA69" i="8"/>
  <c r="Z69" i="8"/>
  <c r="Y69" i="8"/>
  <c r="X69" i="8"/>
  <c r="W69" i="8"/>
  <c r="V69" i="8"/>
  <c r="U69" i="8"/>
  <c r="T69" i="8"/>
  <c r="S69" i="8"/>
  <c r="R69" i="8"/>
  <c r="Q69" i="8"/>
  <c r="P69" i="8"/>
  <c r="O69" i="8"/>
  <c r="N69" i="8"/>
  <c r="M69" i="8"/>
  <c r="L69" i="8"/>
  <c r="K69" i="8"/>
  <c r="J69" i="8"/>
  <c r="I69" i="8"/>
  <c r="H69" i="8"/>
  <c r="G69" i="8"/>
  <c r="F69" i="8"/>
  <c r="E69" i="8"/>
  <c r="D69" i="8"/>
  <c r="C69" i="8"/>
  <c r="B69" i="8"/>
  <c r="A69" i="8"/>
  <c r="AA68" i="8"/>
  <c r="Z68" i="8"/>
  <c r="Y68" i="8"/>
  <c r="X68" i="8"/>
  <c r="W68" i="8"/>
  <c r="V68" i="8"/>
  <c r="U68" i="8"/>
  <c r="T68" i="8"/>
  <c r="S68" i="8"/>
  <c r="R68" i="8"/>
  <c r="Q68" i="8"/>
  <c r="P68" i="8"/>
  <c r="O68" i="8"/>
  <c r="N68" i="8"/>
  <c r="M68" i="8"/>
  <c r="L68" i="8"/>
  <c r="K68" i="8"/>
  <c r="J68" i="8"/>
  <c r="I68" i="8"/>
  <c r="H68" i="8"/>
  <c r="G68" i="8"/>
  <c r="F68" i="8"/>
  <c r="E68" i="8"/>
  <c r="D68" i="8"/>
  <c r="C68" i="8"/>
  <c r="B68" i="8"/>
  <c r="A68" i="8"/>
  <c r="AA67" i="8"/>
  <c r="Z67" i="8"/>
  <c r="Y67" i="8"/>
  <c r="X67" i="8"/>
  <c r="W67" i="8"/>
  <c r="V67" i="8"/>
  <c r="U67" i="8"/>
  <c r="T67" i="8"/>
  <c r="S67" i="8"/>
  <c r="R67" i="8"/>
  <c r="Q67" i="8"/>
  <c r="P67" i="8"/>
  <c r="O67" i="8"/>
  <c r="N67" i="8"/>
  <c r="M67" i="8"/>
  <c r="L67" i="8"/>
  <c r="K67" i="8"/>
  <c r="J67" i="8"/>
  <c r="I67" i="8"/>
  <c r="H67" i="8"/>
  <c r="G67" i="8"/>
  <c r="F67" i="8"/>
  <c r="E67" i="8"/>
  <c r="D67" i="8"/>
  <c r="C67" i="8"/>
  <c r="B67" i="8"/>
  <c r="A67" i="8"/>
  <c r="AA66" i="8"/>
  <c r="Z66" i="8"/>
  <c r="Y66" i="8"/>
  <c r="X66" i="8"/>
  <c r="W66" i="8"/>
  <c r="V66" i="8"/>
  <c r="U66" i="8"/>
  <c r="T66" i="8"/>
  <c r="S66" i="8"/>
  <c r="R66" i="8"/>
  <c r="Q66" i="8"/>
  <c r="P66" i="8"/>
  <c r="O66" i="8"/>
  <c r="N66" i="8"/>
  <c r="M66" i="8"/>
  <c r="L66" i="8"/>
  <c r="K66" i="8"/>
  <c r="J66" i="8"/>
  <c r="I66" i="8"/>
  <c r="H66" i="8"/>
  <c r="G66" i="8"/>
  <c r="F66" i="8"/>
  <c r="E66" i="8"/>
  <c r="D66" i="8"/>
  <c r="C66" i="8"/>
  <c r="B66" i="8"/>
  <c r="A66" i="8"/>
  <c r="AA65" i="8"/>
  <c r="Z65" i="8"/>
  <c r="Y65" i="8"/>
  <c r="X65" i="8"/>
  <c r="W65" i="8"/>
  <c r="V65" i="8"/>
  <c r="U65" i="8"/>
  <c r="T65" i="8"/>
  <c r="S65" i="8"/>
  <c r="R65" i="8"/>
  <c r="Q65" i="8"/>
  <c r="P65" i="8"/>
  <c r="O65" i="8"/>
  <c r="N65" i="8"/>
  <c r="M65" i="8"/>
  <c r="L65" i="8"/>
  <c r="K65" i="8"/>
  <c r="J65" i="8"/>
  <c r="I65" i="8"/>
  <c r="H65" i="8"/>
  <c r="G65" i="8"/>
  <c r="F65" i="8"/>
  <c r="E65" i="8"/>
  <c r="D65" i="8"/>
  <c r="C65" i="8"/>
  <c r="B65" i="8"/>
  <c r="A65" i="8"/>
  <c r="AA64" i="8"/>
  <c r="Z64" i="8"/>
  <c r="Y64" i="8"/>
  <c r="X64" i="8"/>
  <c r="W64" i="8"/>
  <c r="V64" i="8"/>
  <c r="U64" i="8"/>
  <c r="T64" i="8"/>
  <c r="S64" i="8"/>
  <c r="R64" i="8"/>
  <c r="Q64" i="8"/>
  <c r="P64" i="8"/>
  <c r="O64" i="8"/>
  <c r="N64" i="8"/>
  <c r="M64" i="8"/>
  <c r="L64" i="8"/>
  <c r="K64" i="8"/>
  <c r="J64" i="8"/>
  <c r="I64" i="8"/>
  <c r="H64" i="8"/>
  <c r="G64" i="8"/>
  <c r="F64" i="8"/>
  <c r="E64" i="8"/>
  <c r="D64" i="8"/>
  <c r="C64" i="8"/>
  <c r="B64" i="8"/>
  <c r="A64" i="8"/>
  <c r="AA63" i="8"/>
  <c r="Z63" i="8"/>
  <c r="Y63" i="8"/>
  <c r="X63" i="8"/>
  <c r="W63" i="8"/>
  <c r="V63" i="8"/>
  <c r="U63" i="8"/>
  <c r="T63" i="8"/>
  <c r="S63" i="8"/>
  <c r="R63" i="8"/>
  <c r="Q63" i="8"/>
  <c r="P63" i="8"/>
  <c r="O63" i="8"/>
  <c r="N63" i="8"/>
  <c r="M63" i="8"/>
  <c r="L63" i="8"/>
  <c r="K63" i="8"/>
  <c r="J63" i="8"/>
  <c r="I63" i="8"/>
  <c r="H63" i="8"/>
  <c r="G63" i="8"/>
  <c r="F63" i="8"/>
  <c r="E63" i="8"/>
  <c r="D63" i="8"/>
  <c r="C63" i="8"/>
  <c r="B63" i="8"/>
  <c r="A63" i="8"/>
  <c r="AA62" i="8"/>
  <c r="Z62" i="8"/>
  <c r="Y62" i="8"/>
  <c r="X62" i="8"/>
  <c r="W62" i="8"/>
  <c r="V62" i="8"/>
  <c r="U62" i="8"/>
  <c r="T62" i="8"/>
  <c r="S62" i="8"/>
  <c r="R62" i="8"/>
  <c r="Q62" i="8"/>
  <c r="P62" i="8"/>
  <c r="O62" i="8"/>
  <c r="N62" i="8"/>
  <c r="M62" i="8"/>
  <c r="L62" i="8"/>
  <c r="K62" i="8"/>
  <c r="J62" i="8"/>
  <c r="I62" i="8"/>
  <c r="H62" i="8"/>
  <c r="G62" i="8"/>
  <c r="F62" i="8"/>
  <c r="E62" i="8"/>
  <c r="D62" i="8"/>
  <c r="C62" i="8"/>
  <c r="B62" i="8"/>
  <c r="A62" i="8"/>
  <c r="AA61" i="8"/>
  <c r="Z61" i="8"/>
  <c r="Y61" i="8"/>
  <c r="X61" i="8"/>
  <c r="W61" i="8"/>
  <c r="V61" i="8"/>
  <c r="U61" i="8"/>
  <c r="T61" i="8"/>
  <c r="S61" i="8"/>
  <c r="R61" i="8"/>
  <c r="Q61" i="8"/>
  <c r="P61" i="8"/>
  <c r="O61" i="8"/>
  <c r="N61" i="8"/>
  <c r="M61" i="8"/>
  <c r="L61" i="8"/>
  <c r="K61" i="8"/>
  <c r="J61" i="8"/>
  <c r="I61" i="8"/>
  <c r="H61" i="8"/>
  <c r="G61" i="8"/>
  <c r="F61" i="8"/>
  <c r="E61" i="8"/>
  <c r="D61" i="8"/>
  <c r="C61" i="8"/>
  <c r="B61" i="8"/>
  <c r="A61" i="8"/>
  <c r="AA60" i="8"/>
  <c r="Z60" i="8"/>
  <c r="Y60" i="8"/>
  <c r="X60" i="8"/>
  <c r="W60" i="8"/>
  <c r="V60" i="8"/>
  <c r="U60" i="8"/>
  <c r="T60" i="8"/>
  <c r="S60" i="8"/>
  <c r="R60" i="8"/>
  <c r="Q60" i="8"/>
  <c r="P60" i="8"/>
  <c r="O60" i="8"/>
  <c r="N60" i="8"/>
  <c r="M60" i="8"/>
  <c r="L60" i="8"/>
  <c r="K60" i="8"/>
  <c r="J60" i="8"/>
  <c r="I60" i="8"/>
  <c r="H60" i="8"/>
  <c r="G60" i="8"/>
  <c r="F60" i="8"/>
  <c r="E60" i="8"/>
  <c r="D60" i="8"/>
  <c r="C60" i="8"/>
  <c r="B60" i="8"/>
  <c r="A60" i="8"/>
  <c r="AA59" i="8"/>
  <c r="Z59" i="8"/>
  <c r="Y59" i="8"/>
  <c r="X59" i="8"/>
  <c r="W59" i="8"/>
  <c r="V59" i="8"/>
  <c r="U59" i="8"/>
  <c r="T59" i="8"/>
  <c r="S59" i="8"/>
  <c r="R59" i="8"/>
  <c r="Q59" i="8"/>
  <c r="P59" i="8"/>
  <c r="O59" i="8"/>
  <c r="N59" i="8"/>
  <c r="M59" i="8"/>
  <c r="L59" i="8"/>
  <c r="K59" i="8"/>
  <c r="J59" i="8"/>
  <c r="I59" i="8"/>
  <c r="H59" i="8"/>
  <c r="G59" i="8"/>
  <c r="F59" i="8"/>
  <c r="E59" i="8"/>
  <c r="D59" i="8"/>
  <c r="C59" i="8"/>
  <c r="B59" i="8"/>
  <c r="A59" i="8"/>
  <c r="AA58" i="8"/>
  <c r="Z58" i="8"/>
  <c r="Y58" i="8"/>
  <c r="X58" i="8"/>
  <c r="W58" i="8"/>
  <c r="V58" i="8"/>
  <c r="U58" i="8"/>
  <c r="T58" i="8"/>
  <c r="S58" i="8"/>
  <c r="R58" i="8"/>
  <c r="Q58" i="8"/>
  <c r="P58" i="8"/>
  <c r="O58" i="8"/>
  <c r="N58" i="8"/>
  <c r="M58" i="8"/>
  <c r="L58" i="8"/>
  <c r="K58" i="8"/>
  <c r="J58" i="8"/>
  <c r="I58" i="8"/>
  <c r="H58" i="8"/>
  <c r="G58" i="8"/>
  <c r="F58" i="8"/>
  <c r="E58" i="8"/>
  <c r="D58" i="8"/>
  <c r="C58" i="8"/>
  <c r="B58" i="8"/>
  <c r="A58" i="8"/>
  <c r="AA57" i="8"/>
  <c r="Z57" i="8"/>
  <c r="Y57" i="8"/>
  <c r="X57" i="8"/>
  <c r="W57" i="8"/>
  <c r="V57" i="8"/>
  <c r="U57" i="8"/>
  <c r="T57" i="8"/>
  <c r="S57" i="8"/>
  <c r="R57" i="8"/>
  <c r="Q57" i="8"/>
  <c r="P57" i="8"/>
  <c r="O57" i="8"/>
  <c r="N57" i="8"/>
  <c r="M57" i="8"/>
  <c r="L57" i="8"/>
  <c r="K57" i="8"/>
  <c r="J57" i="8"/>
  <c r="I57" i="8"/>
  <c r="H57" i="8"/>
  <c r="G57" i="8"/>
  <c r="F57" i="8"/>
  <c r="E57" i="8"/>
  <c r="D57" i="8"/>
  <c r="C57" i="8"/>
  <c r="B57" i="8"/>
  <c r="A57" i="8"/>
  <c r="AA56" i="8"/>
  <c r="Z56" i="8"/>
  <c r="Y56" i="8"/>
  <c r="X56" i="8"/>
  <c r="W56" i="8"/>
  <c r="V56" i="8"/>
  <c r="U56" i="8"/>
  <c r="T56" i="8"/>
  <c r="S56" i="8"/>
  <c r="R56" i="8"/>
  <c r="Q56" i="8"/>
  <c r="P56" i="8"/>
  <c r="O56" i="8"/>
  <c r="N56" i="8"/>
  <c r="M56" i="8"/>
  <c r="L56" i="8"/>
  <c r="K56" i="8"/>
  <c r="J56" i="8"/>
  <c r="I56" i="8"/>
  <c r="H56" i="8"/>
  <c r="G56" i="8"/>
  <c r="F56" i="8"/>
  <c r="E56" i="8"/>
  <c r="D56" i="8"/>
  <c r="C56" i="8"/>
  <c r="B56" i="8"/>
  <c r="A56" i="8"/>
  <c r="AA55" i="8"/>
  <c r="Z55" i="8"/>
  <c r="Y55" i="8"/>
  <c r="X55" i="8"/>
  <c r="W55" i="8"/>
  <c r="V55" i="8"/>
  <c r="U55" i="8"/>
  <c r="T55" i="8"/>
  <c r="S55" i="8"/>
  <c r="R55" i="8"/>
  <c r="Q55" i="8"/>
  <c r="P55" i="8"/>
  <c r="O55" i="8"/>
  <c r="N55" i="8"/>
  <c r="M55" i="8"/>
  <c r="L55" i="8"/>
  <c r="K55" i="8"/>
  <c r="J55" i="8"/>
  <c r="I55" i="8"/>
  <c r="H55" i="8"/>
  <c r="G55" i="8"/>
  <c r="F55" i="8"/>
  <c r="E55" i="8"/>
  <c r="D55" i="8"/>
  <c r="C55" i="8"/>
  <c r="B55" i="8"/>
  <c r="A55" i="8"/>
  <c r="AA54" i="8"/>
  <c r="Z54" i="8"/>
  <c r="Y54" i="8"/>
  <c r="X54" i="8"/>
  <c r="W54" i="8"/>
  <c r="V54" i="8"/>
  <c r="U54" i="8"/>
  <c r="T54" i="8"/>
  <c r="S54" i="8"/>
  <c r="R54" i="8"/>
  <c r="Q54" i="8"/>
  <c r="P54" i="8"/>
  <c r="O54" i="8"/>
  <c r="N54" i="8"/>
  <c r="M54" i="8"/>
  <c r="L54" i="8"/>
  <c r="K54" i="8"/>
  <c r="J54" i="8"/>
  <c r="I54" i="8"/>
  <c r="H54" i="8"/>
  <c r="G54" i="8"/>
  <c r="F54" i="8"/>
  <c r="E54" i="8"/>
  <c r="D54" i="8"/>
  <c r="C54" i="8"/>
  <c r="B54" i="8"/>
  <c r="A54" i="8"/>
  <c r="AA53" i="8"/>
  <c r="Z53" i="8"/>
  <c r="Y53" i="8"/>
  <c r="X53" i="8"/>
  <c r="W53" i="8"/>
  <c r="V53" i="8"/>
  <c r="U53" i="8"/>
  <c r="T53" i="8"/>
  <c r="S53" i="8"/>
  <c r="R53" i="8"/>
  <c r="Q53" i="8"/>
  <c r="P53" i="8"/>
  <c r="O53" i="8"/>
  <c r="N53" i="8"/>
  <c r="M53" i="8"/>
  <c r="L53" i="8"/>
  <c r="K53" i="8"/>
  <c r="J53" i="8"/>
  <c r="I53" i="8"/>
  <c r="H53" i="8"/>
  <c r="G53" i="8"/>
  <c r="F53" i="8"/>
  <c r="E53" i="8"/>
  <c r="D53" i="8"/>
  <c r="C53" i="8"/>
  <c r="B53" i="8"/>
  <c r="A53" i="8"/>
  <c r="AA52" i="8"/>
  <c r="Z52" i="8"/>
  <c r="Y52" i="8"/>
  <c r="X52" i="8"/>
  <c r="W52" i="8"/>
  <c r="V52" i="8"/>
  <c r="U52" i="8"/>
  <c r="T52" i="8"/>
  <c r="S52" i="8"/>
  <c r="R52" i="8"/>
  <c r="Q52" i="8"/>
  <c r="P52" i="8"/>
  <c r="O52" i="8"/>
  <c r="N52" i="8"/>
  <c r="M52" i="8"/>
  <c r="L52" i="8"/>
  <c r="K52" i="8"/>
  <c r="J52" i="8"/>
  <c r="I52" i="8"/>
  <c r="H52" i="8"/>
  <c r="G52" i="8"/>
  <c r="F52" i="8"/>
  <c r="E52" i="8"/>
  <c r="D52" i="8"/>
  <c r="C52" i="8"/>
  <c r="B52" i="8"/>
  <c r="A52" i="8"/>
  <c r="AA51" i="8"/>
  <c r="Z51" i="8"/>
  <c r="Y51" i="8"/>
  <c r="X51" i="8"/>
  <c r="W51" i="8"/>
  <c r="V51" i="8"/>
  <c r="U51" i="8"/>
  <c r="T51" i="8"/>
  <c r="S51" i="8"/>
  <c r="R51" i="8"/>
  <c r="Q51" i="8"/>
  <c r="P51" i="8"/>
  <c r="O51" i="8"/>
  <c r="N51" i="8"/>
  <c r="M51" i="8"/>
  <c r="L51" i="8"/>
  <c r="K51" i="8"/>
  <c r="J51" i="8"/>
  <c r="I51" i="8"/>
  <c r="H51" i="8"/>
  <c r="G51" i="8"/>
  <c r="F51" i="8"/>
  <c r="E51" i="8"/>
  <c r="D51" i="8"/>
  <c r="C51" i="8"/>
  <c r="B51" i="8"/>
  <c r="A51" i="8"/>
  <c r="AA50" i="8"/>
  <c r="Z50" i="8"/>
  <c r="Y50" i="8"/>
  <c r="X50" i="8"/>
  <c r="W50" i="8"/>
  <c r="V50" i="8"/>
  <c r="U50" i="8"/>
  <c r="T50" i="8"/>
  <c r="S50" i="8"/>
  <c r="R50" i="8"/>
  <c r="Q50" i="8"/>
  <c r="P50" i="8"/>
  <c r="O50" i="8"/>
  <c r="N50" i="8"/>
  <c r="M50" i="8"/>
  <c r="L50" i="8"/>
  <c r="K50" i="8"/>
  <c r="J50" i="8"/>
  <c r="I50" i="8"/>
  <c r="H50" i="8"/>
  <c r="G50" i="8"/>
  <c r="F50" i="8"/>
  <c r="E50" i="8"/>
  <c r="D50" i="8"/>
  <c r="C50" i="8"/>
  <c r="B50" i="8"/>
  <c r="A50" i="8"/>
  <c r="AA49" i="8"/>
  <c r="Z49" i="8"/>
  <c r="Y49" i="8"/>
  <c r="X49" i="8"/>
  <c r="W49" i="8"/>
  <c r="V49" i="8"/>
  <c r="U49" i="8"/>
  <c r="T49" i="8"/>
  <c r="S49" i="8"/>
  <c r="R49" i="8"/>
  <c r="Q49" i="8"/>
  <c r="P49" i="8"/>
  <c r="O49" i="8"/>
  <c r="N49" i="8"/>
  <c r="M49" i="8"/>
  <c r="L49" i="8"/>
  <c r="K49" i="8"/>
  <c r="J49" i="8"/>
  <c r="I49" i="8"/>
  <c r="H49" i="8"/>
  <c r="G49" i="8"/>
  <c r="F49" i="8"/>
  <c r="E49" i="8"/>
  <c r="D49" i="8"/>
  <c r="C49" i="8"/>
  <c r="B49" i="8"/>
  <c r="A49" i="8"/>
  <c r="AA48" i="8"/>
  <c r="Z48" i="8"/>
  <c r="Y48" i="8"/>
  <c r="X48" i="8"/>
  <c r="W48" i="8"/>
  <c r="V48" i="8"/>
  <c r="U48" i="8"/>
  <c r="T48" i="8"/>
  <c r="S48" i="8"/>
  <c r="R48" i="8"/>
  <c r="Q48" i="8"/>
  <c r="P48" i="8"/>
  <c r="O48" i="8"/>
  <c r="N48" i="8"/>
  <c r="M48" i="8"/>
  <c r="L48" i="8"/>
  <c r="K48" i="8"/>
  <c r="J48" i="8"/>
  <c r="I48" i="8"/>
  <c r="H48" i="8"/>
  <c r="G48" i="8"/>
  <c r="F48" i="8"/>
  <c r="E48" i="8"/>
  <c r="D48" i="8"/>
  <c r="C48" i="8"/>
  <c r="B48" i="8"/>
  <c r="A48" i="8"/>
  <c r="AA47" i="8"/>
  <c r="Z47" i="8"/>
  <c r="Y47" i="8"/>
  <c r="X47" i="8"/>
  <c r="W47" i="8"/>
  <c r="V47" i="8"/>
  <c r="U47" i="8"/>
  <c r="T47" i="8"/>
  <c r="S47" i="8"/>
  <c r="R47" i="8"/>
  <c r="Q47" i="8"/>
  <c r="P47" i="8"/>
  <c r="O47" i="8"/>
  <c r="N47" i="8"/>
  <c r="M47" i="8"/>
  <c r="L47" i="8"/>
  <c r="K47" i="8"/>
  <c r="J47" i="8"/>
  <c r="I47" i="8"/>
  <c r="H47" i="8"/>
  <c r="G47" i="8"/>
  <c r="F47" i="8"/>
  <c r="E47" i="8"/>
  <c r="D47" i="8"/>
  <c r="C47" i="8"/>
  <c r="B47" i="8"/>
  <c r="A47" i="8"/>
  <c r="AA46" i="8"/>
  <c r="Z46" i="8"/>
  <c r="Y46" i="8"/>
  <c r="X46" i="8"/>
  <c r="W46" i="8"/>
  <c r="V46" i="8"/>
  <c r="U46" i="8"/>
  <c r="T46" i="8"/>
  <c r="S46" i="8"/>
  <c r="R46" i="8"/>
  <c r="Q46" i="8"/>
  <c r="P46" i="8"/>
  <c r="O46" i="8"/>
  <c r="N46" i="8"/>
  <c r="M46" i="8"/>
  <c r="L46" i="8"/>
  <c r="K46" i="8"/>
  <c r="J46" i="8"/>
  <c r="I46" i="8"/>
  <c r="H46" i="8"/>
  <c r="G46" i="8"/>
  <c r="F46" i="8"/>
  <c r="E46" i="8"/>
  <c r="D46" i="8"/>
  <c r="C46" i="8"/>
  <c r="B46" i="8"/>
  <c r="A46" i="8"/>
  <c r="AA45" i="8"/>
  <c r="Z45" i="8"/>
  <c r="Y45" i="8"/>
  <c r="X45" i="8"/>
  <c r="W45" i="8"/>
  <c r="V45" i="8"/>
  <c r="U45" i="8"/>
  <c r="T45" i="8"/>
  <c r="S45" i="8"/>
  <c r="R45" i="8"/>
  <c r="Q45" i="8"/>
  <c r="P45" i="8"/>
  <c r="O45" i="8"/>
  <c r="N45" i="8"/>
  <c r="M45" i="8"/>
  <c r="L45" i="8"/>
  <c r="K45" i="8"/>
  <c r="J45" i="8"/>
  <c r="I45" i="8"/>
  <c r="H45" i="8"/>
  <c r="G45" i="8"/>
  <c r="F45" i="8"/>
  <c r="E45" i="8"/>
  <c r="D45" i="8"/>
  <c r="C45" i="8"/>
  <c r="B45" i="8"/>
  <c r="A45" i="8"/>
  <c r="AA44" i="8"/>
  <c r="Z44" i="8"/>
  <c r="Y44" i="8"/>
  <c r="X44" i="8"/>
  <c r="W44" i="8"/>
  <c r="V44" i="8"/>
  <c r="U44" i="8"/>
  <c r="T44" i="8"/>
  <c r="S44" i="8"/>
  <c r="R44" i="8"/>
  <c r="Q44" i="8"/>
  <c r="P44" i="8"/>
  <c r="O44" i="8"/>
  <c r="N44" i="8"/>
  <c r="M44" i="8"/>
  <c r="L44" i="8"/>
  <c r="K44" i="8"/>
  <c r="J44" i="8"/>
  <c r="I44" i="8"/>
  <c r="H44" i="8"/>
  <c r="G44" i="8"/>
  <c r="F44" i="8"/>
  <c r="E44" i="8"/>
  <c r="D44" i="8"/>
  <c r="C44" i="8"/>
  <c r="B44" i="8"/>
  <c r="A44" i="8"/>
  <c r="AA43" i="8"/>
  <c r="Z43" i="8"/>
  <c r="Y43" i="8"/>
  <c r="X43" i="8"/>
  <c r="W43" i="8"/>
  <c r="V43" i="8"/>
  <c r="U43" i="8"/>
  <c r="T43" i="8"/>
  <c r="S43" i="8"/>
  <c r="R43" i="8"/>
  <c r="Q43" i="8"/>
  <c r="P43" i="8"/>
  <c r="O43" i="8"/>
  <c r="N43" i="8"/>
  <c r="M43" i="8"/>
  <c r="L43" i="8"/>
  <c r="K43" i="8"/>
  <c r="J43" i="8"/>
  <c r="I43" i="8"/>
  <c r="H43" i="8"/>
  <c r="G43" i="8"/>
  <c r="F43" i="8"/>
  <c r="E43" i="8"/>
  <c r="D43" i="8"/>
  <c r="C43" i="8"/>
  <c r="B43" i="8"/>
  <c r="A43" i="8"/>
  <c r="AA42" i="8"/>
  <c r="Z42" i="8"/>
  <c r="Y42" i="8"/>
  <c r="X42" i="8"/>
  <c r="W42" i="8"/>
  <c r="V42" i="8"/>
  <c r="U42" i="8"/>
  <c r="T42" i="8"/>
  <c r="S42" i="8"/>
  <c r="R42" i="8"/>
  <c r="Q42" i="8"/>
  <c r="P42" i="8"/>
  <c r="O42" i="8"/>
  <c r="N42" i="8"/>
  <c r="M42" i="8"/>
  <c r="L42" i="8"/>
  <c r="K42" i="8"/>
  <c r="J42" i="8"/>
  <c r="I42" i="8"/>
  <c r="H42" i="8"/>
  <c r="G42" i="8"/>
  <c r="F42" i="8"/>
  <c r="E42" i="8"/>
  <c r="D42" i="8"/>
  <c r="C42" i="8"/>
  <c r="B42" i="8"/>
  <c r="A42" i="8"/>
  <c r="AA41" i="8"/>
  <c r="Z41" i="8"/>
  <c r="Y41" i="8"/>
  <c r="X41" i="8"/>
  <c r="W41" i="8"/>
  <c r="V41" i="8"/>
  <c r="U41" i="8"/>
  <c r="T41" i="8"/>
  <c r="S41" i="8"/>
  <c r="R41" i="8"/>
  <c r="Q41" i="8"/>
  <c r="P41" i="8"/>
  <c r="O41" i="8"/>
  <c r="N41" i="8"/>
  <c r="M41" i="8"/>
  <c r="L41" i="8"/>
  <c r="K41" i="8"/>
  <c r="J41" i="8"/>
  <c r="I41" i="8"/>
  <c r="H41" i="8"/>
  <c r="G41" i="8"/>
  <c r="F41" i="8"/>
  <c r="E41" i="8"/>
  <c r="D41" i="8"/>
  <c r="C41" i="8"/>
  <c r="B41" i="8"/>
  <c r="A41" i="8"/>
  <c r="AA40" i="8"/>
  <c r="Z40" i="8"/>
  <c r="Y40" i="8"/>
  <c r="X40" i="8"/>
  <c r="W40" i="8"/>
  <c r="V40" i="8"/>
  <c r="U40" i="8"/>
  <c r="T40" i="8"/>
  <c r="S40" i="8"/>
  <c r="R40" i="8"/>
  <c r="Q40" i="8"/>
  <c r="P40" i="8"/>
  <c r="O40" i="8"/>
  <c r="N40" i="8"/>
  <c r="M40" i="8"/>
  <c r="L40" i="8"/>
  <c r="K40" i="8"/>
  <c r="J40" i="8"/>
  <c r="I40" i="8"/>
  <c r="H40" i="8"/>
  <c r="G40" i="8"/>
  <c r="F40" i="8"/>
  <c r="E40" i="8"/>
  <c r="D40" i="8"/>
  <c r="C40" i="8"/>
  <c r="B40" i="8"/>
  <c r="A40" i="8"/>
  <c r="AA39" i="8"/>
  <c r="Z39" i="8"/>
  <c r="Y39" i="8"/>
  <c r="X39" i="8"/>
  <c r="W39" i="8"/>
  <c r="V39" i="8"/>
  <c r="U39" i="8"/>
  <c r="T39" i="8"/>
  <c r="S39" i="8"/>
  <c r="R39" i="8"/>
  <c r="Q39" i="8"/>
  <c r="P39" i="8"/>
  <c r="O39" i="8"/>
  <c r="N39" i="8"/>
  <c r="M39" i="8"/>
  <c r="L39" i="8"/>
  <c r="K39" i="8"/>
  <c r="J39" i="8"/>
  <c r="I39" i="8"/>
  <c r="H39" i="8"/>
  <c r="G39" i="8"/>
  <c r="F39" i="8"/>
  <c r="E39" i="8"/>
  <c r="D39" i="8"/>
  <c r="C39" i="8"/>
  <c r="B39" i="8"/>
  <c r="A39" i="8"/>
  <c r="AA38" i="8"/>
  <c r="Z38" i="8"/>
  <c r="Y38" i="8"/>
  <c r="X38" i="8"/>
  <c r="W38" i="8"/>
  <c r="V38" i="8"/>
  <c r="U38" i="8"/>
  <c r="T38" i="8"/>
  <c r="S38" i="8"/>
  <c r="R38" i="8"/>
  <c r="Q38" i="8"/>
  <c r="P38" i="8"/>
  <c r="O38" i="8"/>
  <c r="N38" i="8"/>
  <c r="M38" i="8"/>
  <c r="L38" i="8"/>
  <c r="K38" i="8"/>
  <c r="J38" i="8"/>
  <c r="I38" i="8"/>
  <c r="H38" i="8"/>
  <c r="G38" i="8"/>
  <c r="F38" i="8"/>
  <c r="E38" i="8"/>
  <c r="D38" i="8"/>
  <c r="C38" i="8"/>
  <c r="B38" i="8"/>
  <c r="A38" i="8"/>
  <c r="AA37" i="8"/>
  <c r="Z37" i="8"/>
  <c r="Y37" i="8"/>
  <c r="X37" i="8"/>
  <c r="W37" i="8"/>
  <c r="V37" i="8"/>
  <c r="U37" i="8"/>
  <c r="T37" i="8"/>
  <c r="S37" i="8"/>
  <c r="R37" i="8"/>
  <c r="Q37" i="8"/>
  <c r="P37" i="8"/>
  <c r="O37" i="8"/>
  <c r="N37" i="8"/>
  <c r="M37" i="8"/>
  <c r="L37" i="8"/>
  <c r="K37" i="8"/>
  <c r="J37" i="8"/>
  <c r="I37" i="8"/>
  <c r="H37" i="8"/>
  <c r="G37" i="8"/>
  <c r="F37" i="8"/>
  <c r="E37" i="8"/>
  <c r="D37" i="8"/>
  <c r="C37" i="8"/>
  <c r="B37" i="8"/>
  <c r="A37" i="8"/>
  <c r="AA36" i="8"/>
  <c r="Z36" i="8"/>
  <c r="Y36" i="8"/>
  <c r="X36" i="8"/>
  <c r="W36" i="8"/>
  <c r="V36" i="8"/>
  <c r="U36" i="8"/>
  <c r="T36" i="8"/>
  <c r="S36" i="8"/>
  <c r="R36" i="8"/>
  <c r="Q36" i="8"/>
  <c r="P36" i="8"/>
  <c r="O36" i="8"/>
  <c r="N36" i="8"/>
  <c r="M36" i="8"/>
  <c r="L36" i="8"/>
  <c r="K36" i="8"/>
  <c r="J36" i="8"/>
  <c r="I36" i="8"/>
  <c r="H36" i="8"/>
  <c r="G36" i="8"/>
  <c r="F36" i="8"/>
  <c r="E36" i="8"/>
  <c r="D36" i="8"/>
  <c r="C36" i="8"/>
  <c r="B36" i="8"/>
  <c r="A36" i="8"/>
  <c r="AA35" i="8"/>
  <c r="Z35" i="8"/>
  <c r="Y35" i="8"/>
  <c r="X35" i="8"/>
  <c r="W35" i="8"/>
  <c r="V35" i="8"/>
  <c r="U35" i="8"/>
  <c r="T35" i="8"/>
  <c r="S35" i="8"/>
  <c r="R35" i="8"/>
  <c r="Q35" i="8"/>
  <c r="P35" i="8"/>
  <c r="O35" i="8"/>
  <c r="N35" i="8"/>
  <c r="M35" i="8"/>
  <c r="L35" i="8"/>
  <c r="K35" i="8"/>
  <c r="J35" i="8"/>
  <c r="I35" i="8"/>
  <c r="H35" i="8"/>
  <c r="G35" i="8"/>
  <c r="F35" i="8"/>
  <c r="E35" i="8"/>
  <c r="D35" i="8"/>
  <c r="C35" i="8"/>
  <c r="B35" i="8"/>
  <c r="A35" i="8"/>
  <c r="AA34" i="8"/>
  <c r="Z34" i="8"/>
  <c r="Y34" i="8"/>
  <c r="X34" i="8"/>
  <c r="W34" i="8"/>
  <c r="V34" i="8"/>
  <c r="U34" i="8"/>
  <c r="T34" i="8"/>
  <c r="S34" i="8"/>
  <c r="R34" i="8"/>
  <c r="Q34" i="8"/>
  <c r="P34" i="8"/>
  <c r="O34" i="8"/>
  <c r="N34" i="8"/>
  <c r="M34" i="8"/>
  <c r="L34" i="8"/>
  <c r="K34" i="8"/>
  <c r="J34" i="8"/>
  <c r="I34" i="8"/>
  <c r="H34" i="8"/>
  <c r="G34" i="8"/>
  <c r="F34" i="8"/>
  <c r="E34" i="8"/>
  <c r="D34" i="8"/>
  <c r="C34" i="8"/>
  <c r="B34" i="8"/>
  <c r="A34" i="8"/>
  <c r="AA33" i="8"/>
  <c r="Z33" i="8"/>
  <c r="Y33" i="8"/>
  <c r="X33" i="8"/>
  <c r="W33" i="8"/>
  <c r="V33" i="8"/>
  <c r="U33" i="8"/>
  <c r="T33" i="8"/>
  <c r="S33" i="8"/>
  <c r="R33" i="8"/>
  <c r="Q33" i="8"/>
  <c r="P33" i="8"/>
  <c r="O33" i="8"/>
  <c r="N33" i="8"/>
  <c r="M33" i="8"/>
  <c r="L33" i="8"/>
  <c r="K33" i="8"/>
  <c r="J33" i="8"/>
  <c r="I33" i="8"/>
  <c r="H33" i="8"/>
  <c r="G33" i="8"/>
  <c r="F33" i="8"/>
  <c r="E33" i="8"/>
  <c r="D33" i="8"/>
  <c r="C33" i="8"/>
  <c r="B33" i="8"/>
  <c r="A33" i="8"/>
  <c r="AA32" i="8"/>
  <c r="Z32" i="8"/>
  <c r="Y32" i="8"/>
  <c r="X32" i="8"/>
  <c r="W32" i="8"/>
  <c r="V32" i="8"/>
  <c r="U32" i="8"/>
  <c r="T32" i="8"/>
  <c r="S32" i="8"/>
  <c r="R32" i="8"/>
  <c r="Q32" i="8"/>
  <c r="P32" i="8"/>
  <c r="O32" i="8"/>
  <c r="N32" i="8"/>
  <c r="M32" i="8"/>
  <c r="L32" i="8"/>
  <c r="K32" i="8"/>
  <c r="J32" i="8"/>
  <c r="I32" i="8"/>
  <c r="H32" i="8"/>
  <c r="G32" i="8"/>
  <c r="F32" i="8"/>
  <c r="E32" i="8"/>
  <c r="D32" i="8"/>
  <c r="C32" i="8"/>
  <c r="B32" i="8"/>
  <c r="A32" i="8"/>
  <c r="AA31" i="8"/>
  <c r="Z31" i="8"/>
  <c r="Y31" i="8"/>
  <c r="X31" i="8"/>
  <c r="W31" i="8"/>
  <c r="V31" i="8"/>
  <c r="U31" i="8"/>
  <c r="T31" i="8"/>
  <c r="S31" i="8"/>
  <c r="R31" i="8"/>
  <c r="Q31" i="8"/>
  <c r="P31" i="8"/>
  <c r="O31" i="8"/>
  <c r="N31" i="8"/>
  <c r="M31" i="8"/>
  <c r="L31" i="8"/>
  <c r="K31" i="8"/>
  <c r="J31" i="8"/>
  <c r="I31" i="8"/>
  <c r="H31" i="8"/>
  <c r="G31" i="8"/>
  <c r="F31" i="8"/>
  <c r="E31" i="8"/>
  <c r="D31" i="8"/>
  <c r="C31" i="8"/>
  <c r="B31" i="8"/>
  <c r="A31" i="8"/>
  <c r="AA30" i="8"/>
  <c r="Z30" i="8"/>
  <c r="Y30" i="8"/>
  <c r="X30" i="8"/>
  <c r="W30" i="8"/>
  <c r="V30" i="8"/>
  <c r="U30" i="8"/>
  <c r="T30" i="8"/>
  <c r="S30" i="8"/>
  <c r="R30" i="8"/>
  <c r="Q30" i="8"/>
  <c r="P30" i="8"/>
  <c r="O30" i="8"/>
  <c r="N30" i="8"/>
  <c r="M30" i="8"/>
  <c r="L30" i="8"/>
  <c r="K30" i="8"/>
  <c r="J30" i="8"/>
  <c r="I30" i="8"/>
  <c r="H30" i="8"/>
  <c r="G30" i="8"/>
  <c r="F30" i="8"/>
  <c r="E30" i="8"/>
  <c r="D30" i="8"/>
  <c r="C30" i="8"/>
  <c r="B30" i="8"/>
  <c r="A30" i="8"/>
  <c r="AA29" i="8"/>
  <c r="Z29" i="8"/>
  <c r="Y29" i="8"/>
  <c r="X29" i="8"/>
  <c r="W29" i="8"/>
  <c r="V29" i="8"/>
  <c r="U29" i="8"/>
  <c r="T29" i="8"/>
  <c r="S29" i="8"/>
  <c r="R29" i="8"/>
  <c r="Q29" i="8"/>
  <c r="P29" i="8"/>
  <c r="O29" i="8"/>
  <c r="N29" i="8"/>
  <c r="M29" i="8"/>
  <c r="L29" i="8"/>
  <c r="K29" i="8"/>
  <c r="J29" i="8"/>
  <c r="I29" i="8"/>
  <c r="H29" i="8"/>
  <c r="G29" i="8"/>
  <c r="F29" i="8"/>
  <c r="E29" i="8"/>
  <c r="D29" i="8"/>
  <c r="C29" i="8"/>
  <c r="B29" i="8"/>
  <c r="A29" i="8"/>
  <c r="AA28" i="8"/>
  <c r="Z28" i="8"/>
  <c r="Y28" i="8"/>
  <c r="X28" i="8"/>
  <c r="W28" i="8"/>
  <c r="V28" i="8"/>
  <c r="U28" i="8"/>
  <c r="T28" i="8"/>
  <c r="S28" i="8"/>
  <c r="R28" i="8"/>
  <c r="Q28" i="8"/>
  <c r="P28" i="8"/>
  <c r="O28" i="8"/>
  <c r="N28" i="8"/>
  <c r="M28" i="8"/>
  <c r="L28" i="8"/>
  <c r="K28" i="8"/>
  <c r="J28" i="8"/>
  <c r="I28" i="8"/>
  <c r="H28" i="8"/>
  <c r="G28" i="8"/>
  <c r="F28" i="8"/>
  <c r="E28" i="8"/>
  <c r="D28" i="8"/>
  <c r="C28" i="8"/>
  <c r="B28" i="8"/>
  <c r="A28" i="8"/>
  <c r="AA27" i="8"/>
  <c r="Z27" i="8"/>
  <c r="Y27" i="8"/>
  <c r="X27" i="8"/>
  <c r="W27" i="8"/>
  <c r="V27" i="8"/>
  <c r="U27" i="8"/>
  <c r="T27" i="8"/>
  <c r="S27" i="8"/>
  <c r="R27" i="8"/>
  <c r="Q27" i="8"/>
  <c r="P27" i="8"/>
  <c r="O27" i="8"/>
  <c r="N27" i="8"/>
  <c r="M27" i="8"/>
  <c r="L27" i="8"/>
  <c r="K27" i="8"/>
  <c r="J27" i="8"/>
  <c r="I27" i="8"/>
  <c r="H27" i="8"/>
  <c r="G27" i="8"/>
  <c r="F27" i="8"/>
  <c r="E27" i="8"/>
  <c r="D27" i="8"/>
  <c r="C27" i="8"/>
  <c r="B27" i="8"/>
  <c r="A27" i="8"/>
  <c r="AA26" i="8"/>
  <c r="Z26" i="8"/>
  <c r="Y26" i="8"/>
  <c r="X26" i="8"/>
  <c r="W26" i="8"/>
  <c r="V26" i="8"/>
  <c r="U26" i="8"/>
  <c r="T26" i="8"/>
  <c r="S26" i="8"/>
  <c r="R26" i="8"/>
  <c r="Q26" i="8"/>
  <c r="P26" i="8"/>
  <c r="O26" i="8"/>
  <c r="N26" i="8"/>
  <c r="M26" i="8"/>
  <c r="L26" i="8"/>
  <c r="K26" i="8"/>
  <c r="J26" i="8"/>
  <c r="I26" i="8"/>
  <c r="H26" i="8"/>
  <c r="G26" i="8"/>
  <c r="F26" i="8"/>
  <c r="E26" i="8"/>
  <c r="D26" i="8"/>
  <c r="C26" i="8"/>
  <c r="B26" i="8"/>
  <c r="A26" i="8"/>
  <c r="AA25" i="8"/>
  <c r="Z25" i="8"/>
  <c r="Y25" i="8"/>
  <c r="X25" i="8"/>
  <c r="W25" i="8"/>
  <c r="V25" i="8"/>
  <c r="U25" i="8"/>
  <c r="T25" i="8"/>
  <c r="S25" i="8"/>
  <c r="R25" i="8"/>
  <c r="Q25" i="8"/>
  <c r="P25" i="8"/>
  <c r="O25" i="8"/>
  <c r="N25" i="8"/>
  <c r="M25" i="8"/>
  <c r="L25" i="8"/>
  <c r="K25" i="8"/>
  <c r="J25" i="8"/>
  <c r="I25" i="8"/>
  <c r="H25" i="8"/>
  <c r="G25" i="8"/>
  <c r="F25" i="8"/>
  <c r="E25" i="8"/>
  <c r="D25" i="8"/>
  <c r="C25" i="8"/>
  <c r="B25" i="8"/>
  <c r="A25" i="8"/>
  <c r="AA24" i="8"/>
  <c r="Z24" i="8"/>
  <c r="Y24" i="8"/>
  <c r="X24" i="8"/>
  <c r="W24" i="8"/>
  <c r="V24" i="8"/>
  <c r="U24" i="8"/>
  <c r="T24" i="8"/>
  <c r="S24" i="8"/>
  <c r="R24" i="8"/>
  <c r="Q24" i="8"/>
  <c r="P24" i="8"/>
  <c r="O24" i="8"/>
  <c r="N24" i="8"/>
  <c r="M24" i="8"/>
  <c r="L24" i="8"/>
  <c r="K24" i="8"/>
  <c r="J24" i="8"/>
  <c r="I24" i="8"/>
  <c r="H24" i="8"/>
  <c r="G24" i="8"/>
  <c r="F24" i="8"/>
  <c r="E24" i="8"/>
  <c r="D24" i="8"/>
  <c r="C24" i="8"/>
  <c r="B24" i="8"/>
  <c r="A24" i="8"/>
  <c r="AA23" i="8"/>
  <c r="Z23" i="8"/>
  <c r="Y23" i="8"/>
  <c r="X23" i="8"/>
  <c r="W23" i="8"/>
  <c r="V23" i="8"/>
  <c r="U23" i="8"/>
  <c r="T23" i="8"/>
  <c r="S23" i="8"/>
  <c r="R23" i="8"/>
  <c r="Q23" i="8"/>
  <c r="P23" i="8"/>
  <c r="O23" i="8"/>
  <c r="N23" i="8"/>
  <c r="M23" i="8"/>
  <c r="L23" i="8"/>
  <c r="K23" i="8"/>
  <c r="J23" i="8"/>
  <c r="I23" i="8"/>
  <c r="H23" i="8"/>
  <c r="G23" i="8"/>
  <c r="F23" i="8"/>
  <c r="E23" i="8"/>
  <c r="D23" i="8"/>
  <c r="C23" i="8"/>
  <c r="B23" i="8"/>
  <c r="A23" i="8"/>
  <c r="AA22" i="8"/>
  <c r="Z22" i="8"/>
  <c r="Y22" i="8"/>
  <c r="X22" i="8"/>
  <c r="W22" i="8"/>
  <c r="V22" i="8"/>
  <c r="U22" i="8"/>
  <c r="T22" i="8"/>
  <c r="S22" i="8"/>
  <c r="R22" i="8"/>
  <c r="Q22" i="8"/>
  <c r="P22" i="8"/>
  <c r="O22" i="8"/>
  <c r="N22" i="8"/>
  <c r="M22" i="8"/>
  <c r="L22" i="8"/>
  <c r="K22" i="8"/>
  <c r="J22" i="8"/>
  <c r="I22" i="8"/>
  <c r="H22" i="8"/>
  <c r="G22" i="8"/>
  <c r="F22" i="8"/>
  <c r="E22" i="8"/>
  <c r="D22" i="8"/>
  <c r="C22" i="8"/>
  <c r="B22" i="8"/>
  <c r="A22" i="8"/>
  <c r="AA21" i="8"/>
  <c r="Z21" i="8"/>
  <c r="Y21" i="8"/>
  <c r="X21" i="8"/>
  <c r="W21" i="8"/>
  <c r="V21" i="8"/>
  <c r="U21" i="8"/>
  <c r="T21" i="8"/>
  <c r="S21" i="8"/>
  <c r="R21" i="8"/>
  <c r="Q21" i="8"/>
  <c r="P21" i="8"/>
  <c r="O21" i="8"/>
  <c r="N21" i="8"/>
  <c r="M21" i="8"/>
  <c r="L21" i="8"/>
  <c r="K21" i="8"/>
  <c r="J21" i="8"/>
  <c r="I21" i="8"/>
  <c r="H21" i="8"/>
  <c r="G21" i="8"/>
  <c r="F21" i="8"/>
  <c r="E21" i="8"/>
  <c r="D21" i="8"/>
  <c r="C21" i="8"/>
  <c r="B21" i="8"/>
  <c r="A21" i="8"/>
  <c r="AA20" i="8"/>
  <c r="Z20" i="8"/>
  <c r="Y20" i="8"/>
  <c r="X20" i="8"/>
  <c r="W20" i="8"/>
  <c r="V20" i="8"/>
  <c r="U20" i="8"/>
  <c r="T20" i="8"/>
  <c r="S20" i="8"/>
  <c r="R20" i="8"/>
  <c r="Q20" i="8"/>
  <c r="P20" i="8"/>
  <c r="O20" i="8"/>
  <c r="N20" i="8"/>
  <c r="M20" i="8"/>
  <c r="L20" i="8"/>
  <c r="K20" i="8"/>
  <c r="J20" i="8"/>
  <c r="I20" i="8"/>
  <c r="H20" i="8"/>
  <c r="G20" i="8"/>
  <c r="F20" i="8"/>
  <c r="E20" i="8"/>
  <c r="D20" i="8"/>
  <c r="C20" i="8"/>
  <c r="B20" i="8"/>
  <c r="A20" i="8"/>
  <c r="AA19" i="8"/>
  <c r="Z19" i="8"/>
  <c r="Y19" i="8"/>
  <c r="X19" i="8"/>
  <c r="W19" i="8"/>
  <c r="V19" i="8"/>
  <c r="U19" i="8"/>
  <c r="T19" i="8"/>
  <c r="S19" i="8"/>
  <c r="R19" i="8"/>
  <c r="Q19" i="8"/>
  <c r="P19" i="8"/>
  <c r="O19" i="8"/>
  <c r="N19" i="8"/>
  <c r="M19" i="8"/>
  <c r="L19" i="8"/>
  <c r="K19" i="8"/>
  <c r="J19" i="8"/>
  <c r="I19" i="8"/>
  <c r="H19" i="8"/>
  <c r="G19" i="8"/>
  <c r="F19" i="8"/>
  <c r="E19" i="8"/>
  <c r="D19" i="8"/>
  <c r="C19" i="8"/>
  <c r="B19" i="8"/>
  <c r="A19" i="8"/>
  <c r="AA18" i="8"/>
  <c r="Z18" i="8"/>
  <c r="Y18" i="8"/>
  <c r="X18" i="8"/>
  <c r="W18" i="8"/>
  <c r="V18" i="8"/>
  <c r="U18" i="8"/>
  <c r="T18" i="8"/>
  <c r="S18" i="8"/>
  <c r="R18" i="8"/>
  <c r="Q18" i="8"/>
  <c r="P18" i="8"/>
  <c r="O18" i="8"/>
  <c r="N18" i="8"/>
  <c r="M18" i="8"/>
  <c r="L18" i="8"/>
  <c r="K18" i="8"/>
  <c r="J18" i="8"/>
  <c r="I18" i="8"/>
  <c r="H18" i="8"/>
  <c r="G18" i="8"/>
  <c r="F18" i="8"/>
  <c r="E18" i="8"/>
  <c r="D18" i="8"/>
  <c r="C18" i="8"/>
  <c r="B18" i="8"/>
  <c r="A18" i="8"/>
  <c r="AA17" i="8"/>
  <c r="Z17" i="8"/>
  <c r="Y17" i="8"/>
  <c r="X17" i="8"/>
  <c r="W17" i="8"/>
  <c r="V17" i="8"/>
  <c r="U17" i="8"/>
  <c r="T17" i="8"/>
  <c r="S17" i="8"/>
  <c r="R17" i="8"/>
  <c r="Q17" i="8"/>
  <c r="P17" i="8"/>
  <c r="O17" i="8"/>
  <c r="N17" i="8"/>
  <c r="M17" i="8"/>
  <c r="L17" i="8"/>
  <c r="K17" i="8"/>
  <c r="J17" i="8"/>
  <c r="I17" i="8"/>
  <c r="H17" i="8"/>
  <c r="G17" i="8"/>
  <c r="F17" i="8"/>
  <c r="E17" i="8"/>
  <c r="D17" i="8"/>
  <c r="C17" i="8"/>
  <c r="B17" i="8"/>
  <c r="A17" i="8"/>
  <c r="AA16" i="8"/>
  <c r="Z16" i="8"/>
  <c r="Y16" i="8"/>
  <c r="X16" i="8"/>
  <c r="W16" i="8"/>
  <c r="V16" i="8"/>
  <c r="U16" i="8"/>
  <c r="T16" i="8"/>
  <c r="S16" i="8"/>
  <c r="R16" i="8"/>
  <c r="Q16" i="8"/>
  <c r="P16" i="8"/>
  <c r="O16" i="8"/>
  <c r="N16" i="8"/>
  <c r="M16" i="8"/>
  <c r="L16" i="8"/>
  <c r="K16" i="8"/>
  <c r="J16" i="8"/>
  <c r="I16" i="8"/>
  <c r="H16" i="8"/>
  <c r="G16" i="8"/>
  <c r="F16" i="8"/>
  <c r="E16" i="8"/>
  <c r="D16" i="8"/>
  <c r="C16" i="8"/>
  <c r="B16" i="8"/>
  <c r="A16" i="8"/>
  <c r="AA15" i="8"/>
  <c r="Z15" i="8"/>
  <c r="Y15" i="8"/>
  <c r="X15" i="8"/>
  <c r="W15" i="8"/>
  <c r="V15" i="8"/>
  <c r="U15" i="8"/>
  <c r="T15" i="8"/>
  <c r="S15" i="8"/>
  <c r="R15" i="8"/>
  <c r="Q15" i="8"/>
  <c r="P15" i="8"/>
  <c r="O15" i="8"/>
  <c r="N15" i="8"/>
  <c r="M15" i="8"/>
  <c r="L15" i="8"/>
  <c r="K15" i="8"/>
  <c r="J15" i="8"/>
  <c r="I15" i="8"/>
  <c r="H15" i="8"/>
  <c r="G15" i="8"/>
  <c r="F15" i="8"/>
  <c r="E15" i="8"/>
  <c r="D15" i="8"/>
  <c r="C15" i="8"/>
  <c r="B15" i="8"/>
  <c r="A15" i="8"/>
  <c r="AA14" i="8"/>
  <c r="Z14" i="8"/>
  <c r="Y14" i="8"/>
  <c r="X14" i="8"/>
  <c r="W14" i="8"/>
  <c r="V14" i="8"/>
  <c r="U14" i="8"/>
  <c r="T14" i="8"/>
  <c r="S14" i="8"/>
  <c r="R14" i="8"/>
  <c r="Q14" i="8"/>
  <c r="P14" i="8"/>
  <c r="O14" i="8"/>
  <c r="N14" i="8"/>
  <c r="M14" i="8"/>
  <c r="L14" i="8"/>
  <c r="K14" i="8"/>
  <c r="J14" i="8"/>
  <c r="I14" i="8"/>
  <c r="H14" i="8"/>
  <c r="G14" i="8"/>
  <c r="F14" i="8"/>
  <c r="E14" i="8"/>
  <c r="D14" i="8"/>
  <c r="C14" i="8"/>
  <c r="B14" i="8"/>
  <c r="A14" i="8"/>
  <c r="AA13" i="8"/>
  <c r="Z13" i="8"/>
  <c r="Y13" i="8"/>
  <c r="X13" i="8"/>
  <c r="W13" i="8"/>
  <c r="V13" i="8"/>
  <c r="U13" i="8"/>
  <c r="T13" i="8"/>
  <c r="S13" i="8"/>
  <c r="R13" i="8"/>
  <c r="Q13" i="8"/>
  <c r="P13" i="8"/>
  <c r="O13" i="8"/>
  <c r="N13" i="8"/>
  <c r="M13" i="8"/>
  <c r="L13" i="8"/>
  <c r="K13" i="8"/>
  <c r="J13" i="8"/>
  <c r="I13" i="8"/>
  <c r="H13" i="8"/>
  <c r="G13" i="8"/>
  <c r="F13" i="8"/>
  <c r="E13" i="8"/>
  <c r="D13" i="8"/>
  <c r="C13" i="8"/>
  <c r="B13" i="8"/>
  <c r="A13" i="8"/>
  <c r="AA12" i="8"/>
  <c r="Z12" i="8"/>
  <c r="Y12" i="8"/>
  <c r="X12" i="8"/>
  <c r="W12" i="8"/>
  <c r="V12" i="8"/>
  <c r="U12" i="8"/>
  <c r="T12" i="8"/>
  <c r="S12" i="8"/>
  <c r="R12" i="8"/>
  <c r="Q12" i="8"/>
  <c r="P12" i="8"/>
  <c r="O12" i="8"/>
  <c r="N12" i="8"/>
  <c r="M12" i="8"/>
  <c r="L12" i="8"/>
  <c r="K12" i="8"/>
  <c r="J12" i="8"/>
  <c r="I12" i="8"/>
  <c r="H12" i="8"/>
  <c r="G12" i="8"/>
  <c r="F12" i="8"/>
  <c r="E12" i="8"/>
  <c r="D12" i="8"/>
  <c r="C12" i="8"/>
  <c r="B12" i="8"/>
  <c r="A12" i="8"/>
  <c r="AA11" i="8"/>
  <c r="Z11" i="8"/>
  <c r="Y11" i="8"/>
  <c r="X11" i="8"/>
  <c r="W11" i="8"/>
  <c r="V11" i="8"/>
  <c r="U11" i="8"/>
  <c r="T11" i="8"/>
  <c r="S11" i="8"/>
  <c r="R11" i="8"/>
  <c r="Q11" i="8"/>
  <c r="P11" i="8"/>
  <c r="O11" i="8"/>
  <c r="N11" i="8"/>
  <c r="M11" i="8"/>
  <c r="L11" i="8"/>
  <c r="K11" i="8"/>
  <c r="J11" i="8"/>
  <c r="I11" i="8"/>
  <c r="H11" i="8"/>
  <c r="G11" i="8"/>
  <c r="F11" i="8"/>
  <c r="E11" i="8"/>
  <c r="D11" i="8"/>
  <c r="C11" i="8"/>
  <c r="B11" i="8"/>
  <c r="A11" i="8"/>
  <c r="AA10" i="8"/>
  <c r="Z10" i="8"/>
  <c r="Y10" i="8"/>
  <c r="X10" i="8"/>
  <c r="W10" i="8"/>
  <c r="V10" i="8"/>
  <c r="U10" i="8"/>
  <c r="T10" i="8"/>
  <c r="S10" i="8"/>
  <c r="R10" i="8"/>
  <c r="Q10" i="8"/>
  <c r="P10" i="8"/>
  <c r="O10" i="8"/>
  <c r="N10" i="8"/>
  <c r="M10" i="8"/>
  <c r="L10" i="8"/>
  <c r="K10" i="8"/>
  <c r="J10" i="8"/>
  <c r="I10" i="8"/>
  <c r="H10" i="8"/>
  <c r="G10" i="8"/>
  <c r="F10" i="8"/>
  <c r="E10" i="8"/>
  <c r="D10" i="8"/>
  <c r="C10" i="8"/>
  <c r="B10" i="8"/>
  <c r="A10" i="8"/>
  <c r="AA9" i="8"/>
  <c r="Z9" i="8"/>
  <c r="Y9" i="8"/>
  <c r="X9" i="8"/>
  <c r="W9" i="8"/>
  <c r="V9" i="8"/>
  <c r="U9" i="8"/>
  <c r="T9" i="8"/>
  <c r="S9" i="8"/>
  <c r="R9" i="8"/>
  <c r="Q9" i="8"/>
  <c r="P9" i="8"/>
  <c r="O9" i="8"/>
  <c r="N9" i="8"/>
  <c r="M9" i="8"/>
  <c r="L9" i="8"/>
  <c r="K9" i="8"/>
  <c r="J9" i="8"/>
  <c r="I9" i="8"/>
  <c r="H9" i="8"/>
  <c r="G9" i="8"/>
  <c r="F9" i="8"/>
  <c r="E9" i="8"/>
  <c r="D9" i="8"/>
  <c r="C9" i="8"/>
  <c r="B9" i="8"/>
  <c r="A9" i="8"/>
  <c r="AA8" i="8"/>
  <c r="Z8" i="8"/>
  <c r="Y8" i="8"/>
  <c r="X8" i="8"/>
  <c r="W8" i="8"/>
  <c r="V8" i="8"/>
  <c r="U8" i="8"/>
  <c r="T8" i="8"/>
  <c r="S8" i="8"/>
  <c r="R8" i="8"/>
  <c r="Q8" i="8"/>
  <c r="P8" i="8"/>
  <c r="O8" i="8"/>
  <c r="N8" i="8"/>
  <c r="M8" i="8"/>
  <c r="L8" i="8"/>
  <c r="K8" i="8"/>
  <c r="J8" i="8"/>
  <c r="I8" i="8"/>
  <c r="H8" i="8"/>
  <c r="G8" i="8"/>
  <c r="F8" i="8"/>
  <c r="E8" i="8"/>
  <c r="D8" i="8"/>
  <c r="C8" i="8"/>
  <c r="B8" i="8"/>
  <c r="A8" i="8"/>
  <c r="AA7" i="8"/>
  <c r="Z7" i="8"/>
  <c r="Y7" i="8"/>
  <c r="X7" i="8"/>
  <c r="W7" i="8"/>
  <c r="V7" i="8"/>
  <c r="U7" i="8"/>
  <c r="T7" i="8"/>
  <c r="S7" i="8"/>
  <c r="R7" i="8"/>
  <c r="Q7" i="8"/>
  <c r="P7" i="8"/>
  <c r="O7" i="8"/>
  <c r="N7" i="8"/>
  <c r="M7" i="8"/>
  <c r="L7" i="8"/>
  <c r="K7" i="8"/>
  <c r="J7" i="8"/>
  <c r="I7" i="8"/>
  <c r="H7" i="8"/>
  <c r="G7" i="8"/>
  <c r="F7" i="8"/>
  <c r="E7" i="8"/>
  <c r="D7" i="8"/>
  <c r="C7" i="8"/>
  <c r="B7" i="8"/>
  <c r="A7" i="8"/>
  <c r="AA6" i="8"/>
  <c r="Z6" i="8"/>
  <c r="Y6" i="8"/>
  <c r="X6" i="8"/>
  <c r="W6" i="8"/>
  <c r="V6" i="8"/>
  <c r="U6" i="8"/>
  <c r="T6" i="8"/>
  <c r="S6" i="8"/>
  <c r="R6" i="8"/>
  <c r="Q6" i="8"/>
  <c r="P6" i="8"/>
  <c r="O6" i="8"/>
  <c r="N6" i="8"/>
  <c r="M6" i="8"/>
  <c r="L6" i="8"/>
  <c r="K6" i="8"/>
  <c r="J6" i="8"/>
  <c r="I6" i="8"/>
  <c r="H6" i="8"/>
  <c r="G6" i="8"/>
  <c r="F6" i="8"/>
  <c r="E6" i="8"/>
  <c r="D6" i="8"/>
  <c r="C6" i="8"/>
  <c r="B6" i="8"/>
  <c r="A6" i="8"/>
  <c r="AA5" i="8"/>
  <c r="Z5" i="8"/>
  <c r="Y5" i="8"/>
  <c r="X5" i="8"/>
  <c r="W5" i="8"/>
  <c r="V5" i="8"/>
  <c r="U5" i="8"/>
  <c r="T5" i="8"/>
  <c r="S5" i="8"/>
  <c r="R5" i="8"/>
  <c r="Q5" i="8"/>
  <c r="P5" i="8"/>
  <c r="O5" i="8"/>
  <c r="N5" i="8"/>
  <c r="M5" i="8"/>
  <c r="L5" i="8"/>
  <c r="K5" i="8"/>
  <c r="J5" i="8"/>
  <c r="I5" i="8"/>
  <c r="H5" i="8"/>
  <c r="G5" i="8"/>
  <c r="F5" i="8"/>
  <c r="E5" i="8"/>
  <c r="D5" i="8"/>
  <c r="C5" i="8"/>
  <c r="B5" i="8"/>
  <c r="A5" i="8"/>
  <c r="AA4" i="8"/>
  <c r="Z4" i="8"/>
  <c r="Y4" i="8"/>
  <c r="X4" i="8"/>
  <c r="W4" i="8"/>
  <c r="V4" i="8"/>
  <c r="U4" i="8"/>
  <c r="T4" i="8"/>
  <c r="S4" i="8"/>
  <c r="R4" i="8"/>
  <c r="Q4" i="8"/>
  <c r="P4" i="8"/>
  <c r="O4" i="8"/>
  <c r="N4" i="8"/>
  <c r="M4" i="8"/>
  <c r="L4" i="8"/>
  <c r="K4" i="8"/>
  <c r="J4" i="8"/>
  <c r="I4" i="8"/>
  <c r="H4" i="8"/>
  <c r="G4" i="8"/>
  <c r="F4" i="8"/>
  <c r="E4" i="8"/>
  <c r="D4" i="8"/>
  <c r="C4" i="8"/>
  <c r="B4" i="8"/>
  <c r="A4" i="8"/>
  <c r="AA3" i="8"/>
  <c r="Z3" i="8"/>
  <c r="Y3" i="8"/>
  <c r="X3" i="8"/>
  <c r="W3" i="8"/>
  <c r="V3" i="8"/>
  <c r="U3" i="8"/>
  <c r="T3" i="8"/>
  <c r="S3" i="8"/>
  <c r="R3" i="8"/>
  <c r="Q3" i="8"/>
  <c r="P3" i="8"/>
  <c r="O3" i="8"/>
  <c r="N3" i="8"/>
  <c r="M3" i="8"/>
  <c r="L3" i="8"/>
  <c r="K3" i="8"/>
  <c r="J3" i="8"/>
  <c r="I3" i="8"/>
  <c r="H3" i="8"/>
  <c r="G3" i="8"/>
  <c r="F3" i="8"/>
  <c r="E3" i="8"/>
  <c r="D3" i="8"/>
  <c r="C3" i="8"/>
  <c r="B3" i="8"/>
  <c r="A3" i="8"/>
  <c r="AA2" i="8"/>
  <c r="Z2" i="8"/>
  <c r="Y2" i="8"/>
  <c r="X2" i="8"/>
  <c r="W2" i="8"/>
  <c r="V2" i="8"/>
  <c r="U2" i="8"/>
  <c r="T2" i="8"/>
  <c r="S2" i="8"/>
  <c r="R2" i="8"/>
  <c r="Q2" i="8"/>
  <c r="P2" i="8"/>
  <c r="O2" i="8"/>
  <c r="N2" i="8"/>
  <c r="M2" i="8"/>
  <c r="L2" i="8"/>
  <c r="K2" i="8"/>
  <c r="J2" i="8"/>
  <c r="I2" i="8"/>
  <c r="H2" i="8"/>
  <c r="G2" i="8"/>
  <c r="F2" i="8"/>
  <c r="E2" i="8"/>
  <c r="D2" i="8"/>
  <c r="C2" i="8"/>
  <c r="B2" i="8"/>
  <c r="C9" i="28" l="1"/>
  <c r="C12" i="28"/>
  <c r="E12" i="28"/>
  <c r="D12" i="28"/>
  <c r="C38" i="13"/>
  <c r="B3" i="13"/>
  <c r="C2" i="13"/>
  <c r="C3" i="13" s="1"/>
  <c r="D38" i="13"/>
  <c r="E38" i="13" s="1"/>
  <c r="G38" i="13"/>
  <c r="B57" i="11"/>
  <c r="C10" i="28"/>
  <c r="D10" i="28"/>
  <c r="G1" i="28"/>
  <c r="M12" i="13"/>
  <c r="B17" i="13" s="1"/>
  <c r="I29" i="19"/>
  <c r="K29" i="19" s="1"/>
  <c r="I23" i="19"/>
  <c r="K23" i="19" s="1"/>
  <c r="C4" i="13"/>
  <c r="D3" i="29"/>
  <c r="B12" i="19"/>
  <c r="B25" i="19"/>
  <c r="D2" i="13"/>
  <c r="E2" i="13" s="1"/>
  <c r="F2" i="13" s="1"/>
  <c r="G2" i="13" s="1"/>
  <c r="H32" i="19"/>
  <c r="K24" i="11"/>
  <c r="K23" i="11"/>
  <c r="M2" i="13"/>
  <c r="F9" i="28"/>
  <c r="E9" i="28" s="1"/>
  <c r="J23" i="11"/>
  <c r="D12" i="20"/>
  <c r="C4" i="20"/>
  <c r="I53" i="19"/>
  <c r="J53" i="19" s="1"/>
  <c r="K53" i="19"/>
  <c r="I54" i="19"/>
  <c r="J54" i="19" s="1"/>
  <c r="K54" i="19"/>
  <c r="I55" i="19"/>
  <c r="J55" i="19" s="1"/>
  <c r="K55" i="19"/>
  <c r="I56" i="19"/>
  <c r="J56" i="19" s="1"/>
  <c r="K56" i="19"/>
  <c r="I57" i="19"/>
  <c r="J57" i="19" s="1"/>
  <c r="K57" i="19"/>
  <c r="I58" i="19"/>
  <c r="J58" i="19"/>
  <c r="K58" i="19"/>
  <c r="I59" i="19"/>
  <c r="J59" i="19" s="1"/>
  <c r="K59" i="19"/>
  <c r="I60" i="19"/>
  <c r="J60" i="19" s="1"/>
  <c r="K60" i="19"/>
  <c r="I61" i="19"/>
  <c r="J61" i="19" s="1"/>
  <c r="K61" i="19"/>
  <c r="I62" i="19"/>
  <c r="J62" i="19" s="1"/>
  <c r="K62" i="19"/>
  <c r="I63" i="19"/>
  <c r="J63" i="19" s="1"/>
  <c r="K63" i="19"/>
  <c r="H64" i="19"/>
  <c r="I52" i="19"/>
  <c r="J52" i="19" s="1"/>
  <c r="K52" i="19"/>
  <c r="I28" i="19"/>
  <c r="K28" i="19" s="1"/>
  <c r="I27" i="19"/>
  <c r="K27" i="19" s="1"/>
  <c r="I26" i="19"/>
  <c r="K26" i="19" s="1"/>
  <c r="I25" i="19"/>
  <c r="K25" i="19" s="1"/>
  <c r="I24" i="19"/>
  <c r="K24" i="19" s="1"/>
  <c r="I22" i="19"/>
  <c r="K22" i="19" s="1"/>
  <c r="I21" i="19"/>
  <c r="K21" i="19" s="1"/>
  <c r="E40" i="24"/>
  <c r="E38" i="24"/>
  <c r="H16" i="19"/>
  <c r="E37" i="24"/>
  <c r="E36" i="24"/>
  <c r="C14" i="24"/>
  <c r="D14" i="24"/>
  <c r="G29" i="19"/>
  <c r="G28" i="19"/>
  <c r="G27" i="19"/>
  <c r="G26" i="19"/>
  <c r="G25" i="19"/>
  <c r="G24" i="19"/>
  <c r="G23" i="19"/>
  <c r="G22" i="19"/>
  <c r="G21" i="19"/>
  <c r="I15" i="19"/>
  <c r="I14" i="19"/>
  <c r="I13" i="19"/>
  <c r="I12" i="19"/>
  <c r="I11" i="19"/>
  <c r="I10" i="19"/>
  <c r="I9" i="19"/>
  <c r="I8" i="19"/>
  <c r="I7" i="19"/>
  <c r="I6" i="19"/>
  <c r="K6" i="19" s="1"/>
  <c r="A25" i="29"/>
  <c r="A37" i="29"/>
  <c r="A49" i="29"/>
  <c r="A24" i="29"/>
  <c r="A36" i="29"/>
  <c r="A48" i="29"/>
  <c r="A23" i="29"/>
  <c r="A35" i="29"/>
  <c r="A47" i="29"/>
  <c r="A22" i="29"/>
  <c r="A34" i="29"/>
  <c r="A46" i="29"/>
  <c r="A21" i="29"/>
  <c r="A33" i="29"/>
  <c r="A45" i="29"/>
  <c r="A20" i="29"/>
  <c r="A32" i="29"/>
  <c r="A44" i="29"/>
  <c r="A19" i="29"/>
  <c r="A31" i="29"/>
  <c r="A43" i="29"/>
  <c r="A18" i="29"/>
  <c r="A30" i="29"/>
  <c r="A42" i="29"/>
  <c r="A17" i="29"/>
  <c r="A29" i="29"/>
  <c r="A41" i="29"/>
  <c r="A16" i="29"/>
  <c r="A28" i="29"/>
  <c r="A40" i="29"/>
  <c r="C3" i="29"/>
  <c r="J24" i="11"/>
  <c r="A15" i="29"/>
  <c r="B10" i="13"/>
  <c r="F2" i="29"/>
  <c r="J15" i="19"/>
  <c r="K15" i="19"/>
  <c r="J14" i="19"/>
  <c r="K14" i="19" s="1"/>
  <c r="B14" i="24"/>
  <c r="B6" i="13"/>
  <c r="C6" i="13" s="1"/>
  <c r="D6" i="13" s="1"/>
  <c r="E6" i="13" s="1"/>
  <c r="F6" i="13" s="1"/>
  <c r="G6" i="13" s="1"/>
  <c r="M6" i="13"/>
  <c r="F11" i="28" s="1"/>
  <c r="E11" i="28" s="1"/>
  <c r="B22" i="13"/>
  <c r="G33" i="28"/>
  <c r="G39" i="28"/>
  <c r="E2" i="24"/>
  <c r="E4" i="24"/>
  <c r="B22" i="18"/>
  <c r="A22" i="18"/>
  <c r="B23" i="18"/>
  <c r="A23" i="18"/>
  <c r="B24" i="18"/>
  <c r="A24" i="18"/>
  <c r="B25" i="18"/>
  <c r="A25" i="18"/>
  <c r="B26" i="18"/>
  <c r="A26" i="18"/>
  <c r="D18" i="18"/>
  <c r="B27" i="18"/>
  <c r="E3" i="24"/>
  <c r="A25" i="25"/>
  <c r="B25" i="25"/>
  <c r="A12" i="25"/>
  <c r="A26" i="25"/>
  <c r="B26" i="25"/>
  <c r="A13" i="25"/>
  <c r="A14" i="25"/>
  <c r="B27" i="25"/>
  <c r="C24" i="25"/>
  <c r="B28" i="25"/>
  <c r="B29" i="25"/>
  <c r="B30" i="25"/>
  <c r="D30" i="25" s="1"/>
  <c r="D35" i="25" s="1"/>
  <c r="B39" i="13" s="1"/>
  <c r="B2" i="12" s="1"/>
  <c r="B31" i="25"/>
  <c r="B32" i="25"/>
  <c r="B33" i="25"/>
  <c r="B34" i="25"/>
  <c r="B6" i="19"/>
  <c r="B7" i="19"/>
  <c r="E5" i="24"/>
  <c r="B19" i="19"/>
  <c r="F6" i="20" s="1"/>
  <c r="B18" i="19"/>
  <c r="D48" i="19"/>
  <c r="B26" i="19"/>
  <c r="H18" i="19"/>
  <c r="J5" i="19"/>
  <c r="J7" i="19"/>
  <c r="K7" i="19" s="1"/>
  <c r="J8" i="19"/>
  <c r="K8" i="19"/>
  <c r="J9" i="19"/>
  <c r="K9" i="19" s="1"/>
  <c r="J10" i="19"/>
  <c r="K10" i="19"/>
  <c r="J11" i="19"/>
  <c r="K11" i="19" s="1"/>
  <c r="J12" i="19"/>
  <c r="K12" i="19"/>
  <c r="J13" i="19"/>
  <c r="K13" i="19" s="1"/>
  <c r="J17" i="19"/>
  <c r="K17" i="19" s="1"/>
  <c r="D50" i="19"/>
  <c r="B26" i="13"/>
  <c r="B27" i="13"/>
  <c r="B28" i="13"/>
  <c r="B32" i="13"/>
  <c r="D38" i="28" s="1"/>
  <c r="D9" i="28"/>
  <c r="A1" i="28"/>
  <c r="F7" i="20"/>
  <c r="I36" i="19"/>
  <c r="J36" i="19" s="1"/>
  <c r="I47" i="19"/>
  <c r="K47" i="19" s="1"/>
  <c r="I46" i="19"/>
  <c r="J46" i="19" s="1"/>
  <c r="I45" i="19"/>
  <c r="K45" i="19" s="1"/>
  <c r="I44" i="19"/>
  <c r="J44" i="19" s="1"/>
  <c r="I43" i="19"/>
  <c r="J43" i="19" s="1"/>
  <c r="I42" i="19"/>
  <c r="J42" i="19" s="1"/>
  <c r="I41" i="19"/>
  <c r="K41" i="19" s="1"/>
  <c r="I40" i="19"/>
  <c r="J40" i="19" s="1"/>
  <c r="I39" i="19"/>
  <c r="K39" i="19" s="1"/>
  <c r="I38" i="19"/>
  <c r="K38" i="19" s="1"/>
  <c r="I37" i="19"/>
  <c r="J37" i="19" s="1"/>
  <c r="K27" i="11"/>
  <c r="K26" i="11"/>
  <c r="J27" i="11"/>
  <c r="J26" i="11"/>
  <c r="K25" i="11"/>
  <c r="K22" i="11"/>
  <c r="J22" i="11"/>
  <c r="H48" i="19"/>
  <c r="J25" i="11"/>
  <c r="A27" i="18"/>
  <c r="B34" i="13"/>
  <c r="D9" i="14"/>
  <c r="F14" i="14"/>
  <c r="D8" i="14"/>
  <c r="F13" i="14" s="1"/>
  <c r="D5" i="14"/>
  <c r="F16" i="14"/>
  <c r="D4" i="14"/>
  <c r="C17" i="14"/>
  <c r="D3" i="14"/>
  <c r="C14" i="14"/>
  <c r="C16" i="14"/>
  <c r="D2" i="14"/>
  <c r="C13" i="14" s="1"/>
  <c r="D7" i="14"/>
  <c r="F15" i="14"/>
  <c r="F18" i="14" s="1"/>
  <c r="F17" i="14"/>
  <c r="I22" i="11"/>
  <c r="J16" i="19"/>
  <c r="K16" i="19" s="1"/>
  <c r="B9" i="28"/>
  <c r="E25" i="25"/>
  <c r="C25" i="25"/>
  <c r="D25" i="25"/>
  <c r="J6" i="19"/>
  <c r="C26" i="25"/>
  <c r="D26" i="25"/>
  <c r="E26" i="25"/>
  <c r="A27" i="25"/>
  <c r="E27" i="25"/>
  <c r="A15" i="25"/>
  <c r="A28" i="25"/>
  <c r="B24" i="25"/>
  <c r="D24" i="25"/>
  <c r="C27" i="25"/>
  <c r="D27" i="25"/>
  <c r="E28" i="25"/>
  <c r="C28" i="25"/>
  <c r="D28" i="25"/>
  <c r="A16" i="25"/>
  <c r="A29" i="25"/>
  <c r="A30" i="25"/>
  <c r="A17" i="25"/>
  <c r="C29" i="25"/>
  <c r="D29" i="25"/>
  <c r="E29" i="25"/>
  <c r="A31" i="25"/>
  <c r="A18" i="25"/>
  <c r="E30" i="25"/>
  <c r="E35" i="25" s="1"/>
  <c r="D37" i="25" s="1"/>
  <c r="D39" i="25" s="1"/>
  <c r="C30" i="25"/>
  <c r="A19" i="25"/>
  <c r="A32" i="25"/>
  <c r="E31" i="25"/>
  <c r="C31" i="25"/>
  <c r="D31" i="25"/>
  <c r="E32" i="25"/>
  <c r="C32" i="25"/>
  <c r="D32" i="25"/>
  <c r="A33" i="25"/>
  <c r="A20" i="25"/>
  <c r="A34" i="25"/>
  <c r="C34" i="25"/>
  <c r="D34" i="25"/>
  <c r="C33" i="25"/>
  <c r="D33" i="25"/>
  <c r="E34" i="25"/>
  <c r="E33" i="25"/>
  <c r="I5" i="19"/>
  <c r="K5" i="19" s="1"/>
  <c r="B30" i="13"/>
  <c r="D37" i="28" s="1"/>
  <c r="C17" i="28"/>
  <c r="J30" i="19"/>
  <c r="K30" i="19"/>
  <c r="J27" i="19"/>
  <c r="J22" i="19"/>
  <c r="J29" i="19"/>
  <c r="J28" i="19"/>
  <c r="J24" i="19"/>
  <c r="J21" i="19"/>
  <c r="J31" i="19"/>
  <c r="K31" i="19"/>
  <c r="J26" i="19"/>
  <c r="J25" i="19"/>
  <c r="J23" i="19"/>
  <c r="G4" i="13"/>
  <c r="F4" i="13"/>
  <c r="D6" i="29" s="1"/>
  <c r="E4" i="13"/>
  <c r="D5" i="29" s="1"/>
  <c r="D4" i="13"/>
  <c r="D4" i="29" s="1"/>
  <c r="B2" i="29"/>
  <c r="J32" i="19"/>
  <c r="D7" i="29"/>
  <c r="C21" i="28"/>
  <c r="C20" i="28"/>
  <c r="B25" i="13"/>
  <c r="F5" i="20"/>
  <c r="B33" i="19"/>
  <c r="C43" i="19" s="1"/>
  <c r="D16" i="29"/>
  <c r="H38" i="13"/>
  <c r="I38" i="13" s="1"/>
  <c r="D20" i="29"/>
  <c r="D21" i="29"/>
  <c r="H2" i="13" l="1"/>
  <c r="J2" i="13"/>
  <c r="L2" i="13"/>
  <c r="K2" i="13"/>
  <c r="I2" i="13"/>
  <c r="D18" i="29"/>
  <c r="F38" i="13"/>
  <c r="D19" i="29" s="1"/>
  <c r="D22" i="29"/>
  <c r="J38" i="13"/>
  <c r="C18" i="28"/>
  <c r="D17" i="29"/>
  <c r="B11" i="28"/>
  <c r="D11" i="28" s="1"/>
  <c r="D35" i="28"/>
  <c r="C19" i="28"/>
  <c r="K42" i="19"/>
  <c r="J41" i="19"/>
  <c r="K40" i="19"/>
  <c r="J38" i="19"/>
  <c r="J45" i="19"/>
  <c r="D40" i="25"/>
  <c r="B5" i="13"/>
  <c r="B4" i="13" s="1"/>
  <c r="J4" i="13" s="1"/>
  <c r="J18" i="19"/>
  <c r="F14" i="28"/>
  <c r="E14" i="28" s="1"/>
  <c r="K37" i="19"/>
  <c r="K46" i="19"/>
  <c r="B48" i="19"/>
  <c r="H6" i="13"/>
  <c r="I6" i="13" s="1"/>
  <c r="J6" i="13" s="1"/>
  <c r="K6" i="13" s="1"/>
  <c r="L6" i="13" s="1"/>
  <c r="C50" i="19"/>
  <c r="D3" i="13"/>
  <c r="B3" i="29"/>
  <c r="C5" i="13"/>
  <c r="B17" i="28"/>
  <c r="D17" i="28" s="1"/>
  <c r="C8" i="13"/>
  <c r="F17" i="28" s="1"/>
  <c r="D34" i="28"/>
  <c r="K32" i="19"/>
  <c r="B15" i="19" s="1"/>
  <c r="K18" i="19"/>
  <c r="D9" i="20"/>
  <c r="D10" i="20" s="1"/>
  <c r="I24" i="11"/>
  <c r="G15" i="29"/>
  <c r="C15" i="18"/>
  <c r="C42" i="19"/>
  <c r="C44" i="19" s="1"/>
  <c r="C41" i="19"/>
  <c r="J64" i="19"/>
  <c r="K64" i="19" s="1"/>
  <c r="B11" i="19" s="1"/>
  <c r="K44" i="19"/>
  <c r="K36" i="19"/>
  <c r="J39" i="19"/>
  <c r="J47" i="19"/>
  <c r="K43" i="19"/>
  <c r="D23" i="29" l="1"/>
  <c r="K38" i="13"/>
  <c r="L4" i="13"/>
  <c r="D12" i="29" s="1"/>
  <c r="I23" i="11"/>
  <c r="I4" i="13"/>
  <c r="C23" i="28" s="1"/>
  <c r="B10" i="28"/>
  <c r="K4" i="13"/>
  <c r="C25" i="28" s="1"/>
  <c r="B7" i="13"/>
  <c r="H2" i="29" s="1"/>
  <c r="B15" i="29" s="1"/>
  <c r="H15" i="29" s="1"/>
  <c r="H4" i="13"/>
  <c r="C22" i="28" s="1"/>
  <c r="D2" i="29"/>
  <c r="E2" i="29" s="1"/>
  <c r="J48" i="19"/>
  <c r="D11" i="20"/>
  <c r="D13" i="20" s="1"/>
  <c r="C39" i="13"/>
  <c r="C48" i="19"/>
  <c r="E48" i="19" s="1"/>
  <c r="C49" i="19" s="1"/>
  <c r="C10" i="13"/>
  <c r="F3" i="29" s="1"/>
  <c r="C7" i="13"/>
  <c r="C40" i="13" s="1"/>
  <c r="E3" i="29"/>
  <c r="C16" i="29"/>
  <c r="E16" i="29" s="1"/>
  <c r="G16" i="29" s="1"/>
  <c r="B18" i="28"/>
  <c r="D18" i="28" s="1"/>
  <c r="B4" i="29"/>
  <c r="D5" i="13"/>
  <c r="E3" i="13"/>
  <c r="D8" i="13"/>
  <c r="F18" i="28" s="1"/>
  <c r="B40" i="13"/>
  <c r="B13" i="28" s="1"/>
  <c r="C22" i="18"/>
  <c r="C24" i="18"/>
  <c r="C23" i="18"/>
  <c r="C25" i="18"/>
  <c r="C26" i="18"/>
  <c r="C27" i="18"/>
  <c r="C24" i="28"/>
  <c r="D10" i="29"/>
  <c r="K48" i="19"/>
  <c r="D24" i="29" l="1"/>
  <c r="L38" i="13"/>
  <c r="D25" i="29" s="1"/>
  <c r="C26" i="28"/>
  <c r="M4" i="13"/>
  <c r="C27" i="28" s="1"/>
  <c r="C45" i="19"/>
  <c r="B50" i="19" s="1"/>
  <c r="D9" i="29"/>
  <c r="D8" i="29"/>
  <c r="G2" i="29"/>
  <c r="D11" i="29"/>
  <c r="I25" i="11"/>
  <c r="D39" i="13"/>
  <c r="E4" i="29"/>
  <c r="C17" i="29"/>
  <c r="E17" i="29" s="1"/>
  <c r="G17" i="29" s="1"/>
  <c r="C4" i="29"/>
  <c r="C9" i="13"/>
  <c r="H3" i="29"/>
  <c r="B16" i="29" s="1"/>
  <c r="E17" i="28"/>
  <c r="G17" i="28" s="1"/>
  <c r="B5" i="29"/>
  <c r="F3" i="13"/>
  <c r="E5" i="13"/>
  <c r="E8" i="13"/>
  <c r="F19" i="28" s="1"/>
  <c r="B19" i="28"/>
  <c r="D19" i="28" s="1"/>
  <c r="D7" i="13"/>
  <c r="D10" i="13"/>
  <c r="F4" i="29" s="1"/>
  <c r="C28" i="18"/>
  <c r="D49" i="19"/>
  <c r="B49" i="19"/>
  <c r="F10" i="28" l="1"/>
  <c r="E10" i="28" s="1"/>
  <c r="G3" i="29"/>
  <c r="D9" i="13"/>
  <c r="E18" i="28"/>
  <c r="G18" i="28" s="1"/>
  <c r="H4" i="29"/>
  <c r="B17" i="29" s="1"/>
  <c r="E10" i="13"/>
  <c r="F5" i="29" s="1"/>
  <c r="E7" i="13"/>
  <c r="B6" i="29"/>
  <c r="F5" i="13"/>
  <c r="G3" i="13"/>
  <c r="B20" i="28"/>
  <c r="D20" i="28" s="1"/>
  <c r="F8" i="13"/>
  <c r="F20" i="28" s="1"/>
  <c r="F16" i="29"/>
  <c r="D40" i="29" s="1"/>
  <c r="H16" i="29"/>
  <c r="E39" i="13"/>
  <c r="F39" i="13" s="1"/>
  <c r="D40" i="13"/>
  <c r="C18" i="29"/>
  <c r="E18" i="29" s="1"/>
  <c r="G18" i="29" s="1"/>
  <c r="C5" i="29"/>
  <c r="E5" i="29"/>
  <c r="E49" i="19"/>
  <c r="E50" i="19"/>
  <c r="B33" i="11" s="1"/>
  <c r="C12" i="13" s="1"/>
  <c r="F34" i="18"/>
  <c r="F33" i="18"/>
  <c r="F31" i="18"/>
  <c r="F32" i="18" s="1"/>
  <c r="G4" i="29" l="1"/>
  <c r="E40" i="13"/>
  <c r="H5" i="29"/>
  <c r="B18" i="29" s="1"/>
  <c r="E9" i="13"/>
  <c r="E19" i="28"/>
  <c r="G19" i="28" s="1"/>
  <c r="G5" i="29"/>
  <c r="F17" i="29"/>
  <c r="D41" i="29" s="1"/>
  <c r="H17" i="29"/>
  <c r="C19" i="29"/>
  <c r="E19" i="29" s="1"/>
  <c r="G19" i="29" s="1"/>
  <c r="C6" i="29"/>
  <c r="E6" i="29"/>
  <c r="H3" i="13"/>
  <c r="G5" i="13"/>
  <c r="B7" i="29"/>
  <c r="B21" i="28"/>
  <c r="D21" i="28" s="1"/>
  <c r="G8" i="13"/>
  <c r="F21" i="28" s="1"/>
  <c r="F7" i="13"/>
  <c r="F10" i="13"/>
  <c r="F6" i="29" s="1"/>
  <c r="D14" i="28"/>
  <c r="H28" i="29"/>
  <c r="B40" i="29" s="1"/>
  <c r="C40" i="29" s="1"/>
  <c r="F40" i="29" s="1"/>
  <c r="C13" i="13"/>
  <c r="D12" i="13"/>
  <c r="H6" i="29" l="1"/>
  <c r="B19" i="29" s="1"/>
  <c r="E20" i="28"/>
  <c r="G20" i="28" s="1"/>
  <c r="F9" i="13"/>
  <c r="C7" i="29"/>
  <c r="E7" i="29"/>
  <c r="C20" i="29"/>
  <c r="E20" i="29" s="1"/>
  <c r="G20" i="29" s="1"/>
  <c r="I3" i="13"/>
  <c r="H8" i="13"/>
  <c r="F22" i="28" s="1"/>
  <c r="B22" i="28"/>
  <c r="D22" i="28" s="1"/>
  <c r="B8" i="29"/>
  <c r="H5" i="13"/>
  <c r="G7" i="13"/>
  <c r="G10" i="13"/>
  <c r="F7" i="29" s="1"/>
  <c r="F40" i="13"/>
  <c r="G6" i="29"/>
  <c r="F18" i="29"/>
  <c r="D42" i="29" s="1"/>
  <c r="H18" i="29"/>
  <c r="G39" i="13"/>
  <c r="E12" i="13"/>
  <c r="H29" i="29"/>
  <c r="B41" i="29" s="1"/>
  <c r="C41" i="29" s="1"/>
  <c r="F41" i="29" s="1"/>
  <c r="D13" i="13"/>
  <c r="C14" i="13"/>
  <c r="G40" i="13" l="1"/>
  <c r="H39" i="13"/>
  <c r="C8" i="29"/>
  <c r="C21" i="29"/>
  <c r="E21" i="29" s="1"/>
  <c r="G21" i="29" s="1"/>
  <c r="E8" i="29"/>
  <c r="B23" i="28"/>
  <c r="D23" i="28" s="1"/>
  <c r="J3" i="13"/>
  <c r="B9" i="29"/>
  <c r="I8" i="13"/>
  <c r="F23" i="28" s="1"/>
  <c r="I5" i="13"/>
  <c r="H7" i="29"/>
  <c r="B20" i="29" s="1"/>
  <c r="G9" i="13"/>
  <c r="E21" i="28"/>
  <c r="G21" i="28" s="1"/>
  <c r="H7" i="13"/>
  <c r="H10" i="13"/>
  <c r="F8" i="29" s="1"/>
  <c r="F19" i="29"/>
  <c r="D43" i="29" s="1"/>
  <c r="H19" i="29"/>
  <c r="F12" i="13"/>
  <c r="H30" i="29"/>
  <c r="B42" i="29" s="1"/>
  <c r="C42" i="29" s="1"/>
  <c r="F42" i="29" s="1"/>
  <c r="E13" i="13"/>
  <c r="D14" i="13"/>
  <c r="I39" i="13" l="1"/>
  <c r="C9" i="29"/>
  <c r="C22" i="29"/>
  <c r="E22" i="29" s="1"/>
  <c r="G22" i="29" s="1"/>
  <c r="E9" i="29"/>
  <c r="K3" i="13"/>
  <c r="B24" i="28"/>
  <c r="D24" i="28" s="1"/>
  <c r="B10" i="29"/>
  <c r="J8" i="13"/>
  <c r="F24" i="28" s="1"/>
  <c r="J5" i="13"/>
  <c r="H8" i="29"/>
  <c r="B21" i="29" s="1"/>
  <c r="H9" i="13"/>
  <c r="E22" i="28"/>
  <c r="G22" i="28" s="1"/>
  <c r="G8" i="29"/>
  <c r="H40" i="13"/>
  <c r="F20" i="29"/>
  <c r="D44" i="29" s="1"/>
  <c r="H20" i="29"/>
  <c r="I10" i="13"/>
  <c r="F9" i="29" s="1"/>
  <c r="I7" i="13"/>
  <c r="G7" i="29"/>
  <c r="F13" i="13"/>
  <c r="E14" i="13"/>
  <c r="G12" i="13"/>
  <c r="H31" i="29"/>
  <c r="B43" i="29" s="1"/>
  <c r="C43" i="29" s="1"/>
  <c r="F43" i="29" s="1"/>
  <c r="C23" i="29" l="1"/>
  <c r="E23" i="29" s="1"/>
  <c r="G23" i="29" s="1"/>
  <c r="C10" i="29"/>
  <c r="E10" i="29"/>
  <c r="L3" i="13"/>
  <c r="K8" i="13"/>
  <c r="F25" i="28" s="1"/>
  <c r="B25" i="28"/>
  <c r="D25" i="28" s="1"/>
  <c r="B11" i="29"/>
  <c r="K5" i="13"/>
  <c r="I9" i="13"/>
  <c r="E23" i="28"/>
  <c r="G23" i="28" s="1"/>
  <c r="H9" i="29"/>
  <c r="B22" i="29" s="1"/>
  <c r="H21" i="29"/>
  <c r="F21" i="29"/>
  <c r="D45" i="29" s="1"/>
  <c r="I40" i="13"/>
  <c r="J39" i="13"/>
  <c r="J40" i="13" s="1"/>
  <c r="J10" i="13"/>
  <c r="F10" i="29" s="1"/>
  <c r="J7" i="13"/>
  <c r="H12" i="13"/>
  <c r="H32" i="29"/>
  <c r="B44" i="29" s="1"/>
  <c r="C44" i="29" s="1"/>
  <c r="F44" i="29" s="1"/>
  <c r="G13" i="13"/>
  <c r="F14" i="13"/>
  <c r="B26" i="28" l="1"/>
  <c r="D26" i="28" s="1"/>
  <c r="B12" i="29"/>
  <c r="L8" i="13"/>
  <c r="F26" i="28" s="1"/>
  <c r="M3" i="13"/>
  <c r="L5" i="13"/>
  <c r="H22" i="29"/>
  <c r="F22" i="29"/>
  <c r="D46" i="29" s="1"/>
  <c r="K39" i="13"/>
  <c r="E24" i="28"/>
  <c r="G24" i="28" s="1"/>
  <c r="J9" i="13"/>
  <c r="H10" i="29"/>
  <c r="B23" i="29" s="1"/>
  <c r="K10" i="13"/>
  <c r="F11" i="29" s="1"/>
  <c r="K7" i="13"/>
  <c r="G9" i="29"/>
  <c r="C11" i="29"/>
  <c r="C24" i="29"/>
  <c r="E24" i="29" s="1"/>
  <c r="G24" i="29" s="1"/>
  <c r="E11" i="29"/>
  <c r="H13" i="13"/>
  <c r="G14" i="13"/>
  <c r="I12" i="13"/>
  <c r="H33" i="29"/>
  <c r="B45" i="29" s="1"/>
  <c r="C45" i="29" s="1"/>
  <c r="F45" i="29" s="1"/>
  <c r="H23" i="29" l="1"/>
  <c r="F23" i="29"/>
  <c r="D47" i="29" s="1"/>
  <c r="K9" i="13"/>
  <c r="E25" i="28"/>
  <c r="G25" i="28" s="1"/>
  <c r="H11" i="29"/>
  <c r="B24" i="29" s="1"/>
  <c r="B5" i="12"/>
  <c r="L7" i="13"/>
  <c r="L10" i="13"/>
  <c r="F12" i="29" s="1"/>
  <c r="B27" i="28"/>
  <c r="D27" i="28" s="1"/>
  <c r="J30" i="11"/>
  <c r="M5" i="13"/>
  <c r="K40" i="13"/>
  <c r="C25" i="29"/>
  <c r="E25" i="29" s="1"/>
  <c r="G25" i="29" s="1"/>
  <c r="C12" i="29"/>
  <c r="E12" i="29"/>
  <c r="L39" i="13"/>
  <c r="B3" i="12" s="1"/>
  <c r="B4" i="12" s="1"/>
  <c r="G10" i="29"/>
  <c r="H34" i="29"/>
  <c r="B46" i="29" s="1"/>
  <c r="C46" i="29" s="1"/>
  <c r="F46" i="29" s="1"/>
  <c r="J12" i="13"/>
  <c r="H14" i="13"/>
  <c r="I13" i="13"/>
  <c r="L40" i="13" l="1"/>
  <c r="J32" i="11" s="1"/>
  <c r="G11" i="29"/>
  <c r="B6" i="12"/>
  <c r="D13" i="28" s="1"/>
  <c r="J31" i="11"/>
  <c r="N5" i="13"/>
  <c r="M7" i="13"/>
  <c r="E27" i="28" s="1"/>
  <c r="M10" i="13"/>
  <c r="L9" i="13"/>
  <c r="H12" i="29"/>
  <c r="B25" i="29" s="1"/>
  <c r="E26" i="28"/>
  <c r="G26" i="28" s="1"/>
  <c r="F24" i="29"/>
  <c r="D48" i="29" s="1"/>
  <c r="H24" i="29"/>
  <c r="H35" i="29"/>
  <c r="B47" i="29" s="1"/>
  <c r="C47" i="29" s="1"/>
  <c r="F47" i="29" s="1"/>
  <c r="K12" i="13"/>
  <c r="B7" i="12"/>
  <c r="J13" i="13"/>
  <c r="I14" i="13"/>
  <c r="H25" i="29" l="1"/>
  <c r="F25" i="29"/>
  <c r="D49" i="29" s="1"/>
  <c r="G12" i="29"/>
  <c r="K13" i="13"/>
  <c r="J14" i="13"/>
  <c r="L12" i="13"/>
  <c r="H36" i="29"/>
  <c r="B48" i="29" s="1"/>
  <c r="C48" i="29" s="1"/>
  <c r="F48" i="29" s="1"/>
  <c r="M40" i="13" l="1"/>
  <c r="H37" i="29"/>
  <c r="B49" i="29" s="1"/>
  <c r="C49" i="29" s="1"/>
  <c r="K14" i="13"/>
  <c r="L13" i="13"/>
  <c r="L14" i="13" l="1"/>
  <c r="B20" i="13" s="1"/>
  <c r="D31" i="28" s="1"/>
  <c r="B8" i="12"/>
  <c r="M8" i="13"/>
  <c r="F13" i="28"/>
  <c r="F12" i="28"/>
  <c r="F27" i="28" l="1"/>
  <c r="G27" i="28" s="1"/>
  <c r="M9" i="13"/>
  <c r="B16" i="13" s="1"/>
  <c r="B18" i="13" s="1"/>
  <c r="N8" i="13"/>
  <c r="E49" i="29" l="1"/>
  <c r="F49" i="29" s="1"/>
  <c r="F50" i="29" s="1"/>
  <c r="B19" i="13"/>
  <c r="D29" i="28"/>
  <c r="B21" i="13" l="1"/>
  <c r="D30" i="28"/>
  <c r="B23" i="13" l="1"/>
  <c r="B24" i="13" s="1"/>
  <c r="B29" i="13" s="1"/>
  <c r="B31" i="13" s="1"/>
  <c r="B33" i="13" s="1"/>
  <c r="D32" i="28"/>
  <c r="D33" i="28" l="1"/>
  <c r="D36" i="28" s="1"/>
  <c r="D39" i="28" s="1"/>
  <c r="B35" i="13"/>
  <c r="B9" i="12"/>
  <c r="B10" i="12" s="1"/>
  <c r="C15" i="14" l="1"/>
  <c r="B20" i="14"/>
  <c r="B21" i="14"/>
  <c r="B23" i="14"/>
  <c r="B24" i="14"/>
  <c r="C26" i="14"/>
  <c r="D2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xr:uid="{00000000-0006-0000-00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are in multiple businesses, you can construct your own weighted averages using the industry average table from this spreadsheet and your company's business breakdown.</t>
        </r>
      </text>
    </comment>
    <comment ref="D7"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8" authorId="0" shapeId="0" xr:uid="{00000000-0006-0000-00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8" authorId="0" shapeId="0" xr:uid="{00000000-0006-0000-00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9" authorId="0" shapeId="0" xr:uid="{00000000-0006-0000-00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9" authorId="0" shapeId="0" xr:uid="{00000000-0006-0000-0000-00000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shapeId="0" xr:uid="{00000000-0006-0000-0000-00000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1" authorId="0" shapeId="0" xr:uid="{00000000-0006-0000-0000-00000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shapeId="0" xr:uid="{00000000-0006-0000-0000-00000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2" authorId="0" shapeId="0" xr:uid="{00000000-0006-0000-0000-00000B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B15" authorId="0" shapeId="0" xr:uid="{00000000-0006-0000-0000-00000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5" authorId="0" shapeId="0" xr:uid="{00000000-0006-0000-0000-00000D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B16" authorId="0" shapeId="0" xr:uid="{00000000-0006-0000-0000-00000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shapeId="0" xr:uid="{00000000-0006-0000-0000-00000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shapeId="0" xr:uid="{00000000-0006-0000-0000-00001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19" authorId="0" shapeId="0" xr:uid="{00000000-0006-0000-0000-00001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most recent stock price (how about today's?) in here. </t>
        </r>
      </text>
    </comment>
    <comment ref="B20" authorId="0" shapeId="0" xr:uid="{00000000-0006-0000-0000-00001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1" authorId="0" shapeId="0" xr:uid="{00000000-0006-0000-0000-00001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a statutory tax rate. I use the tax rate of the country the company is domiciled in. See worksheet embedded in this spreadshseet for country tax rates.</t>
        </r>
      </text>
    </comment>
    <comment ref="B25" authorId="0" shapeId="0" xr:uid="{00000000-0006-0000-0000-000014000000}">
      <text>
        <r>
          <rPr>
            <b/>
            <sz val="9"/>
            <color rgb="FF000000"/>
            <rFont val="Geneva"/>
            <family val="2"/>
          </rPr>
          <t>Aswath Damodaran:</t>
        </r>
        <r>
          <rPr>
            <sz val="9"/>
            <color rgb="FF000000"/>
            <rFont val="Geneva"/>
            <family val="2"/>
          </rPr>
          <t xml:space="preserve">
</t>
        </r>
        <r>
          <rPr>
            <sz val="9"/>
            <color rgb="FF000000"/>
            <rFont val="Geneva"/>
            <family val="2"/>
          </rPr>
          <t xml:space="preserve">I don't have a crystal ball but you should look at 
</t>
        </r>
        <r>
          <rPr>
            <sz val="9"/>
            <color rgb="FF000000"/>
            <rFont val="Geneva"/>
            <family val="2"/>
          </rPr>
          <t xml:space="preserve">a. Revenue growth in your company in recent years
</t>
        </r>
        <r>
          <rPr>
            <sz val="9"/>
            <color rgb="FF000000"/>
            <rFont val="Geneva"/>
            <family val="2"/>
          </rPr>
          <t xml:space="preserve">b. Your company's revenues, relative to the overall market size and larger players in the sector. 
</t>
        </r>
        <r>
          <rPr>
            <sz val="9"/>
            <color rgb="FF000000"/>
            <rFont val="Geneva"/>
            <family val="2"/>
          </rPr>
          <t xml:space="preserve">Suggestion: Check your revenues in year 10 against the overall market and see what market share are you giving your company. Check your company's revenues against other companies in the sector.
</t>
        </r>
        <r>
          <rPr>
            <sz val="9"/>
            <color rgb="FF000000"/>
            <rFont val="Geneva"/>
            <family val="2"/>
          </rPr>
          <t>Note that this number can be negative for a declining firm.</t>
        </r>
      </text>
    </comment>
    <comment ref="B26"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7"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29"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J30"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J31" authorId="0" shapeId="0" xr:uid="{00000000-0006-0000-0000-00001B000000}">
      <text>
        <r>
          <rPr>
            <b/>
            <sz val="10"/>
            <color indexed="81"/>
            <rFont val="Calibri"/>
            <family val="2"/>
          </rPr>
          <t>Aswath Damodaran:</t>
        </r>
        <r>
          <rPr>
            <sz val="10"/>
            <color indexed="81"/>
            <rFont val="Calibri"/>
            <family val="2"/>
          </rPr>
          <t xml:space="preserve">
Determined by your target margin. </t>
        </r>
      </text>
    </comment>
    <comment ref="B32"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J32" authorId="0" shapeId="0" xr:uid="{00000000-0006-0000-0000-00001D000000}">
      <text>
        <r>
          <rPr>
            <b/>
            <sz val="10"/>
            <color indexed="81"/>
            <rFont val="Calibri"/>
            <family val="2"/>
          </rPr>
          <t>Aswath Damodaran:</t>
        </r>
        <r>
          <rPr>
            <sz val="10"/>
            <color indexed="81"/>
            <rFont val="Calibri"/>
            <family val="2"/>
          </rPr>
          <t xml:space="preserve">
Function of both your target margin and your sales to capital ratio.</t>
        </r>
      </text>
    </comment>
    <comment ref="B33"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B36" authorId="0" shapeId="0" xr:uid="{00000000-0006-0000-00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37" authorId="0" shapeId="0" xr:uid="{00000000-0006-0000-00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38" authorId="0" shapeId="0" xr:uid="{00000000-0006-0000-0000-00001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39" authorId="0" shapeId="0" xr:uid="{00000000-0006-0000-0000-000020000000}">
      <text>
        <r>
          <rPr>
            <b/>
            <sz val="9"/>
            <color rgb="FF000000"/>
            <rFont val="Geneva"/>
            <family val="2"/>
          </rPr>
          <t>Aswath Damodaran:</t>
        </r>
        <r>
          <rPr>
            <sz val="9"/>
            <color rgb="FF000000"/>
            <rFont val="Geneva"/>
            <family val="2"/>
          </rPr>
          <t xml:space="preserve">
</t>
        </r>
        <r>
          <rPr>
            <sz val="9"/>
            <color rgb="FF000000"/>
            <rFont val="Geneva"/>
            <family val="2"/>
          </rPr>
          <t>If you have a standard deviation for your stock, enter that number. If not, use the industry average standard deviation from the worksheet.</t>
        </r>
      </text>
    </comment>
    <comment ref="B43" authorId="0" shapeId="0" xr:uid="{00000000-0006-0000-0000-00002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6" authorId="0" shapeId="0" xr:uid="{00000000-0006-0000-0000-000022000000}">
      <text>
        <r>
          <rPr>
            <b/>
            <sz val="9"/>
            <color rgb="FF000000"/>
            <rFont val="Geneva"/>
            <family val="2"/>
          </rPr>
          <t>Aswath Damodaran:</t>
        </r>
        <r>
          <rPr>
            <sz val="9"/>
            <color rgb="FF000000"/>
            <rFont val="Geneva"/>
            <family val="2"/>
          </rPr>
          <t xml:space="preserve">
</t>
        </r>
        <r>
          <rPr>
            <sz val="9"/>
            <color rgb="FF000000"/>
            <rFont val="Geneva"/>
            <family val="2"/>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7" authorId="0" shapeId="0" xr:uid="{00000000-0006-0000-0000-00002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Even if you believe your firm has significant competitive advantages, don't set this number to more than 5% more than your cost of capital. </t>
        </r>
      </text>
    </comment>
    <comment ref="B49" authorId="0" shapeId="0" xr:uid="{00000000-0006-0000-0000-000024000000}">
      <text>
        <r>
          <rPr>
            <b/>
            <sz val="9"/>
            <color rgb="FF000000"/>
            <rFont val="Geneva"/>
            <family val="2"/>
          </rPr>
          <t>Aswath Damodaran:</t>
        </r>
        <r>
          <rPr>
            <sz val="9"/>
            <color rgb="FF000000"/>
            <rFont val="Geneva"/>
            <family val="2"/>
          </rPr>
          <t xml:space="preserve">
</t>
        </r>
        <r>
          <rPr>
            <sz val="9"/>
            <color rgb="FF000000"/>
            <rFont val="Geneva"/>
            <family val="2"/>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50" authorId="0" shapeId="0" xr:uid="{00000000-0006-0000-0000-00002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If you want to look at ways of estimating this probability, try these papers I have on the topic:
</t>
        </r>
        <r>
          <rPr>
            <sz val="9"/>
            <color rgb="FF000000"/>
            <rFont val="Geneva"/>
            <family val="2"/>
            <charset val="1"/>
          </rPr>
          <t xml:space="preserve">For young growth companies: http://papers.ssrn.com/sol3/papers.cfm?abstract_id=1418687  
</t>
        </r>
        <r>
          <rPr>
            <sz val="9"/>
            <color rgb="FF000000"/>
            <rFont val="Geneva"/>
            <family val="2"/>
            <charset val="1"/>
          </rPr>
          <t xml:space="preserve">For declining, distressed companies: http://papers.ssrn.com/sol3/papers.cfm?abstract_id=1428022 </t>
        </r>
      </text>
    </comment>
    <comment ref="B51" authorId="0" shapeId="0" xr:uid="{00000000-0006-0000-0000-00002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2" authorId="0" shapeId="0" xr:uid="{00000000-0006-0000-0000-000027000000}">
      <text>
        <r>
          <rPr>
            <b/>
            <sz val="9"/>
            <color rgb="FF000000"/>
            <rFont val="Geneva"/>
            <family val="2"/>
          </rPr>
          <t>Aswath Damodaran:</t>
        </r>
        <r>
          <rPr>
            <sz val="9"/>
            <color rgb="FF000000"/>
            <rFont val="Geneva"/>
            <family val="2"/>
          </rPr>
          <t xml:space="preserve">
</t>
        </r>
        <r>
          <rPr>
            <sz val="9"/>
            <color rgb="FF000000"/>
            <rFont val="Genev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4" authorId="0" shapeId="0" xr:uid="{00000000-0006-0000-0000-000028000000}">
      <text>
        <r>
          <rPr>
            <b/>
            <sz val="9"/>
            <color rgb="FF000000"/>
            <rFont val="Geneva"/>
            <family val="2"/>
          </rPr>
          <t>Aswath Damodaran:</t>
        </r>
        <r>
          <rPr>
            <sz val="9"/>
            <color rgb="FF000000"/>
            <rFont val="Geneva"/>
            <family val="2"/>
          </rPr>
          <t xml:space="preserve">
</t>
        </r>
        <r>
          <rPr>
            <sz val="9"/>
            <color rgb="FF000000"/>
            <rFont val="Geneva"/>
            <family val="2"/>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6" authorId="0" shapeId="0" xr:uid="{00000000-0006-0000-0000-00002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been losing money for a while, there will be accumulated losses from prior periods. Check your financial statements.</t>
        </r>
      </text>
    </comment>
    <comment ref="B57" authorId="0" shapeId="0" xr:uid="{00000000-0006-0000-0000-00002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NOL from prior years carried forward into this year.</t>
        </r>
      </text>
    </comment>
    <comment ref="B63"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66"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7"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11" authorId="0" shapeId="0" xr:uid="{00000000-0006-0000-0800-00000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Use a sector average beta, if need be.</t>
        </r>
      </text>
    </comment>
    <comment ref="B13" authorId="0" shapeId="0" xr:uid="{00000000-0006-0000-08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pick operating regions or countries, please input the revenues by country or region in the table to the right.</t>
        </r>
      </text>
    </comment>
    <comment ref="B15" authorId="0" shapeId="0" xr:uid="{00000000-0006-0000-0800-00000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risk exposure in emergiing markets, incorporate that risk premiums here. See worksheet on country risk premiums.</t>
        </r>
      </text>
    </comment>
    <comment ref="B19" authorId="0" shapeId="0" xr:uid="{00000000-0006-0000-08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B20" authorId="0" shapeId="0" xr:uid="{00000000-0006-0000-0800-000005000000}">
      <text>
        <r>
          <rPr>
            <b/>
            <sz val="9"/>
            <color rgb="FF000000"/>
            <rFont val="Geneva"/>
            <family val="2"/>
          </rPr>
          <t>Aswath Damodaran:</t>
        </r>
        <r>
          <rPr>
            <sz val="9"/>
            <color rgb="FF000000"/>
            <rFont val="Geneva"/>
            <family val="2"/>
          </rPr>
          <t xml:space="preserve">
</t>
        </r>
        <r>
          <rPr>
            <sz val="9"/>
            <color rgb="FF000000"/>
            <rFont val="Geneva"/>
            <family val="2"/>
          </rPr>
          <t>Generally found in footnotes to financial statements.</t>
        </r>
      </text>
    </comment>
    <comment ref="B24" authorId="0" shapeId="0" xr:uid="{00000000-0006-0000-0800-000006000000}">
      <text>
        <r>
          <rPr>
            <b/>
            <sz val="9"/>
            <color rgb="FF000000"/>
            <rFont val="Geneva"/>
            <family val="2"/>
          </rPr>
          <t>Aswath Damodaran:</t>
        </r>
        <r>
          <rPr>
            <sz val="9"/>
            <color rgb="FF000000"/>
            <rFont val="Geneva"/>
            <family val="2"/>
          </rPr>
          <t xml:space="preserve">
</t>
        </r>
        <r>
          <rPr>
            <sz val="9"/>
            <color rgb="FF000000"/>
            <rFont val="Geneva"/>
            <family val="2"/>
          </rPr>
          <t xml:space="preserve">1: Large market cap (&gt;$5 billion) and safe.
</t>
        </r>
        <r>
          <rPr>
            <sz val="9"/>
            <color rgb="FF000000"/>
            <rFont val="Geneva"/>
            <family val="2"/>
          </rPr>
          <t xml:space="preserve">2: Small market cap (&lt;$5 billion) or risky.
</t>
        </r>
        <r>
          <rPr>
            <sz val="9"/>
            <color rgb="FF000000"/>
            <rFont val="Geneva"/>
            <family val="2"/>
          </rPr>
          <t>If company has volatile earnings or is in risky business, use 2, even if large market cap.</t>
        </r>
      </text>
    </comment>
    <comment ref="B25"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A86EEA05-25AC-1C4F-A2F8-777C45176FE2}">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6"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7"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sharedStrings.xml><?xml version="1.0" encoding="utf-8"?>
<sst xmlns="http://schemas.openxmlformats.org/spreadsheetml/2006/main" count="1021" uniqueCount="702">
  <si>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</si>
  <si>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</si>
  <si>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</si>
  <si>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</si>
  <si>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Marginal ROIC over 10 years</t>
    <phoneticPr fontId="8" type="noConversion"/>
  </si>
  <si>
    <t>ROIC at end of valuation</t>
    <phoneticPr fontId="8" type="noConversion"/>
  </si>
  <si>
    <t>Inputs</t>
  </si>
  <si>
    <t>Invested capital at start of valuation</t>
    <phoneticPr fontId="8" type="noConversion"/>
  </si>
  <si>
    <t>Invested capital at end of valuation</t>
    <phoneticPr fontId="8" type="noConversion"/>
  </si>
  <si>
    <t>Change in invested capital over 10 years</t>
    <phoneticPr fontId="8" type="noConversion"/>
  </si>
  <si>
    <t>Change in EBIT*(1–t) (after-tax operating income) over 10 years</t>
    <phoneticPr fontId="8" type="noConversion"/>
  </si>
  <si>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</si>
  <si>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</si>
  <si>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</si>
  <si>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</si>
  <si>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</si>
  <si>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</si>
  <si>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</si>
  <si>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</si>
  <si>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</si>
  <si>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</si>
  <si>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</si>
  <si>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</si>
  <si>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</si>
  <si>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</si>
  <si>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</si>
  <si>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</si>
  <si>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</si>
  <si>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</si>
  <si>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</si>
  <si>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</si>
  <si>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</si>
  <si>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</si>
  <si>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</si>
  <si>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</si>
  <si>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</si>
  <si>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</si>
  <si>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</si>
  <si>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</si>
  <si>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</si>
  <si>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</si>
  <si>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</si>
  <si>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</si>
  <si>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</si>
  <si>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</si>
  <si>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</si>
  <si>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</si>
  <si>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</si>
  <si>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</si>
  <si>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</si>
  <si>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</si>
  <si>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</si>
  <si>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</si>
  <si>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</si>
  <si>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</si>
  <si>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</si>
  <si>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</si>
  <si>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</si>
  <si>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</si>
  <si>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</si>
  <si>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</si>
  <si>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</si>
  <si>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</si>
  <si>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</si>
  <si>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</si>
  <si>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</si>
  <si>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</si>
  <si>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</si>
  <si>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</si>
  <si>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</si>
  <si>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</si>
  <si>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</si>
  <si>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</si>
  <si>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</si>
  <si>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</si>
  <si>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</si>
  <si>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</si>
  <si>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</si>
  <si>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</si>
  <si>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</si>
  <si>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</si>
  <si>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</si>
  <si>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</si>
  <si>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</si>
  <si>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</si>
  <si>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</si>
  <si>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</si>
  <si>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</si>
  <si>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</si>
  <si>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</si>
  <si>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</si>
  <si>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</si>
  <si>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</si>
  <si>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</si>
  <si>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</si>
  <si>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</si>
  <si>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</si>
  <si>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</si>
  <si>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</si>
  <si>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</si>
  <si>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</si>
  <si>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</si>
  <si>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</si>
  <si>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</si>
  <si>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</si>
  <si>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</si>
  <si>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</si>
  <si>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</si>
  <si>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</si>
  <si>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</si>
  <si>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</si>
  <si>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</si>
  <si>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</si>
  <si>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</si>
  <si>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</si>
  <si>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</si>
  <si>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</si>
  <si>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</si>
  <si>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</si>
  <si>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</si>
  <si>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</si>
  <si>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</si>
  <si>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</si>
  <si>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</si>
  <si>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</si>
  <si>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</si>
  <si>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</si>
  <si>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</si>
  <si>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</si>
  <si>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</si>
  <si>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</si>
  <si>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</si>
  <si>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</si>
  <si>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</si>
  <si>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</si>
  <si>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</si>
  <si>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</si>
  <si>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</si>
  <si>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</si>
  <si>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</si>
  <si>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</si>
  <si>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</si>
  <si>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</si>
  <si>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</si>
  <si>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</si>
  <si>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</si>
  <si>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</si>
  <si>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</si>
  <si>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</si>
  <si>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</si>
  <si>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</si>
  <si>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</si>
  <si>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</si>
  <si>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</si>
  <si>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</si>
  <si>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</si>
  <si>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</si>
  <si>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</si>
  <si>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</si>
  <si>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</si>
  <si>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</si>
  <si>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</si>
  <si>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</si>
  <si>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</si>
  <si>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</si>
  <si>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</si>
  <si>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</si>
  <si>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</si>
  <si>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</si>
  <si>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</si>
  <si>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</si>
  <si>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</si>
  <si>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</si>
  <si>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</si>
  <si>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</si>
  <si>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</si>
  <si>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</si>
  <si>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</si>
  <si>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</si>
  <si>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</si>
  <si>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</si>
  <si>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</si>
  <si>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</si>
  <si>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</si>
  <si>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</si>
  <si>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</si>
  <si>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</si>
  <si>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</si>
  <si>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</si>
  <si>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</si>
  <si>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</si>
  <si>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</si>
  <si>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</si>
  <si>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</si>
  <si>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</si>
  <si>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</si>
  <si>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</si>
  <si>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</si>
  <si>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</si>
  <si>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</si>
  <si>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</si>
  <si>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</si>
  <si>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</si>
  <si>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</si>
  <si>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</si>
  <si>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</si>
  <si>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</si>
  <si>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</si>
  <si>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</si>
  <si>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</si>
  <si>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</si>
  <si>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</si>
  <si>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</si>
  <si>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</si>
  <si>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</si>
  <si>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</si>
  <si>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</si>
  <si>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</si>
  <si>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</si>
  <si>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</si>
  <si>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</si>
  <si>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</si>
  <si>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</si>
  <si>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</si>
  <si>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</si>
  <si>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</si>
  <si>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</si>
  <si>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</si>
  <si>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</si>
  <si>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</si>
  <si>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</si>
  <si>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</si>
  <si>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</si>
  <si>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</si>
  <si>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</si>
  <si>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</si>
  <si>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</si>
  <si>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</si>
  <si>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</si>
  <si>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</si>
  <si>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</si>
  <si>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</si>
  <si>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</si>
  <si>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</si>
  <si>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</si>
  <si>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</si>
  <si>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</si>
  <si>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</si>
  <si>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</si>
  <si>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</si>
  <si>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</si>
  <si>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</si>
  <si>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</si>
  <si>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</si>
  <si>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</si>
  <si>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</si>
  <si>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</si>
  <si>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</si>
  <si>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</si>
  <si>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</si>
  <si>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</si>
  <si>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</si>
  <si>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</si>
  <si>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</si>
  <si>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</si>
  <si>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</si>
  <si>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</si>
  <si>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</si>
  <si>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</si>
  <si>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</si>
  <si>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</si>
  <si>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</si>
  <si>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</si>
  <si>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</si>
  <si>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</si>
  <si>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</si>
  <si>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</si>
  <si>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</si>
  <si>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</si>
  <si>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</si>
  <si>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</si>
  <si>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</si>
  <si>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</si>
  <si>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</si>
  <si>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</si>
  <si>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</si>
  <si>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</si>
  <si>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</si>
  <si>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</si>
  <si>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</si>
  <si>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</si>
  <si>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</si>
  <si>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</si>
  <si>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</si>
  <si>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</si>
  <si>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</si>
  <si>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</si>
  <si>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</si>
  <si>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</si>
  <si>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</si>
  <si>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</si>
  <si>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</si>
  <si>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</si>
  <si>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</si>
  <si>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</si>
  <si>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</si>
  <si>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</si>
  <si>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</si>
  <si>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</si>
  <si>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</si>
  <si>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</si>
  <si>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</si>
  <si>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</si>
  <si>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</si>
  <si>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</si>
  <si>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</si>
  <si>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</si>
  <si>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</si>
  <si>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</si>
  <si>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</si>
  <si>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</si>
  <si>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</si>
  <si>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</si>
  <si>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</si>
  <si>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</si>
  <si>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</si>
  <si>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</si>
  <si>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</si>
  <si>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</si>
  <si>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</si>
  <si>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</si>
  <si>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</si>
  <si>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</si>
  <si>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</si>
  <si>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</si>
  <si>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</si>
  <si>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</si>
  <si>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</si>
  <si>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</si>
  <si>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</si>
  <si>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</si>
  <si>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</si>
  <si>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</si>
  <si>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</si>
  <si>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</si>
  <si>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</si>
  <si>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</si>
  <si>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</si>
  <si>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</si>
  <si>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</si>
  <si>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</si>
  <si>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</si>
  <si>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</si>
  <si>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</si>
  <si>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</si>
  <si>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</si>
  <si>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</si>
  <si>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</si>
  <si>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</si>
  <si>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</si>
  <si>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</si>
  <si>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</si>
  <si>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</si>
  <si>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</si>
  <si>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</si>
  <si>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</si>
  <si>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</si>
  <si>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</si>
  <si>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</si>
  <si>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</si>
  <si>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</si>
  <si>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</si>
  <si>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</si>
  <si>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</si>
  <si>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</si>
  <si>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</si>
  <si>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</si>
  <si>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</si>
  <si>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</si>
  <si>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</si>
  <si>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</si>
  <si>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</si>
  <si>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</si>
  <si>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</si>
  <si>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</si>
  <si>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</si>
  <si>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</si>
  <si>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</si>
  <si>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</si>
  <si>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</si>
  <si>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</si>
  <si>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</si>
  <si>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</si>
  <si>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</si>
  <si>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</si>
  <si>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</si>
  <si>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</si>
  <si>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</si>
  <si>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</si>
  <si>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</si>
  <si>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</si>
  <si>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</si>
  <si>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</si>
  <si>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</si>
  <si>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</si>
  <si>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</si>
  <si>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</si>
  <si>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</si>
  <si>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</si>
  <si>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</si>
  <si>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</si>
  <si>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</si>
  <si>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</si>
  <si>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</si>
  <si>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</si>
  <si>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</si>
  <si>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</si>
  <si>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</si>
  <si>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</si>
  <si>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</si>
  <si>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</si>
  <si>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</si>
  <si>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</si>
  <si>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</si>
  <si>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</si>
  <si>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</si>
  <si>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</si>
  <si>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</si>
  <si>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</si>
  <si>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</si>
  <si>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</si>
  <si>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</si>
  <si>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</si>
  <si>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</si>
  <si>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</si>
  <si>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Industry (Global data)</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</si>
  <si>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</si>
  <si>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</si>
  <si>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</si>
  <si>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</si>
  <si>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</si>
  <si>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</si>
  <si>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</si>
  <si>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</si>
  <si>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</si>
  <si>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</si>
  <si>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</si>
  <si>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</si>
  <si>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</si>
  <si>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</si>
  <si>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</si>
  <si>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</si>
  <si>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</si>
  <si>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</si>
  <si>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</si>
  <si>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</si>
  <si>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</si>
  <si>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</si>
  <si>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</si>
  <si>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</si>
  <si>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</si>
  <si>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</si>
  <si>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</si>
  <si>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</si>
  <si>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</si>
  <si>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</si>
  <si>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</si>
  <si>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</si>
  <si>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</si>
  <si>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</si>
  <si>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</si>
  <si>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</si>
  <si>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</si>
  <si>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</si>
  <si>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</si>
  <si>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</si>
  <si>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</si>
  <si>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</si>
  <si>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</si>
  <si>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</si>
  <si>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</si>
  <si>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</si>
  <si>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</si>
  <si>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</si>
  <si>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</si>
  <si>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</si>
  <si>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</si>
  <si>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</si>
  <si>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</si>
  <si>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</si>
  <si>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</si>
  <si>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</si>
  <si>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</si>
  <si>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</si>
  <si>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</si>
  <si>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</si>
  <si>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</si>
  <si>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</si>
  <si>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</si>
  <si>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</si>
  <si>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</si>
  <si>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</si>
  <si>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</si>
  <si>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</si>
  <si>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</si>
  <si>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</si>
  <si>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</si>
  <si>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Computers/Peripherals</t>
  </si>
  <si>
    <t>Entertainment</t>
  </si>
  <si>
    <t>Telecom. Equipment</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</si>
  <si>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</si>
  <si>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</si>
  <si>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</si>
  <si>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</si>
  <si>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</si>
  <si>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</si>
  <si>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</si>
  <si>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</si>
  <si>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</si>
  <si>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</si>
  <si>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</si>
  <si>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</si>
  <si>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</si>
  <si>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</si>
  <si>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</si>
  <si>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</si>
  <si>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</si>
  <si>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</si>
  <si>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</si>
  <si>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</si>
  <si>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</si>
  <si>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</si>
  <si>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</si>
  <si>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Story</t>
  </si>
  <si>
    <t>The Assumptions</t>
  </si>
  <si>
    <t>Base year</t>
  </si>
  <si>
    <t>Years 6-10</t>
  </si>
  <si>
    <t>Operating Margin</t>
  </si>
  <si>
    <t>The Cash Flows</t>
  </si>
  <si>
    <t>EBIT (1-t)</t>
  </si>
  <si>
    <t>The Value</t>
  </si>
  <si>
    <t>Terminal value</t>
  </si>
  <si>
    <t>PV(Terminal value)</t>
  </si>
  <si>
    <t>Link to story</t>
  </si>
  <si>
    <t>Revenues (a)</t>
  </si>
  <si>
    <t>Operating margin (b)</t>
  </si>
  <si>
    <t>Reinvestment (c )</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</si>
  <si>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</si>
  <si>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</si>
  <si>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</si>
  <si>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</si>
  <si>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</si>
  <si>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</si>
  <si>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</si>
  <si>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</si>
  <si>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</si>
  <si>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</si>
  <si>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</si>
  <si>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</si>
  <si>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</si>
  <si>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</si>
  <si>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</si>
  <si>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</si>
  <si>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</si>
  <si>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</si>
  <si>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</si>
  <si>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</si>
  <si>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</si>
  <si>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</si>
  <si>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</si>
  <si>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</si>
  <si>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</si>
  <si>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</si>
  <si>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</si>
  <si>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</si>
  <si>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</si>
  <si>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</si>
  <si>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</si>
  <si>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</si>
  <si>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</si>
  <si>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</si>
  <si>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</si>
  <si>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</si>
  <si>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</si>
  <si>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Year of convergence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</si>
  <si>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</si>
  <si>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</si>
  <si>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</si>
  <si>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</si>
  <si>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</si>
  <si>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</si>
  <si>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</si>
  <si>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</si>
  <si>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</si>
  <si>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</si>
  <si>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</si>
  <si>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</si>
  <si>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</si>
  <si>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</si>
  <si>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</si>
  <si>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</si>
  <si>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</si>
  <si>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</si>
  <si>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</si>
  <si>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</si>
  <si>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</si>
  <si>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</si>
  <si>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</si>
  <si>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</si>
  <si>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</si>
  <si>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</si>
  <si>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</si>
  <si>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</si>
  <si>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</si>
  <si>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</si>
  <si>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</si>
  <si>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</si>
  <si>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</si>
  <si>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</si>
  <si>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</si>
  <si>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</si>
  <si>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</si>
  <si>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</si>
  <si>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</si>
  <si>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</si>
  <si>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</si>
  <si>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</si>
  <si>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</si>
  <si>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</si>
  <si>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</si>
  <si>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</si>
  <si>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</si>
  <si>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</si>
  <si>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Default Spread</t>
  </si>
  <si>
    <t>Mature Market ERP +</t>
  </si>
  <si>
    <t>CRP</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</si>
  <si>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</si>
  <si>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</si>
  <si>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</si>
  <si>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</si>
  <si>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</si>
  <si>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</si>
  <si>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</si>
  <si>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</si>
  <si>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</si>
  <si>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</si>
  <si>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</si>
  <si>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</si>
  <si>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</si>
  <si>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</si>
  <si>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</si>
  <si>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</si>
  <si>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</si>
  <si>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</si>
  <si>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</si>
  <si>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</si>
  <si>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</si>
  <si>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</si>
  <si>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</si>
  <si>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</si>
  <si>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</si>
  <si>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South Korea</t>
  </si>
  <si>
    <t>Chemical (Basic)</t>
  </si>
  <si>
    <t>Chemical (Specialty)</t>
  </si>
  <si>
    <t>Electronics (General)</t>
  </si>
  <si>
    <t>Metals &amp; Mining</t>
  </si>
  <si>
    <t>Oil/Gas (Production and Exploration)</t>
  </si>
  <si>
    <t>Rating</t>
  </si>
  <si>
    <t>AAA</t>
  </si>
  <si>
    <t>AA</t>
  </si>
  <si>
    <t>A</t>
  </si>
  <si>
    <t>BBB</t>
  </si>
  <si>
    <t>BB</t>
  </si>
  <si>
    <t>CCC/C</t>
  </si>
  <si>
    <t>Cost of capital relatively stable, but failure probability based on Ba1 bond rating</t>
  </si>
  <si>
    <t>Years 2-5</t>
  </si>
  <si>
    <t>Default Probabilities over time (1 - 10 year time horizons)</t>
  </si>
  <si>
    <t>Next year</t>
  </si>
  <si>
    <t>Sales to capital ratio (for years 6-10)</t>
  </si>
  <si>
    <t>Sales to capital ratio (next year)</t>
  </si>
  <si>
    <t>Sales to capital ratio  (for years 2-5) =</t>
  </si>
  <si>
    <t>Though some sectors, even in stable growth, may have higher risk. If you change your risk free rate after year 10 (see cell B57 &amp; 58), you should incorporate the change into your stable cost of capital estimate.</t>
  </si>
  <si>
    <t>SK Innovation</t>
  </si>
  <si>
    <t>Rebound in 2021, Battery growth drives overall company</t>
  </si>
  <si>
    <t>Margins improve from battery business</t>
  </si>
  <si>
    <t>Global/Korean marginal tax rate over time</t>
  </si>
  <si>
    <t>Live off past capacity &amp; investment for near future</t>
  </si>
  <si>
    <t>Competitive advantages in businesses</t>
  </si>
  <si>
    <t xml:space="preserve">SK Innovation is an oil/chemical business that will see its core businsses continue to stagnate/shrink over time, but will see growth from its battery business, feeding into the growth in electric cars. That growth will over time improve margins and give competitive advantages in what will be a large market. </t>
  </si>
  <si>
    <t>Updated January 1, 2022</t>
  </si>
  <si>
    <t>Côte d'Ivoire</t>
  </si>
  <si>
    <t>Curacao</t>
  </si>
  <si>
    <t>Guernsey (States of)</t>
  </si>
  <si>
    <t>Jersey (States of)</t>
  </si>
  <si>
    <t>Korea</t>
  </si>
  <si>
    <t>Maldives</t>
  </si>
  <si>
    <t>Uzbekistan</t>
  </si>
  <si>
    <t>Yemen, Republic</t>
  </si>
  <si>
    <t>Weighted Average: ERP</t>
  </si>
  <si>
    <t>Software (System &amp; Application)</t>
  </si>
  <si>
    <t>Updated on January 2022 with 2022 Industry averages and risk premiums</t>
  </si>
  <si>
    <t>Changing this number will update all your country equity risk premiums.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</si>
</sst>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s>
  <fonts count="77">
    <font>
      <sz val="9"/>
      <name val="Geneva"/>
      <family val="2"/>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b/>
      <sz val="10"/>
      <name val="Helv"/>
    </font>
    <font>
      <sz val="10"/>
      <name val="Helv"/>
    </font>
    <font>
      <b/>
      <i/>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b/>
      <sz val="9"/>
      <name val="Helv"/>
    </font>
    <font>
      <i/>
      <sz val="14"/>
      <name val="Times"/>
      <family val="1"/>
    </font>
    <font>
      <sz val="8"/>
      <name val="Arial"/>
      <family val="2"/>
    </font>
    <font>
      <sz val="10"/>
      <color indexed="81"/>
      <name val="Calibri"/>
      <family val="2"/>
    </font>
    <font>
      <b/>
      <sz val="10"/>
      <color indexed="81"/>
      <name val="Calibri"/>
      <family val="2"/>
    </font>
    <font>
      <i/>
      <sz val="9"/>
      <name val="Helv"/>
    </font>
    <font>
      <sz val="9"/>
      <name val="Calibri"/>
      <family val="2"/>
    </font>
    <font>
      <b/>
      <sz val="12"/>
      <color theme="1"/>
      <name val="Calibri"/>
      <family val="2"/>
      <scheme val="minor"/>
    </font>
    <font>
      <sz val="12"/>
      <color rgb="FFFF0000"/>
      <name val="Calibri"/>
      <family val="2"/>
      <scheme val="minor"/>
    </font>
    <font>
      <i/>
      <sz val="10"/>
      <color rgb="FFFF0000"/>
      <name val="Helv"/>
    </font>
    <font>
      <sz val="12"/>
      <color rgb="FFFF0000"/>
      <name val="Times"/>
      <family val="1"/>
    </font>
    <font>
      <b/>
      <sz val="10"/>
      <color theme="1"/>
      <name val="Helv"/>
    </font>
    <font>
      <sz val="10"/>
      <name val="Calibri"/>
      <family val="2"/>
      <scheme val="minor"/>
    </font>
    <font>
      <i/>
      <sz val="9"/>
      <color rgb="FFFF0000"/>
      <name val="Helv"/>
    </font>
    <font>
      <i/>
      <sz val="12"/>
      <color theme="1"/>
      <name val="Calibri"/>
      <family val="2"/>
      <scheme val="minor"/>
    </font>
    <font>
      <sz val="12"/>
      <name val="Calibri"/>
      <family val="2"/>
      <scheme val="minor"/>
    </font>
    <font>
      <sz val="10"/>
      <color theme="1"/>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sz val="10"/>
      <color rgb="FFFF0000"/>
      <name val="Arial"/>
      <family val="2"/>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i/>
      <sz val="12"/>
      <color rgb="FFFF0000"/>
      <name val="Calibri"/>
      <family val="2"/>
      <scheme val="minor"/>
    </font>
    <font>
      <i/>
      <sz val="12"/>
      <color rgb="FF000000"/>
      <name val="Helvetica"/>
      <family val="2"/>
    </font>
    <font>
      <sz val="10"/>
      <name val="Times Roman"/>
    </font>
    <font>
      <sz val="8"/>
      <color theme="1"/>
      <name val="Arial"/>
      <family val="2"/>
    </font>
    <font>
      <b/>
      <sz val="9"/>
      <color rgb="FF000000"/>
      <name val="Geneva"/>
      <family val="2"/>
      <charset val="1"/>
    </font>
    <font>
      <sz val="9"/>
      <color rgb="FF000000"/>
      <name val="Geneva"/>
      <family val="2"/>
      <charset val="1"/>
    </font>
    <font>
      <b/>
      <sz val="12"/>
      <color rgb="FF0A0A0A"/>
      <name val="Arial"/>
      <family val="2"/>
    </font>
    <font>
      <sz val="12"/>
      <color rgb="FF0A0A0A"/>
      <name val="Arial"/>
      <family val="2"/>
    </font>
    <font>
      <i/>
      <sz val="10"/>
      <color rgb="FF00B050"/>
      <name val="Helv"/>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464">
    <xf numFmtId="0" fontId="0" fillId="0" borderId="0" xfId="0"/>
    <xf numFmtId="0" fontId="0" fillId="0" borderId="1" xfId="0" applyBorder="1"/>
    <xf numFmtId="0" fontId="4" fillId="0" borderId="0" xfId="0" applyFont="1"/>
    <xf numFmtId="10" fontId="0" fillId="0" borderId="1" xfId="0" applyNumberFormat="1" applyBorder="1" applyAlignment="1">
      <alignment horizontal="center"/>
    </xf>
    <xf numFmtId="0" fontId="9" fillId="0" borderId="0" xfId="0" applyFont="1"/>
    <xf numFmtId="0" fontId="10" fillId="0" borderId="0" xfId="0" applyFont="1"/>
    <xf numFmtId="0" fontId="12" fillId="0" borderId="0" xfId="0" applyFont="1"/>
    <xf numFmtId="0" fontId="13" fillId="0" borderId="0" xfId="0" applyFont="1"/>
    <xf numFmtId="0" fontId="14" fillId="0" borderId="0" xfId="0" applyFont="1"/>
    <xf numFmtId="44" fontId="14" fillId="2" borderId="1" xfId="2" applyFont="1" applyFill="1" applyBorder="1"/>
    <xf numFmtId="10" fontId="14" fillId="2" borderId="1" xfId="3" applyNumberFormat="1" applyFont="1" applyFill="1" applyBorder="1"/>
    <xf numFmtId="10" fontId="14" fillId="2" borderId="1" xfId="0" applyNumberFormat="1" applyFont="1" applyFill="1" applyBorder="1"/>
    <xf numFmtId="2" fontId="14" fillId="2" borderId="1" xfId="0" applyNumberFormat="1" applyFont="1" applyFill="1" applyBorder="1"/>
    <xf numFmtId="4" fontId="14" fillId="2" borderId="1" xfId="0" applyNumberFormat="1" applyFont="1" applyFill="1" applyBorder="1"/>
    <xf numFmtId="0" fontId="15" fillId="0" borderId="0" xfId="0" applyFont="1"/>
    <xf numFmtId="0" fontId="16" fillId="0" borderId="0" xfId="0" applyFont="1"/>
    <xf numFmtId="0" fontId="17" fillId="0" borderId="0" xfId="0" applyFont="1"/>
    <xf numFmtId="0" fontId="18" fillId="0" borderId="0" xfId="0" applyFont="1"/>
    <xf numFmtId="0" fontId="18" fillId="0" borderId="1" xfId="0" applyFont="1" applyBorder="1"/>
    <xf numFmtId="0" fontId="14" fillId="0" borderId="1" xfId="0" applyFont="1" applyBorder="1"/>
    <xf numFmtId="10" fontId="18" fillId="0" borderId="0" xfId="0" applyNumberFormat="1" applyFont="1"/>
    <xf numFmtId="3" fontId="14" fillId="0" borderId="1" xfId="0" applyNumberFormat="1" applyFont="1" applyBorder="1"/>
    <xf numFmtId="10" fontId="18" fillId="0" borderId="1" xfId="0" applyNumberFormat="1" applyFont="1" applyBorder="1"/>
    <xf numFmtId="165" fontId="18" fillId="0" borderId="1" xfId="1" applyNumberFormat="1" applyFont="1" applyBorder="1"/>
    <xf numFmtId="10" fontId="14" fillId="0" borderId="1" xfId="0" applyNumberFormat="1" applyFont="1" applyBorder="1"/>
    <xf numFmtId="44" fontId="14" fillId="0" borderId="2" xfId="2" applyFont="1" applyBorder="1"/>
    <xf numFmtId="44" fontId="14" fillId="0" borderId="0" xfId="2" applyFont="1"/>
    <xf numFmtId="8" fontId="14" fillId="0" borderId="2" xfId="0" applyNumberFormat="1" applyFont="1" applyBorder="1"/>
    <xf numFmtId="44" fontId="14" fillId="2" borderId="1" xfId="0" applyNumberFormat="1" applyFont="1" applyFill="1" applyBorder="1"/>
    <xf numFmtId="0" fontId="12" fillId="0" borderId="0" xfId="0" applyFont="1" applyAlignment="1">
      <alignment horizontal="centerContinuous"/>
    </xf>
    <xf numFmtId="0" fontId="14" fillId="0" borderId="1" xfId="0" applyFont="1" applyBorder="1" applyAlignment="1">
      <alignment horizontal="center"/>
    </xf>
    <xf numFmtId="0" fontId="21" fillId="0" borderId="0" xfId="0" applyFont="1"/>
    <xf numFmtId="0" fontId="14" fillId="0" borderId="2" xfId="0" applyFont="1" applyBorder="1"/>
    <xf numFmtId="44" fontId="14" fillId="3" borderId="1" xfId="2" applyFont="1" applyFill="1" applyBorder="1"/>
    <xf numFmtId="44" fontId="14" fillId="0" borderId="0" xfId="2" applyFont="1" applyBorder="1"/>
    <xf numFmtId="0" fontId="14" fillId="2" borderId="1" xfId="0" applyFont="1" applyFill="1" applyBorder="1" applyAlignment="1">
      <alignment horizontal="center"/>
    </xf>
    <xf numFmtId="0" fontId="14" fillId="0" borderId="3" xfId="0" applyFont="1" applyBorder="1"/>
    <xf numFmtId="44" fontId="14" fillId="2" borderId="3" xfId="0" applyNumberFormat="1" applyFont="1" applyFill="1" applyBorder="1"/>
    <xf numFmtId="44" fontId="14" fillId="2" borderId="3" xfId="2" applyFont="1" applyFill="1" applyBorder="1"/>
    <xf numFmtId="0" fontId="14" fillId="2" borderId="2" xfId="0" applyFont="1" applyFill="1" applyBorder="1"/>
    <xf numFmtId="44" fontId="14" fillId="2" borderId="2" xfId="0" applyNumberFormat="1" applyFont="1" applyFill="1" applyBorder="1"/>
    <xf numFmtId="44" fontId="14" fillId="2" borderId="4" xfId="0" applyNumberFormat="1" applyFont="1" applyFill="1" applyBorder="1"/>
    <xf numFmtId="0" fontId="23" fillId="0" borderId="5" xfId="0" applyFont="1" applyBorder="1" applyAlignment="1">
      <alignment horizontal="center"/>
    </xf>
    <xf numFmtId="0" fontId="23" fillId="0" borderId="1" xfId="0" applyFont="1" applyBorder="1" applyAlignment="1">
      <alignment horizontal="center"/>
    </xf>
    <xf numFmtId="0" fontId="24" fillId="0" borderId="1" xfId="0" applyFont="1" applyBorder="1"/>
    <xf numFmtId="0" fontId="24" fillId="0" borderId="0" xfId="0" applyFont="1" applyBorder="1"/>
    <xf numFmtId="0" fontId="24" fillId="0" borderId="0" xfId="0" applyFont="1" applyFill="1" applyBorder="1"/>
    <xf numFmtId="0" fontId="24" fillId="0" borderId="0" xfId="0" applyFont="1"/>
    <xf numFmtId="0" fontId="24" fillId="0" borderId="1" xfId="0" applyFont="1" applyFill="1" applyBorder="1"/>
    <xf numFmtId="0" fontId="25" fillId="0" borderId="1" xfId="0" applyFont="1" applyBorder="1"/>
    <xf numFmtId="0" fontId="24" fillId="0" borderId="1" xfId="0" applyFont="1" applyBorder="1" applyAlignment="1">
      <alignment horizontal="center"/>
    </xf>
    <xf numFmtId="0" fontId="24" fillId="0" borderId="0" xfId="0" applyFont="1" applyBorder="1" applyAlignment="1">
      <alignment horizontal="center"/>
    </xf>
    <xf numFmtId="0" fontId="24" fillId="0" borderId="0" xfId="0" applyFont="1" applyAlignment="1">
      <alignment horizontal="center"/>
    </xf>
    <xf numFmtId="0" fontId="26" fillId="0" borderId="0" xfId="0" applyFont="1"/>
    <xf numFmtId="0" fontId="27" fillId="0" borderId="6" xfId="0" applyFont="1" applyBorder="1"/>
    <xf numFmtId="0" fontId="27" fillId="0" borderId="7" xfId="0" applyFont="1" applyBorder="1"/>
    <xf numFmtId="0" fontId="27" fillId="0" borderId="0" xfId="0" applyFont="1"/>
    <xf numFmtId="0" fontId="26" fillId="0" borderId="0" xfId="0" applyFont="1" applyAlignment="1"/>
    <xf numFmtId="0" fontId="27" fillId="0" borderId="8" xfId="0" applyFont="1" applyBorder="1"/>
    <xf numFmtId="0" fontId="27" fillId="0" borderId="9" xfId="0" applyFont="1" applyBorder="1"/>
    <xf numFmtId="0" fontId="27" fillId="0" borderId="1" xfId="0" applyFont="1" applyFill="1" applyBorder="1"/>
    <xf numFmtId="0" fontId="47" fillId="0" borderId="0" xfId="0" applyFont="1"/>
    <xf numFmtId="0" fontId="27" fillId="0" borderId="0" xfId="0" applyFont="1" applyFill="1" applyBorder="1"/>
    <xf numFmtId="10" fontId="27" fillId="4" borderId="1" xfId="2" applyNumberFormat="1" applyFont="1" applyFill="1" applyBorder="1" applyAlignment="1">
      <alignment horizontal="center"/>
    </xf>
    <xf numFmtId="0" fontId="26" fillId="0" borderId="0" xfId="0" applyFont="1" applyFill="1" applyBorder="1"/>
    <xf numFmtId="44" fontId="27" fillId="0" borderId="0" xfId="2" applyFont="1" applyFill="1" applyBorder="1" applyAlignment="1">
      <alignment horizontal="center"/>
    </xf>
    <xf numFmtId="10" fontId="27" fillId="4" borderId="1" xfId="0" applyNumberFormat="1" applyFont="1" applyFill="1" applyBorder="1" applyAlignment="1">
      <alignment horizontal="center"/>
    </xf>
    <xf numFmtId="2" fontId="27" fillId="4" borderId="1" xfId="0" applyNumberFormat="1" applyFont="1" applyFill="1" applyBorder="1" applyAlignment="1">
      <alignment horizontal="center"/>
    </xf>
    <xf numFmtId="10" fontId="27" fillId="0" borderId="0" xfId="0" applyNumberFormat="1" applyFont="1" applyFill="1" applyBorder="1"/>
    <xf numFmtId="10" fontId="27" fillId="5" borderId="0" xfId="0" applyNumberFormat="1" applyFont="1" applyFill="1" applyBorder="1" applyAlignment="1">
      <alignment horizontal="center"/>
    </xf>
    <xf numFmtId="164" fontId="27" fillId="4" borderId="1" xfId="0" applyNumberFormat="1" applyFont="1" applyFill="1" applyBorder="1" applyAlignment="1">
      <alignment horizontal="center"/>
    </xf>
    <xf numFmtId="10" fontId="27" fillId="0" borderId="0" xfId="0" applyNumberFormat="1" applyFont="1" applyFill="1" applyBorder="1" applyAlignment="1">
      <alignment horizontal="center"/>
    </xf>
    <xf numFmtId="0" fontId="29" fillId="0" borderId="0" xfId="0" applyFont="1" applyFill="1" applyBorder="1" applyAlignment="1"/>
    <xf numFmtId="0" fontId="29" fillId="0" borderId="0" xfId="0" applyFont="1"/>
    <xf numFmtId="0" fontId="27" fillId="0" borderId="0" xfId="0" applyFont="1" applyFill="1" applyBorder="1" applyAlignment="1"/>
    <xf numFmtId="0" fontId="27" fillId="4" borderId="1" xfId="0" applyFont="1" applyFill="1" applyBorder="1" applyAlignment="1">
      <alignment horizontal="center"/>
    </xf>
    <xf numFmtId="9" fontId="27" fillId="4" borderId="1" xfId="0" applyNumberFormat="1" applyFont="1" applyFill="1" applyBorder="1" applyAlignment="1">
      <alignment horizontal="center"/>
    </xf>
    <xf numFmtId="9" fontId="27" fillId="5" borderId="0" xfId="0" applyNumberFormat="1" applyFont="1" applyFill="1" applyBorder="1" applyAlignment="1">
      <alignment horizontal="center"/>
    </xf>
    <xf numFmtId="0" fontId="10" fillId="0" borderId="0" xfId="0" applyFont="1" applyAlignment="1">
      <alignment horizontal="left"/>
    </xf>
    <xf numFmtId="10" fontId="14" fillId="4" borderId="2" xfId="0" applyNumberFormat="1" applyFont="1" applyFill="1" applyBorder="1" applyAlignment="1">
      <alignment horizontal="center"/>
    </xf>
    <xf numFmtId="8" fontId="14" fillId="2" borderId="2" xfId="0" applyNumberFormat="1" applyFont="1" applyFill="1" applyBorder="1"/>
    <xf numFmtId="0" fontId="27" fillId="0" borderId="0" xfId="0" applyFont="1" applyBorder="1"/>
    <xf numFmtId="0" fontId="28" fillId="5" borderId="0" xfId="0" applyFont="1" applyFill="1" applyBorder="1" applyAlignment="1"/>
    <xf numFmtId="0" fontId="29" fillId="5" borderId="0" xfId="0" applyFont="1" applyFill="1" applyBorder="1" applyAlignment="1"/>
    <xf numFmtId="44" fontId="27" fillId="4" borderId="1" xfId="2" applyFont="1" applyFill="1" applyBorder="1" applyAlignment="1">
      <alignment horizontal="center"/>
    </xf>
    <xf numFmtId="0" fontId="26" fillId="0" borderId="10" xfId="0" applyFont="1" applyBorder="1"/>
    <xf numFmtId="0" fontId="27" fillId="0" borderId="11" xfId="0" applyFont="1" applyBorder="1"/>
    <xf numFmtId="0" fontId="27" fillId="0" borderId="12" xfId="0" applyFont="1" applyBorder="1"/>
    <xf numFmtId="0" fontId="24" fillId="6" borderId="1" xfId="0" applyFont="1" applyFill="1" applyBorder="1"/>
    <xf numFmtId="10" fontId="24" fillId="6" borderId="1" xfId="3" applyNumberFormat="1" applyFont="1" applyFill="1" applyBorder="1" applyAlignment="1">
      <alignment horizontal="center"/>
    </xf>
    <xf numFmtId="10" fontId="24" fillId="6" borderId="1" xfId="0" applyNumberFormat="1" applyFont="1" applyFill="1" applyBorder="1" applyAlignment="1">
      <alignment horizontal="center"/>
    </xf>
    <xf numFmtId="44" fontId="24" fillId="6" borderId="1" xfId="2" applyFont="1" applyFill="1" applyBorder="1"/>
    <xf numFmtId="44" fontId="24" fillId="6" borderId="1" xfId="2" applyFont="1" applyFill="1" applyBorder="1" applyAlignment="1">
      <alignment horizontal="center"/>
    </xf>
    <xf numFmtId="10" fontId="24" fillId="6" borderId="1" xfId="3" applyNumberFormat="1" applyFont="1" applyFill="1" applyBorder="1"/>
    <xf numFmtId="10" fontId="24" fillId="6" borderId="1" xfId="2" applyNumberFormat="1" applyFont="1" applyFill="1" applyBorder="1"/>
    <xf numFmtId="10" fontId="24" fillId="6" borderId="1" xfId="2" applyNumberFormat="1" applyFont="1" applyFill="1" applyBorder="1" applyAlignment="1">
      <alignment horizontal="center"/>
    </xf>
    <xf numFmtId="44" fontId="24" fillId="6" borderId="1" xfId="0" applyNumberFormat="1" applyFont="1" applyFill="1" applyBorder="1" applyAlignment="1">
      <alignment horizontal="center"/>
    </xf>
    <xf numFmtId="0" fontId="24" fillId="6" borderId="1" xfId="0" applyFont="1" applyFill="1" applyBorder="1" applyAlignment="1">
      <alignment horizontal="center"/>
    </xf>
    <xf numFmtId="44" fontId="24" fillId="6" borderId="1" xfId="0" applyNumberFormat="1" applyFont="1" applyFill="1" applyBorder="1"/>
    <xf numFmtId="10" fontId="24" fillId="6" borderId="1" xfId="0" applyNumberFormat="1" applyFont="1" applyFill="1" applyBorder="1"/>
    <xf numFmtId="164" fontId="24" fillId="6" borderId="1" xfId="0" applyNumberFormat="1" applyFont="1" applyFill="1" applyBorder="1"/>
    <xf numFmtId="8" fontId="24" fillId="6" borderId="1" xfId="0" applyNumberFormat="1" applyFont="1" applyFill="1" applyBorder="1"/>
    <xf numFmtId="43" fontId="24" fillId="6" borderId="1" xfId="1" applyNumberFormat="1" applyFont="1" applyFill="1" applyBorder="1"/>
    <xf numFmtId="44" fontId="48" fillId="6" borderId="1" xfId="2" applyNumberFormat="1" applyFont="1" applyFill="1" applyBorder="1"/>
    <xf numFmtId="44" fontId="24" fillId="6" borderId="1" xfId="2" applyNumberFormat="1" applyFont="1" applyFill="1" applyBorder="1"/>
    <xf numFmtId="2" fontId="24" fillId="6" borderId="1" xfId="0" applyNumberFormat="1" applyFont="1" applyFill="1" applyBorder="1" applyAlignment="1">
      <alignment horizontal="center"/>
    </xf>
    <xf numFmtId="168" fontId="24" fillId="6" borderId="1" xfId="0" applyNumberFormat="1" applyFont="1" applyFill="1" applyBorder="1"/>
    <xf numFmtId="168" fontId="24" fillId="6" borderId="1" xfId="0" applyNumberFormat="1" applyFont="1" applyFill="1" applyBorder="1" applyAlignment="1">
      <alignment horizontal="center"/>
    </xf>
    <xf numFmtId="44" fontId="24" fillId="7" borderId="1" xfId="2" applyFont="1" applyFill="1" applyBorder="1" applyAlignment="1">
      <alignment horizontal="center"/>
    </xf>
    <xf numFmtId="10" fontId="24" fillId="7" borderId="1" xfId="3" applyNumberFormat="1" applyFont="1" applyFill="1" applyBorder="1" applyAlignment="1">
      <alignment horizontal="center"/>
    </xf>
    <xf numFmtId="44" fontId="0" fillId="7" borderId="1" xfId="0" applyNumberFormat="1" applyFill="1" applyBorder="1"/>
    <xf numFmtId="0" fontId="30" fillId="0" borderId="0" xfId="0" applyFont="1"/>
    <xf numFmtId="0" fontId="18" fillId="0" borderId="0" xfId="0" applyFont="1" applyBorder="1"/>
    <xf numFmtId="0" fontId="14" fillId="0" borderId="0" xfId="0" applyFont="1" applyBorder="1"/>
    <xf numFmtId="0" fontId="14" fillId="3" borderId="1" xfId="0" applyFont="1" applyFill="1" applyBorder="1"/>
    <xf numFmtId="0" fontId="14" fillId="0" borderId="0" xfId="0" applyFont="1" applyFill="1"/>
    <xf numFmtId="0" fontId="14" fillId="0" borderId="0" xfId="0" applyFont="1" applyFill="1" applyBorder="1"/>
    <xf numFmtId="0" fontId="16" fillId="0" borderId="0" xfId="0" applyFont="1" applyAlignment="1">
      <alignment horizontal="center"/>
    </xf>
    <xf numFmtId="0" fontId="16" fillId="0" borderId="1" xfId="0" applyFont="1" applyBorder="1" applyAlignment="1">
      <alignment horizontal="center"/>
    </xf>
    <xf numFmtId="2" fontId="14" fillId="6" borderId="1" xfId="0" applyNumberFormat="1" applyFont="1" applyFill="1" applyBorder="1"/>
    <xf numFmtId="44" fontId="14" fillId="6" borderId="1" xfId="0" applyNumberFormat="1" applyFont="1" applyFill="1" applyBorder="1"/>
    <xf numFmtId="44" fontId="14" fillId="6" borderId="1" xfId="2" applyFont="1" applyFill="1" applyBorder="1"/>
    <xf numFmtId="10" fontId="14" fillId="6" borderId="1" xfId="3" applyNumberFormat="1" applyFont="1" applyFill="1" applyBorder="1"/>
    <xf numFmtId="10" fontId="14" fillId="6" borderId="3" xfId="0" applyNumberFormat="1" applyFont="1" applyFill="1" applyBorder="1"/>
    <xf numFmtId="10" fontId="14" fillId="6" borderId="1" xfId="0" applyNumberFormat="1" applyFont="1" applyFill="1" applyBorder="1"/>
    <xf numFmtId="10" fontId="14" fillId="6" borderId="13" xfId="3" applyNumberFormat="1" applyFont="1" applyFill="1" applyBorder="1"/>
    <xf numFmtId="10" fontId="14" fillId="6" borderId="2" xfId="3" applyNumberFormat="1" applyFont="1" applyFill="1" applyBorder="1"/>
    <xf numFmtId="2" fontId="14" fillId="6" borderId="1" xfId="2" applyNumberFormat="1" applyFont="1" applyFill="1" applyBorder="1"/>
    <xf numFmtId="0" fontId="31" fillId="0" borderId="0" xfId="0" applyFont="1"/>
    <xf numFmtId="0" fontId="32" fillId="0" borderId="0" xfId="0" applyFont="1"/>
    <xf numFmtId="0" fontId="22" fillId="0" borderId="0" xfId="0" applyFont="1"/>
    <xf numFmtId="0" fontId="14" fillId="3" borderId="1" xfId="0" applyFont="1" applyFill="1" applyBorder="1" applyAlignment="1">
      <alignment horizontal="center"/>
    </xf>
    <xf numFmtId="10" fontId="18" fillId="0" borderId="0" xfId="0" applyNumberFormat="1" applyFont="1" applyBorder="1" applyAlignment="1">
      <alignment horizontal="center"/>
    </xf>
    <xf numFmtId="10" fontId="15" fillId="0" borderId="0" xfId="0" applyNumberFormat="1" applyFont="1" applyBorder="1" applyAlignment="1">
      <alignment horizontal="center"/>
    </xf>
    <xf numFmtId="0" fontId="16" fillId="0" borderId="1" xfId="0" applyFont="1" applyBorder="1" applyAlignment="1">
      <alignment horizontal="centerContinuous"/>
    </xf>
    <xf numFmtId="0" fontId="16" fillId="0" borderId="1" xfId="0" applyFont="1" applyBorder="1"/>
    <xf numFmtId="2" fontId="14" fillId="0" borderId="1" xfId="0" applyNumberFormat="1" applyFont="1" applyBorder="1" applyAlignment="1">
      <alignment horizontal="center"/>
    </xf>
    <xf numFmtId="0" fontId="14" fillId="0" borderId="1" xfId="0" applyFont="1" applyBorder="1" applyAlignment="1">
      <alignment horizontal="centerContinuous"/>
    </xf>
    <xf numFmtId="10" fontId="14" fillId="6" borderId="2" xfId="0" applyNumberFormat="1" applyFont="1" applyFill="1" applyBorder="1"/>
    <xf numFmtId="2" fontId="18" fillId="6" borderId="2" xfId="0" applyNumberFormat="1" applyFont="1" applyFill="1" applyBorder="1" applyAlignment="1">
      <alignment horizontal="center"/>
    </xf>
    <xf numFmtId="0" fontId="33" fillId="6" borderId="4" xfId="0" applyFont="1" applyFill="1" applyBorder="1" applyAlignment="1">
      <alignment horizontal="center"/>
    </xf>
    <xf numFmtId="10" fontId="18" fillId="6" borderId="2" xfId="3" applyNumberFormat="1" applyFont="1" applyFill="1" applyBorder="1" applyAlignment="1">
      <alignment horizontal="center"/>
    </xf>
    <xf numFmtId="10" fontId="18" fillId="6" borderId="2" xfId="0" applyNumberFormat="1" applyFont="1" applyFill="1" applyBorder="1" applyAlignment="1">
      <alignment horizontal="center"/>
    </xf>
    <xf numFmtId="0" fontId="35" fillId="0" borderId="0" xfId="0" applyFont="1"/>
    <xf numFmtId="0" fontId="9" fillId="5" borderId="0" xfId="0" applyFont="1" applyFill="1"/>
    <xf numFmtId="0" fontId="34" fillId="6" borderId="1" xfId="0" applyFont="1" applyFill="1" applyBorder="1"/>
    <xf numFmtId="0" fontId="35" fillId="6" borderId="1" xfId="0" applyFont="1" applyFill="1" applyBorder="1"/>
    <xf numFmtId="44" fontId="35" fillId="6" borderId="1" xfId="2" applyFont="1" applyFill="1" applyBorder="1"/>
    <xf numFmtId="10" fontId="35" fillId="6" borderId="1" xfId="0" applyNumberFormat="1" applyFont="1" applyFill="1" applyBorder="1"/>
    <xf numFmtId="0" fontId="35" fillId="6" borderId="3" xfId="0" applyFont="1" applyFill="1" applyBorder="1"/>
    <xf numFmtId="10" fontId="35" fillId="6" borderId="3" xfId="0" applyNumberFormat="1" applyFont="1" applyFill="1" applyBorder="1" applyAlignment="1">
      <alignment horizontal="right"/>
    </xf>
    <xf numFmtId="0" fontId="35" fillId="0" borderId="10" xfId="0" applyFont="1" applyBorder="1"/>
    <xf numFmtId="169" fontId="24" fillId="6" borderId="1" xfId="0" applyNumberFormat="1" applyFont="1" applyFill="1" applyBorder="1" applyAlignment="1">
      <alignment horizontal="center"/>
    </xf>
    <xf numFmtId="0" fontId="24" fillId="0" borderId="0" xfId="0" applyFont="1" applyBorder="1" applyAlignment="1">
      <alignment horizontal="left"/>
    </xf>
    <xf numFmtId="0" fontId="26" fillId="0" borderId="11" xfId="0" applyFont="1" applyBorder="1"/>
    <xf numFmtId="0" fontId="27" fillId="0" borderId="0" xfId="0" applyFont="1" applyAlignment="1"/>
    <xf numFmtId="0" fontId="27" fillId="4" borderId="1" xfId="0" applyFont="1" applyFill="1" applyBorder="1" applyAlignment="1"/>
    <xf numFmtId="2" fontId="27" fillId="4" borderId="14" xfId="2" applyNumberFormat="1" applyFont="1" applyFill="1" applyBorder="1" applyAlignment="1">
      <alignment horizontal="center"/>
    </xf>
    <xf numFmtId="10" fontId="27" fillId="4" borderId="1" xfId="0" applyNumberFormat="1" applyFont="1" applyFill="1" applyBorder="1" applyAlignment="1">
      <alignment horizontal="center"/>
    </xf>
    <xf numFmtId="0" fontId="27" fillId="0" borderId="1" xfId="0" applyFont="1" applyBorder="1"/>
    <xf numFmtId="0" fontId="0" fillId="0" borderId="1" xfId="0" applyBorder="1" applyAlignment="1">
      <alignment horizontal="center"/>
    </xf>
    <xf numFmtId="0" fontId="14" fillId="4" borderId="1" xfId="0" applyFont="1" applyFill="1" applyBorder="1"/>
    <xf numFmtId="0" fontId="14" fillId="6" borderId="1" xfId="0" applyFont="1" applyFill="1" applyBorder="1"/>
    <xf numFmtId="0" fontId="15" fillId="0" borderId="1" xfId="0" applyFont="1" applyBorder="1"/>
    <xf numFmtId="167" fontId="14" fillId="6" borderId="1" xfId="3" applyNumberFormat="1" applyFont="1" applyFill="1" applyBorder="1"/>
    <xf numFmtId="167" fontId="14" fillId="6" borderId="1" xfId="0" applyNumberFormat="1" applyFont="1" applyFill="1" applyBorder="1"/>
    <xf numFmtId="2" fontId="14" fillId="3" borderId="1" xfId="0" applyNumberFormat="1" applyFont="1" applyFill="1" applyBorder="1"/>
    <xf numFmtId="10" fontId="27" fillId="5" borderId="0" xfId="3" applyNumberFormat="1" applyFont="1" applyFill="1" applyBorder="1"/>
    <xf numFmtId="0" fontId="27" fillId="0" borderId="15" xfId="0" applyFont="1" applyBorder="1"/>
    <xf numFmtId="0" fontId="9" fillId="0" borderId="16" xfId="0" applyFont="1" applyBorder="1"/>
    <xf numFmtId="0" fontId="9" fillId="0" borderId="17" xfId="0" applyFont="1" applyBorder="1"/>
    <xf numFmtId="0" fontId="26" fillId="0" borderId="0" xfId="0" applyFont="1" applyBorder="1"/>
    <xf numFmtId="0" fontId="14" fillId="4" borderId="1" xfId="0" applyFont="1" applyFill="1" applyBorder="1"/>
    <xf numFmtId="171" fontId="14" fillId="4" borderId="1" xfId="2" applyNumberFormat="1" applyFont="1" applyFill="1" applyBorder="1"/>
    <xf numFmtId="169" fontId="14" fillId="6" borderId="1" xfId="0" applyNumberFormat="1" applyFont="1" applyFill="1" applyBorder="1"/>
    <xf numFmtId="171" fontId="14" fillId="6" borderId="1" xfId="0" applyNumberFormat="1" applyFont="1" applyFill="1" applyBorder="1"/>
    <xf numFmtId="0" fontId="0" fillId="6" borderId="1" xfId="0" applyFill="1" applyBorder="1"/>
    <xf numFmtId="171" fontId="5"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36" fillId="0" borderId="1" xfId="0" applyNumberFormat="1" applyFont="1" applyBorder="1" applyAlignment="1">
      <alignment horizontal="center"/>
    </xf>
    <xf numFmtId="2" fontId="36" fillId="0" borderId="0" xfId="0" applyNumberFormat="1" applyFont="1"/>
    <xf numFmtId="2" fontId="14" fillId="0" borderId="0" xfId="0" applyNumberFormat="1" applyFont="1"/>
    <xf numFmtId="1" fontId="36" fillId="0" borderId="1" xfId="0" applyNumberFormat="1" applyFont="1" applyBorder="1" applyAlignment="1">
      <alignment horizontal="center"/>
    </xf>
    <xf numFmtId="2" fontId="36" fillId="3" borderId="1" xfId="0" applyNumberFormat="1" applyFont="1" applyFill="1" applyBorder="1" applyAlignment="1">
      <alignment horizontal="center"/>
    </xf>
    <xf numFmtId="2" fontId="37" fillId="0" borderId="0" xfId="0" applyNumberFormat="1" applyFont="1"/>
    <xf numFmtId="2" fontId="36" fillId="0" borderId="13" xfId="0" applyNumberFormat="1" applyFont="1" applyBorder="1" applyAlignment="1">
      <alignment horizontal="centerContinuous"/>
    </xf>
    <xf numFmtId="2" fontId="36" fillId="0" borderId="18" xfId="0" applyNumberFormat="1" applyFont="1" applyBorder="1" applyAlignment="1">
      <alignment horizontal="centerContinuous"/>
    </xf>
    <xf numFmtId="44" fontId="36" fillId="0" borderId="1" xfId="2" applyFont="1" applyBorder="1"/>
    <xf numFmtId="2" fontId="36" fillId="0" borderId="3" xfId="0" applyNumberFormat="1" applyFont="1" applyBorder="1" applyAlignment="1">
      <alignment horizontal="center"/>
    </xf>
    <xf numFmtId="44" fontId="36" fillId="0" borderId="3" xfId="2" applyFont="1" applyBorder="1"/>
    <xf numFmtId="164" fontId="14" fillId="0" borderId="19" xfId="0" applyNumberFormat="1" applyFont="1" applyBorder="1"/>
    <xf numFmtId="6" fontId="14" fillId="0" borderId="1" xfId="2" applyNumberFormat="1" applyFont="1" applyBorder="1"/>
    <xf numFmtId="44" fontId="27" fillId="8" borderId="18" xfId="0" applyNumberFormat="1" applyFont="1" applyFill="1" applyBorder="1" applyAlignment="1">
      <alignment horizontal="center"/>
    </xf>
    <xf numFmtId="44" fontId="47" fillId="9" borderId="18" xfId="0" applyNumberFormat="1" applyFont="1" applyFill="1" applyBorder="1" applyAlignment="1">
      <alignment horizontal="left"/>
    </xf>
    <xf numFmtId="0" fontId="0" fillId="0" borderId="1" xfId="0" applyFill="1" applyBorder="1" applyAlignment="1">
      <alignment horizontal="center"/>
    </xf>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14" fillId="6" borderId="2" xfId="0" applyNumberFormat="1" applyFont="1" applyFill="1" applyBorder="1"/>
    <xf numFmtId="0" fontId="29" fillId="0" borderId="11" xfId="0" applyFont="1" applyBorder="1"/>
    <xf numFmtId="0" fontId="38" fillId="0" borderId="0" xfId="0" applyFont="1"/>
    <xf numFmtId="0" fontId="27" fillId="0" borderId="20" xfId="0" applyFont="1" applyBorder="1"/>
    <xf numFmtId="0" fontId="27" fillId="0" borderId="21" xfId="0" applyFont="1" applyBorder="1"/>
    <xf numFmtId="0" fontId="18" fillId="5" borderId="22" xfId="0" applyFont="1" applyFill="1" applyBorder="1" applyAlignment="1">
      <alignment vertical="center" wrapText="1"/>
    </xf>
    <xf numFmtId="0" fontId="15" fillId="5" borderId="14"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14" fillId="6" borderId="24" xfId="0" applyFont="1" applyFill="1" applyBorder="1" applyAlignment="1">
      <alignment horizontal="left" vertical="center" wrapText="1"/>
    </xf>
    <xf numFmtId="9" fontId="14" fillId="6" borderId="1" xfId="3" applyFont="1" applyFill="1" applyBorder="1" applyAlignment="1">
      <alignment horizontal="left" vertical="center" wrapText="1"/>
    </xf>
    <xf numFmtId="0" fontId="14" fillId="6" borderId="24" xfId="0" applyFont="1" applyFill="1" applyBorder="1" applyAlignment="1">
      <alignment horizontal="left" vertical="center"/>
    </xf>
    <xf numFmtId="0" fontId="14" fillId="6" borderId="1" xfId="0" applyFont="1" applyFill="1" applyBorder="1" applyAlignment="1">
      <alignment horizontal="left"/>
    </xf>
    <xf numFmtId="0" fontId="14" fillId="6" borderId="24" xfId="0" applyFont="1" applyFill="1" applyBorder="1" applyAlignment="1">
      <alignment horizontal="left"/>
    </xf>
    <xf numFmtId="10" fontId="14" fillId="6" borderId="25" xfId="3" applyNumberFormat="1" applyFont="1" applyFill="1" applyBorder="1" applyAlignment="1">
      <alignment horizontal="left"/>
    </xf>
    <xf numFmtId="0" fontId="14" fillId="6" borderId="26" xfId="0" applyFont="1" applyFill="1" applyBorder="1" applyAlignment="1">
      <alignment horizontal="left"/>
    </xf>
    <xf numFmtId="0" fontId="14" fillId="5" borderId="22" xfId="0" applyFont="1" applyFill="1" applyBorder="1" applyAlignment="1">
      <alignment vertical="center"/>
    </xf>
    <xf numFmtId="0" fontId="14" fillId="5" borderId="27" xfId="0" applyFont="1" applyFill="1" applyBorder="1"/>
    <xf numFmtId="0" fontId="14" fillId="5" borderId="28" xfId="0" applyFont="1" applyFill="1" applyBorder="1"/>
    <xf numFmtId="0" fontId="29" fillId="0" borderId="0" xfId="0" applyFont="1" applyFill="1" applyBorder="1"/>
    <xf numFmtId="164" fontId="4" fillId="0" borderId="0" xfId="0" applyNumberFormat="1" applyFont="1" applyAlignment="1">
      <alignment horizontal="center"/>
    </xf>
    <xf numFmtId="164" fontId="4" fillId="0" borderId="0" xfId="0" applyNumberFormat="1" applyFont="1"/>
    <xf numFmtId="17" fontId="26" fillId="4" borderId="1" xfId="0" applyNumberFormat="1" applyFont="1" applyFill="1" applyBorder="1" applyAlignment="1">
      <alignment horizontal="center"/>
    </xf>
    <xf numFmtId="0" fontId="49" fillId="4" borderId="1" xfId="0" applyFont="1" applyFill="1" applyBorder="1" applyAlignment="1">
      <alignment horizontal="center"/>
    </xf>
    <xf numFmtId="0" fontId="14" fillId="4" borderId="1" xfId="0" applyFont="1" applyFill="1" applyBorder="1"/>
    <xf numFmtId="10" fontId="14" fillId="4" borderId="1" xfId="0" applyNumberFormat="1" applyFont="1" applyFill="1" applyBorder="1" applyAlignment="1">
      <alignment horizontal="center"/>
    </xf>
    <xf numFmtId="0" fontId="27" fillId="4" borderId="1" xfId="0" applyFont="1" applyFill="1" applyBorder="1" applyAlignment="1"/>
    <xf numFmtId="10" fontId="14" fillId="6" borderId="1" xfId="0" applyNumberFormat="1" applyFont="1" applyFill="1" applyBorder="1" applyAlignment="1">
      <alignment horizontal="center"/>
    </xf>
    <xf numFmtId="166" fontId="14" fillId="3" borderId="1" xfId="0" applyNumberFormat="1" applyFont="1" applyFill="1" applyBorder="1"/>
    <xf numFmtId="0" fontId="50" fillId="0" borderId="1" xfId="0" applyFont="1" applyBorder="1" applyAlignment="1">
      <alignment horizontal="center"/>
    </xf>
    <xf numFmtId="9" fontId="14" fillId="6" borderId="1" xfId="0" applyNumberFormat="1" applyFont="1" applyFill="1" applyBorder="1" applyAlignment="1">
      <alignment horizontal="center"/>
    </xf>
    <xf numFmtId="0" fontId="14" fillId="6" borderId="2" xfId="0" applyFont="1" applyFill="1" applyBorder="1" applyAlignment="1">
      <alignment horizontal="center"/>
    </xf>
    <xf numFmtId="0" fontId="39" fillId="0" borderId="0" xfId="0" applyFont="1"/>
    <xf numFmtId="2" fontId="14" fillId="4" borderId="1" xfId="0" applyNumberFormat="1" applyFont="1" applyFill="1" applyBorder="1"/>
    <xf numFmtId="0" fontId="30" fillId="0" borderId="0" xfId="0" applyFont="1" applyFill="1" applyBorder="1" applyAlignment="1">
      <alignment horizontal="left"/>
    </xf>
    <xf numFmtId="164" fontId="0" fillId="6" borderId="1" xfId="0" applyNumberFormat="1" applyFill="1" applyBorder="1"/>
    <xf numFmtId="0" fontId="4" fillId="0" borderId="1" xfId="0" applyFont="1" applyBorder="1" applyAlignment="1">
      <alignment horizontal="center" wrapText="1"/>
    </xf>
    <xf numFmtId="0" fontId="15" fillId="5" borderId="0" xfId="0" applyFont="1" applyFill="1" applyBorder="1"/>
    <xf numFmtId="0" fontId="39" fillId="5" borderId="0" xfId="0" applyFont="1" applyFill="1" applyBorder="1"/>
    <xf numFmtId="0" fontId="27" fillId="4" borderId="1" xfId="0" applyFont="1" applyFill="1" applyBorder="1"/>
    <xf numFmtId="0" fontId="29" fillId="0" borderId="1" xfId="0" applyFont="1" applyBorder="1"/>
    <xf numFmtId="0" fontId="27" fillId="0" borderId="11" xfId="0" applyFont="1" applyFill="1" applyBorder="1"/>
    <xf numFmtId="0" fontId="29" fillId="0" borderId="8" xfId="0" applyFont="1" applyBorder="1"/>
    <xf numFmtId="0" fontId="27" fillId="0" borderId="29" xfId="0" applyFont="1" applyBorder="1"/>
    <xf numFmtId="0" fontId="43" fillId="0" borderId="0" xfId="0" applyFont="1"/>
    <xf numFmtId="0" fontId="9" fillId="4" borderId="1" xfId="0" applyFont="1" applyFill="1" applyBorder="1" applyAlignment="1">
      <alignment horizontal="center"/>
    </xf>
    <xf numFmtId="9" fontId="9" fillId="4" borderId="1" xfId="0" applyNumberFormat="1" applyFont="1" applyFill="1" applyBorder="1" applyAlignment="1">
      <alignment horizontal="center"/>
    </xf>
    <xf numFmtId="0" fontId="4" fillId="0" borderId="1" xfId="0" applyFont="1" applyBorder="1"/>
    <xf numFmtId="10" fontId="27" fillId="4" borderId="1" xfId="3" applyNumberFormat="1" applyFont="1" applyFill="1" applyBorder="1" applyAlignment="1">
      <alignment horizontal="center"/>
    </xf>
    <xf numFmtId="164" fontId="27" fillId="0" borderId="0" xfId="0" applyNumberFormat="1" applyFont="1" applyFill="1" applyBorder="1" applyAlignment="1">
      <alignment horizontal="center"/>
    </xf>
    <xf numFmtId="2" fontId="27" fillId="0" borderId="0" xfId="0" applyNumberFormat="1" applyFont="1" applyFill="1" applyBorder="1" applyAlignment="1">
      <alignment horizontal="center"/>
    </xf>
    <xf numFmtId="168" fontId="27" fillId="10" borderId="1" xfId="0" applyNumberFormat="1" applyFont="1" applyFill="1" applyBorder="1"/>
    <xf numFmtId="10" fontId="27" fillId="10" borderId="1" xfId="0" applyNumberFormat="1" applyFont="1" applyFill="1" applyBorder="1"/>
    <xf numFmtId="10" fontId="27" fillId="10" borderId="1" xfId="3" applyNumberFormat="1" applyFont="1" applyFill="1" applyBorder="1"/>
    <xf numFmtId="2" fontId="27" fillId="10" borderId="1" xfId="0" applyNumberFormat="1" applyFont="1" applyFill="1" applyBorder="1"/>
    <xf numFmtId="10" fontId="27" fillId="10" borderId="3" xfId="3" applyNumberFormat="1" applyFont="1" applyFill="1" applyBorder="1"/>
    <xf numFmtId="10" fontId="27" fillId="10" borderId="25" xfId="3" applyNumberFormat="1" applyFont="1" applyFill="1" applyBorder="1"/>
    <xf numFmtId="0" fontId="9" fillId="0" borderId="1" xfId="0" applyFont="1" applyBorder="1"/>
    <xf numFmtId="0" fontId="51" fillId="0" borderId="0" xfId="0" applyFont="1"/>
    <xf numFmtId="0" fontId="52" fillId="0" borderId="31" xfId="0" applyFont="1" applyBorder="1" applyAlignment="1">
      <alignment horizontal="center"/>
    </xf>
    <xf numFmtId="0" fontId="52" fillId="0" borderId="14" xfId="0" applyFont="1" applyBorder="1" applyAlignment="1">
      <alignment horizontal="center"/>
    </xf>
    <xf numFmtId="16" fontId="52" fillId="0" borderId="14" xfId="0" applyNumberFormat="1" applyFont="1" applyBorder="1" applyAlignment="1">
      <alignment horizontal="center"/>
    </xf>
    <xf numFmtId="0" fontId="52" fillId="0" borderId="32" xfId="0" applyFont="1" applyFill="1" applyBorder="1" applyAlignment="1">
      <alignment horizontal="center"/>
    </xf>
    <xf numFmtId="0" fontId="53" fillId="0" borderId="35" xfId="0" applyFont="1" applyBorder="1"/>
    <xf numFmtId="0" fontId="53" fillId="0" borderId="36" xfId="0" applyFont="1" applyBorder="1"/>
    <xf numFmtId="10" fontId="53" fillId="0" borderId="1" xfId="0" applyNumberFormat="1" applyFont="1" applyBorder="1" applyAlignment="1">
      <alignment horizontal="center"/>
    </xf>
    <xf numFmtId="0" fontId="53" fillId="0" borderId="1" xfId="0" applyFont="1" applyBorder="1" applyAlignment="1">
      <alignment horizontal="center"/>
    </xf>
    <xf numFmtId="10" fontId="53" fillId="0" borderId="18" xfId="3" applyNumberFormat="1" applyFont="1" applyBorder="1" applyAlignment="1">
      <alignment horizontal="center"/>
    </xf>
    <xf numFmtId="0" fontId="53" fillId="0" borderId="37" xfId="0" applyFont="1" applyFill="1" applyBorder="1"/>
    <xf numFmtId="10" fontId="53" fillId="0" borderId="25" xfId="0" applyNumberFormat="1" applyFont="1" applyBorder="1" applyAlignment="1">
      <alignment horizontal="center"/>
    </xf>
    <xf numFmtId="0" fontId="53" fillId="0" borderId="36" xfId="0" applyFont="1" applyBorder="1" applyAlignment="1">
      <alignment horizontal="center"/>
    </xf>
    <xf numFmtId="10" fontId="53" fillId="0" borderId="1" xfId="3" applyNumberFormat="1" applyFont="1" applyBorder="1" applyAlignment="1">
      <alignment horizontal="center"/>
    </xf>
    <xf numFmtId="0" fontId="53" fillId="0" borderId="37" xfId="0" applyFont="1" applyBorder="1" applyAlignment="1">
      <alignment horizontal="center"/>
    </xf>
    <xf numFmtId="10" fontId="53" fillId="0" borderId="25" xfId="3" applyNumberFormat="1" applyFont="1" applyBorder="1" applyAlignment="1">
      <alignment horizontal="center"/>
    </xf>
    <xf numFmtId="168" fontId="53" fillId="0" borderId="6" xfId="2" applyNumberFormat="1" applyFont="1" applyFill="1" applyBorder="1"/>
    <xf numFmtId="0" fontId="53" fillId="0" borderId="6" xfId="0" applyFont="1" applyBorder="1"/>
    <xf numFmtId="0" fontId="53" fillId="0" borderId="7" xfId="0" applyFont="1" applyBorder="1"/>
    <xf numFmtId="168" fontId="53" fillId="0" borderId="0" xfId="2" applyNumberFormat="1" applyFont="1" applyFill="1" applyBorder="1"/>
    <xf numFmtId="0" fontId="53" fillId="0" borderId="0" xfId="0" applyFont="1" applyBorder="1"/>
    <xf numFmtId="0" fontId="53" fillId="0" borderId="12" xfId="0" applyFont="1" applyBorder="1"/>
    <xf numFmtId="0" fontId="53" fillId="0" borderId="0" xfId="0" applyFont="1" applyBorder="1" applyAlignment="1">
      <alignment horizontal="left"/>
    </xf>
    <xf numFmtId="0" fontId="53" fillId="0" borderId="0" xfId="0" applyFont="1"/>
    <xf numFmtId="0" fontId="53" fillId="0" borderId="0" xfId="0" applyFont="1" applyAlignment="1">
      <alignment horizontal="left"/>
    </xf>
    <xf numFmtId="43" fontId="53" fillId="0" borderId="1" xfId="0" applyNumberFormat="1" applyFont="1" applyBorder="1"/>
    <xf numFmtId="0" fontId="53" fillId="0" borderId="5" xfId="0" applyFont="1" applyBorder="1"/>
    <xf numFmtId="0" fontId="53" fillId="0" borderId="39" xfId="0" applyFont="1" applyBorder="1"/>
    <xf numFmtId="10" fontId="53" fillId="0" borderId="17" xfId="3" applyNumberFormat="1" applyFont="1" applyBorder="1" applyAlignment="1">
      <alignment horizontal="center"/>
    </xf>
    <xf numFmtId="0" fontId="53" fillId="0" borderId="16" xfId="0" applyFont="1" applyBorder="1"/>
    <xf numFmtId="10" fontId="53" fillId="0" borderId="3" xfId="0" applyNumberFormat="1" applyFont="1" applyBorder="1" applyAlignment="1">
      <alignment horizontal="center"/>
    </xf>
    <xf numFmtId="0" fontId="53" fillId="0" borderId="34" xfId="0" applyFont="1" applyBorder="1" applyAlignment="1">
      <alignment horizontal="center"/>
    </xf>
    <xf numFmtId="164" fontId="53" fillId="0" borderId="40" xfId="0" applyNumberFormat="1" applyFont="1" applyBorder="1" applyAlignment="1">
      <alignment horizontal="left"/>
    </xf>
    <xf numFmtId="10" fontId="53" fillId="0" borderId="18" xfId="0" applyNumberFormat="1" applyFont="1" applyBorder="1" applyAlignment="1">
      <alignment horizontal="left"/>
    </xf>
    <xf numFmtId="0" fontId="40" fillId="0" borderId="1" xfId="0" applyFont="1" applyBorder="1" applyAlignment="1">
      <alignment horizontal="center"/>
    </xf>
    <xf numFmtId="0" fontId="0" fillId="4" borderId="1" xfId="0" applyFill="1" applyBorder="1"/>
    <xf numFmtId="10" fontId="14" fillId="4" borderId="1" xfId="0" applyNumberFormat="1" applyFont="1" applyFill="1" applyBorder="1"/>
    <xf numFmtId="10" fontId="0" fillId="0" borderId="0" xfId="0" applyNumberFormat="1"/>
    <xf numFmtId="44" fontId="5" fillId="4" borderId="1" xfId="2" applyFont="1" applyFill="1" applyBorder="1" applyAlignment="1">
      <alignment horizontal="center"/>
    </xf>
    <xf numFmtId="0" fontId="50" fillId="4" borderId="1" xfId="0" applyFont="1" applyFill="1" applyBorder="1"/>
    <xf numFmtId="170" fontId="40" fillId="0" borderId="0" xfId="0" applyNumberFormat="1" applyFont="1" applyAlignment="1">
      <alignment horizontal="right"/>
    </xf>
    <xf numFmtId="0" fontId="54" fillId="0" borderId="42" xfId="0" applyFont="1" applyBorder="1" applyAlignment="1">
      <alignment vertical="center" wrapText="1"/>
    </xf>
    <xf numFmtId="0" fontId="55" fillId="0" borderId="0" xfId="0" applyFont="1"/>
    <xf numFmtId="44" fontId="55" fillId="0" borderId="0" xfId="0" applyNumberFormat="1" applyFont="1"/>
    <xf numFmtId="10" fontId="55" fillId="0" borderId="0" xfId="0" applyNumberFormat="1" applyFont="1"/>
    <xf numFmtId="44" fontId="0" fillId="0" borderId="0" xfId="0" applyNumberFormat="1"/>
    <xf numFmtId="44" fontId="44" fillId="0" borderId="0" xfId="0" applyNumberFormat="1" applyFont="1"/>
    <xf numFmtId="2" fontId="55" fillId="0" borderId="0" xfId="0" applyNumberFormat="1" applyFont="1"/>
    <xf numFmtId="44" fontId="55" fillId="0" borderId="0" xfId="2" applyFont="1"/>
    <xf numFmtId="10" fontId="55" fillId="0" borderId="0" xfId="3" applyNumberFormat="1" applyFont="1"/>
    <xf numFmtId="10" fontId="0" fillId="0" borderId="0" xfId="3" applyNumberFormat="1" applyFont="1"/>
    <xf numFmtId="169" fontId="0" fillId="0" borderId="0" xfId="0" applyNumberFormat="1"/>
    <xf numFmtId="0" fontId="4" fillId="0" borderId="1" xfId="0" applyFont="1" applyBorder="1" applyAlignment="1">
      <alignment horizontal="center"/>
    </xf>
    <xf numFmtId="0" fontId="4" fillId="0" borderId="0" xfId="0" applyFont="1" applyAlignment="1">
      <alignment wrapText="1"/>
    </xf>
    <xf numFmtId="10" fontId="0" fillId="4" borderId="1" xfId="0" applyNumberFormat="1" applyFill="1" applyBorder="1"/>
    <xf numFmtId="0" fontId="4" fillId="0" borderId="1" xfId="0" applyFont="1" applyFill="1" applyBorder="1" applyAlignment="1">
      <alignment horizontal="center"/>
    </xf>
    <xf numFmtId="0" fontId="67" fillId="0" borderId="0" xfId="0" applyFont="1"/>
    <xf numFmtId="0" fontId="23" fillId="0" borderId="1" xfId="0" applyFont="1" applyBorder="1"/>
    <xf numFmtId="10" fontId="24" fillId="0" borderId="1" xfId="3" applyNumberFormat="1" applyFont="1" applyBorder="1" applyAlignment="1">
      <alignment horizontal="center"/>
    </xf>
    <xf numFmtId="0" fontId="53" fillId="0" borderId="1" xfId="0" applyFont="1" applyBorder="1"/>
    <xf numFmtId="10" fontId="24" fillId="0" borderId="1" xfId="0" applyNumberFormat="1" applyFont="1" applyBorder="1" applyAlignment="1">
      <alignment horizontal="center"/>
    </xf>
    <xf numFmtId="0" fontId="4" fillId="0" borderId="1" xfId="0" applyFont="1" applyBorder="1" applyAlignment="1">
      <alignment wrapText="1"/>
    </xf>
    <xf numFmtId="10" fontId="4" fillId="0" borderId="1" xfId="0" applyNumberFormat="1" applyFont="1" applyBorder="1" applyAlignment="1">
      <alignment horizontal="center" wrapText="1"/>
    </xf>
    <xf numFmtId="2" fontId="4" fillId="0" borderId="1" xfId="0" applyNumberFormat="1" applyFont="1" applyBorder="1" applyAlignment="1">
      <alignment horizontal="center" wrapText="1"/>
    </xf>
    <xf numFmtId="0" fontId="35" fillId="0" borderId="0" xfId="0" applyFont="1" applyAlignment="1">
      <alignment horizontal="left"/>
    </xf>
    <xf numFmtId="10" fontId="35" fillId="0" borderId="0" xfId="0" applyNumberFormat="1" applyFont="1"/>
    <xf numFmtId="2" fontId="35" fillId="0" borderId="0" xfId="0" applyNumberFormat="1" applyFont="1"/>
    <xf numFmtId="10" fontId="40" fillId="0" borderId="0" xfId="0" applyNumberFormat="1" applyFont="1"/>
    <xf numFmtId="164" fontId="27" fillId="12" borderId="0" xfId="0" applyNumberFormat="1" applyFont="1" applyFill="1" applyBorder="1" applyAlignment="1">
      <alignment horizontal="center"/>
    </xf>
    <xf numFmtId="172" fontId="46" fillId="0" borderId="1" xfId="3" applyNumberFormat="1" applyFont="1" applyBorder="1" applyAlignment="1">
      <alignment horizontal="center"/>
    </xf>
    <xf numFmtId="0" fontId="68" fillId="0" borderId="1" xfId="0" applyFont="1" applyBorder="1" applyAlignment="1">
      <alignment horizontal="center"/>
    </xf>
    <xf numFmtId="0" fontId="24" fillId="6" borderId="1" xfId="2" applyNumberFormat="1" applyFont="1" applyFill="1" applyBorder="1" applyAlignment="1">
      <alignment horizontal="center"/>
    </xf>
    <xf numFmtId="0" fontId="53" fillId="0" borderId="5" xfId="0" applyFont="1" applyBorder="1" applyAlignment="1">
      <alignment wrapText="1"/>
    </xf>
    <xf numFmtId="0" fontId="69" fillId="0" borderId="0" xfId="0" applyFont="1"/>
    <xf numFmtId="17" fontId="45" fillId="0" borderId="1" xfId="0" applyNumberFormat="1" applyFont="1" applyBorder="1" applyAlignment="1"/>
    <xf numFmtId="10" fontId="70" fillId="0" borderId="1" xfId="0" applyNumberFormat="1" applyFont="1" applyBorder="1" applyAlignment="1">
      <alignment horizontal="center"/>
    </xf>
    <xf numFmtId="0" fontId="71" fillId="0" borderId="1" xfId="0" applyFont="1" applyBorder="1" applyAlignment="1">
      <alignment horizontal="left"/>
    </xf>
    <xf numFmtId="0" fontId="23" fillId="0" borderId="13" xfId="0" applyFont="1" applyBorder="1" applyAlignment="1">
      <alignment horizontal="center"/>
    </xf>
    <xf numFmtId="10" fontId="24" fillId="0" borderId="13" xfId="0" applyNumberFormat="1" applyFont="1" applyBorder="1" applyAlignment="1">
      <alignment horizontal="center"/>
    </xf>
    <xf numFmtId="10" fontId="2" fillId="0" borderId="1" xfId="3" applyNumberFormat="1" applyFont="1" applyFill="1" applyBorder="1" applyAlignment="1">
      <alignment horizontal="center"/>
    </xf>
    <xf numFmtId="10" fontId="0" fillId="0" borderId="13" xfId="0" applyNumberFormat="1" applyBorder="1" applyAlignment="1">
      <alignment horizontal="center"/>
    </xf>
    <xf numFmtId="10" fontId="0" fillId="0" borderId="13" xfId="3" applyNumberFormat="1" applyFont="1" applyBorder="1" applyAlignment="1">
      <alignment horizontal="center"/>
    </xf>
    <xf numFmtId="0" fontId="53" fillId="0" borderId="38" xfId="0" applyFont="1" applyBorder="1" applyAlignment="1">
      <alignment wrapText="1"/>
    </xf>
    <xf numFmtId="10" fontId="49" fillId="4" borderId="1" xfId="2" applyNumberFormat="1" applyFont="1" applyFill="1" applyBorder="1" applyAlignment="1">
      <alignment horizontal="center"/>
    </xf>
    <xf numFmtId="0" fontId="49" fillId="0" borderId="1" xfId="0" applyFont="1" applyFill="1" applyBorder="1"/>
    <xf numFmtId="2" fontId="53" fillId="12" borderId="18" xfId="0" applyNumberFormat="1" applyFont="1" applyFill="1" applyBorder="1" applyAlignment="1">
      <alignment horizontal="center"/>
    </xf>
    <xf numFmtId="2" fontId="46" fillId="0" borderId="1" xfId="0" applyNumberFormat="1" applyFont="1" applyBorder="1" applyAlignment="1">
      <alignment horizontal="center"/>
    </xf>
    <xf numFmtId="2" fontId="53" fillId="12" borderId="1" xfId="0" applyNumberFormat="1" applyFont="1" applyFill="1" applyBorder="1" applyAlignment="1">
      <alignment horizontal="center"/>
    </xf>
    <xf numFmtId="10" fontId="53" fillId="12" borderId="1" xfId="0" applyNumberFormat="1" applyFont="1" applyFill="1" applyBorder="1" applyAlignment="1">
      <alignment horizontal="center"/>
    </xf>
    <xf numFmtId="10" fontId="53" fillId="12" borderId="13" xfId="0" applyNumberFormat="1" applyFont="1" applyFill="1" applyBorder="1" applyAlignment="1">
      <alignment horizontal="center"/>
    </xf>
    <xf numFmtId="10" fontId="53" fillId="12" borderId="18" xfId="0" applyNumberFormat="1" applyFont="1" applyFill="1" applyBorder="1" applyAlignment="1">
      <alignment horizontal="center"/>
    </xf>
    <xf numFmtId="0" fontId="74" fillId="12" borderId="14" xfId="0" applyFont="1" applyFill="1" applyBorder="1"/>
    <xf numFmtId="0" fontId="75" fillId="12" borderId="14" xfId="0" applyFont="1" applyFill="1" applyBorder="1"/>
    <xf numFmtId="0" fontId="75" fillId="12" borderId="1" xfId="0" applyFont="1" applyFill="1" applyBorder="1"/>
    <xf numFmtId="10" fontId="75" fillId="12" borderId="1" xfId="3" applyNumberFormat="1" applyFont="1" applyFill="1" applyBorder="1"/>
    <xf numFmtId="173" fontId="14" fillId="3" borderId="1" xfId="2" applyNumberFormat="1" applyFont="1" applyFill="1" applyBorder="1"/>
    <xf numFmtId="173" fontId="14" fillId="0" borderId="2" xfId="0" applyNumberFormat="1" applyFont="1" applyBorder="1"/>
    <xf numFmtId="173" fontId="14" fillId="0" borderId="2" xfId="2" applyNumberFormat="1" applyFont="1" applyBorder="1"/>
    <xf numFmtId="173" fontId="0" fillId="0" borderId="0" xfId="0" applyNumberFormat="1"/>
    <xf numFmtId="173" fontId="14" fillId="0" borderId="0" xfId="0" applyNumberFormat="1" applyFont="1"/>
    <xf numFmtId="173" fontId="47" fillId="0" borderId="0" xfId="0" applyNumberFormat="1" applyFont="1"/>
    <xf numFmtId="0" fontId="52" fillId="0" borderId="33" xfId="0" applyFont="1" applyBorder="1" applyAlignment="1">
      <alignment horizontal="center"/>
    </xf>
    <xf numFmtId="173" fontId="52" fillId="0" borderId="33" xfId="0" applyNumberFormat="1" applyFont="1" applyBorder="1" applyAlignment="1">
      <alignment horizontal="center"/>
    </xf>
    <xf numFmtId="173" fontId="52" fillId="0" borderId="41" xfId="0" applyNumberFormat="1" applyFont="1" applyBorder="1" applyAlignment="1">
      <alignment horizontal="center"/>
    </xf>
    <xf numFmtId="0" fontId="53" fillId="0" borderId="5" xfId="0" applyFont="1" applyFill="1" applyBorder="1" applyAlignment="1">
      <alignment horizontal="left" wrapText="1"/>
    </xf>
    <xf numFmtId="164" fontId="27" fillId="4" borderId="1" xfId="2" applyNumberFormat="1" applyFont="1" applyFill="1" applyBorder="1" applyAlignment="1">
      <alignment horizontal="center"/>
    </xf>
    <xf numFmtId="164" fontId="27" fillId="4" borderId="14" xfId="2" applyNumberFormat="1" applyFont="1" applyFill="1" applyBorder="1" applyAlignment="1">
      <alignment horizontal="center"/>
    </xf>
    <xf numFmtId="164" fontId="53" fillId="0" borderId="1" xfId="2" applyNumberFormat="1" applyFont="1" applyBorder="1" applyAlignment="1">
      <alignment horizontal="center"/>
    </xf>
    <xf numFmtId="164" fontId="53" fillId="0" borderId="25" xfId="2" applyNumberFormat="1" applyFont="1" applyBorder="1" applyAlignment="1">
      <alignment horizontal="center"/>
    </xf>
    <xf numFmtId="164" fontId="53" fillId="0" borderId="13" xfId="2" applyNumberFormat="1" applyFont="1" applyBorder="1" applyAlignment="1">
      <alignment horizontal="center"/>
    </xf>
    <xf numFmtId="164" fontId="53" fillId="0" borderId="33" xfId="2" applyNumberFormat="1" applyFont="1" applyFill="1" applyBorder="1"/>
    <xf numFmtId="164" fontId="53" fillId="0" borderId="1" xfId="2" applyNumberFormat="1" applyFont="1" applyFill="1" applyBorder="1"/>
    <xf numFmtId="164" fontId="53" fillId="0" borderId="13" xfId="2" applyNumberFormat="1" applyFont="1" applyFill="1" applyBorder="1"/>
    <xf numFmtId="164" fontId="46" fillId="0" borderId="34" xfId="2" applyNumberFormat="1" applyFont="1" applyBorder="1"/>
    <xf numFmtId="2" fontId="24" fillId="0" borderId="1" xfId="0" applyNumberFormat="1" applyFont="1" applyBorder="1" applyAlignment="1">
      <alignment horizontal="center"/>
    </xf>
    <xf numFmtId="10" fontId="0" fillId="0" borderId="0" xfId="0" applyNumberFormat="1" applyAlignment="1">
      <alignment horizontal="center"/>
    </xf>
    <xf numFmtId="168" fontId="14" fillId="6" borderId="1" xfId="2" applyNumberFormat="1" applyFont="1" applyFill="1" applyBorder="1"/>
    <xf numFmtId="10" fontId="27" fillId="10" borderId="24" xfId="3" applyNumberFormat="1" applyFont="1" applyFill="1" applyBorder="1"/>
    <xf numFmtId="2" fontId="27" fillId="10" borderId="24" xfId="0" applyNumberFormat="1" applyFont="1" applyFill="1" applyBorder="1"/>
    <xf numFmtId="10" fontId="27" fillId="10" borderId="26" xfId="3" applyNumberFormat="1" applyFont="1" applyFill="1" applyBorder="1"/>
    <xf numFmtId="170" fontId="40" fillId="4" borderId="1" xfId="0" applyNumberFormat="1" applyFont="1" applyFill="1" applyBorder="1" applyAlignment="1">
      <alignment horizontal="right"/>
    </xf>
    <xf numFmtId="0" fontId="76" fillId="0" borderId="1" xfId="0" applyFont="1" applyBorder="1" applyAlignment="1"/>
    <xf numFmtId="0" fontId="76" fillId="0" borderId="1" xfId="0" applyFont="1" applyBorder="1"/>
    <xf numFmtId="0" fontId="28" fillId="0" borderId="0" xfId="0" applyFont="1" applyFill="1" applyBorder="1" applyAlignment="1"/>
    <xf numFmtId="0" fontId="26" fillId="0" borderId="44" xfId="0" applyFont="1" applyBorder="1" applyAlignment="1">
      <alignment horizontal="center"/>
    </xf>
    <xf numFmtId="0" fontId="26" fillId="0" borderId="9" xfId="0" applyFont="1" applyBorder="1" applyAlignment="1">
      <alignment horizontal="center"/>
    </xf>
    <xf numFmtId="0" fontId="26" fillId="0" borderId="42" xfId="0" applyFont="1" applyBorder="1" applyAlignment="1">
      <alignment horizontal="center"/>
    </xf>
    <xf numFmtId="0" fontId="26" fillId="0" borderId="6" xfId="0" applyFont="1" applyBorder="1" applyAlignment="1">
      <alignment horizontal="center"/>
    </xf>
    <xf numFmtId="0" fontId="26" fillId="0" borderId="7" xfId="0" applyFont="1" applyBorder="1" applyAlignment="1">
      <alignment horizontal="center"/>
    </xf>
    <xf numFmtId="0" fontId="26" fillId="0" borderId="10" xfId="0" applyFont="1" applyFill="1" applyBorder="1" applyAlignment="1">
      <alignment horizontal="center"/>
    </xf>
    <xf numFmtId="0" fontId="26" fillId="0" borderId="6" xfId="0" applyFont="1" applyFill="1" applyBorder="1" applyAlignment="1">
      <alignment horizontal="center"/>
    </xf>
    <xf numFmtId="0" fontId="26" fillId="0" borderId="7" xfId="0" applyFont="1" applyFill="1" applyBorder="1" applyAlignment="1">
      <alignment horizontal="center"/>
    </xf>
    <xf numFmtId="0" fontId="53" fillId="0" borderId="22" xfId="0" applyFont="1" applyFill="1" applyBorder="1" applyAlignment="1">
      <alignment horizontal="left"/>
    </xf>
    <xf numFmtId="0" fontId="53" fillId="0" borderId="5" xfId="0" applyFont="1" applyFill="1" applyBorder="1" applyAlignment="1">
      <alignment horizontal="left"/>
    </xf>
    <xf numFmtId="0" fontId="53" fillId="0" borderId="18" xfId="0" applyFont="1" applyFill="1" applyBorder="1" applyAlignment="1">
      <alignment horizontal="left"/>
    </xf>
    <xf numFmtId="0" fontId="56" fillId="0" borderId="1" xfId="0" applyFont="1" applyBorder="1" applyAlignment="1">
      <alignment horizontal="center"/>
    </xf>
    <xf numFmtId="0" fontId="56" fillId="0" borderId="13" xfId="0" applyFont="1" applyBorder="1" applyAlignment="1">
      <alignment horizontal="center"/>
    </xf>
    <xf numFmtId="0" fontId="56" fillId="0" borderId="5" xfId="0" applyFont="1" applyBorder="1" applyAlignment="1">
      <alignment horizontal="center"/>
    </xf>
    <xf numFmtId="0" fontId="56" fillId="0" borderId="18" xfId="0" applyFont="1" applyBorder="1" applyAlignment="1">
      <alignment horizontal="center"/>
    </xf>
    <xf numFmtId="0" fontId="56" fillId="0" borderId="43" xfId="0" applyFont="1" applyFill="1" applyBorder="1" applyAlignment="1">
      <alignment horizontal="center"/>
    </xf>
    <xf numFmtId="0" fontId="56" fillId="0" borderId="43" xfId="0" applyFont="1" applyBorder="1" applyAlignment="1">
      <alignment horizontal="center"/>
    </xf>
    <xf numFmtId="10" fontId="53" fillId="12" borderId="13" xfId="3" applyNumberFormat="1" applyFont="1" applyFill="1" applyBorder="1" applyAlignment="1">
      <alignment horizontal="center"/>
    </xf>
    <xf numFmtId="10" fontId="53" fillId="12" borderId="18" xfId="3" applyNumberFormat="1" applyFont="1" applyFill="1" applyBorder="1" applyAlignment="1">
      <alignment horizontal="center"/>
    </xf>
    <xf numFmtId="0" fontId="45" fillId="0" borderId="13" xfId="0" applyFont="1" applyBorder="1" applyAlignment="1">
      <alignment horizontal="center"/>
    </xf>
    <xf numFmtId="0" fontId="45" fillId="0" borderId="5" xfId="0" applyFont="1" applyBorder="1" applyAlignment="1">
      <alignment horizontal="center"/>
    </xf>
    <xf numFmtId="0" fontId="45" fillId="0" borderId="18" xfId="0" applyFont="1" applyBorder="1" applyAlignment="1">
      <alignment horizontal="center"/>
    </xf>
    <xf numFmtId="0" fontId="53" fillId="0" borderId="45" xfId="0" applyFont="1" applyFill="1" applyBorder="1" applyAlignment="1">
      <alignment horizontal="left"/>
    </xf>
    <xf numFmtId="0" fontId="53" fillId="0" borderId="46" xfId="0" applyFont="1" applyFill="1" applyBorder="1" applyAlignment="1">
      <alignment horizontal="left"/>
    </xf>
    <xf numFmtId="0" fontId="53" fillId="0" borderId="47" xfId="0" applyFont="1" applyFill="1" applyBorder="1" applyAlignment="1">
      <alignment horizontal="left"/>
    </xf>
    <xf numFmtId="0" fontId="1"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20" xfId="0" applyFont="1" applyBorder="1" applyAlignment="1">
      <alignment horizontal="left" vertical="top" wrapText="1"/>
    </xf>
    <xf numFmtId="0" fontId="3" fillId="0" borderId="0" xfId="0" applyFont="1" applyBorder="1" applyAlignment="1">
      <alignment horizontal="left" vertical="top" wrapText="1"/>
    </xf>
    <xf numFmtId="0" fontId="3" fillId="0" borderId="21" xfId="0" applyFont="1" applyBorder="1" applyAlignment="1">
      <alignment horizontal="left" vertical="top" wrapText="1"/>
    </xf>
    <xf numFmtId="0" fontId="3" fillId="0" borderId="48" xfId="0" applyFont="1" applyBorder="1" applyAlignment="1">
      <alignment horizontal="left" vertical="top" wrapText="1"/>
    </xf>
    <xf numFmtId="0" fontId="3" fillId="0" borderId="49" xfId="0" applyFont="1" applyBorder="1" applyAlignment="1">
      <alignment horizontal="left" vertical="top" wrapText="1"/>
    </xf>
    <xf numFmtId="0" fontId="3" fillId="0" borderId="30" xfId="0" applyFont="1" applyBorder="1" applyAlignment="1">
      <alignment horizontal="left" vertical="top" wrapText="1"/>
    </xf>
    <xf numFmtId="0" fontId="57" fillId="0" borderId="15" xfId="0" applyFont="1" applyBorder="1" applyAlignment="1">
      <alignment horizontal="left" wrapText="1"/>
    </xf>
    <xf numFmtId="0" fontId="58" fillId="0" borderId="16" xfId="0" applyFont="1" applyBorder="1" applyAlignment="1">
      <alignment horizontal="left" wrapText="1"/>
    </xf>
    <xf numFmtId="0" fontId="58" fillId="0" borderId="17" xfId="0" applyFont="1" applyBorder="1" applyAlignment="1">
      <alignment horizontal="left" wrapText="1"/>
    </xf>
    <xf numFmtId="0" fontId="58" fillId="0" borderId="20" xfId="0" applyFont="1" applyBorder="1" applyAlignment="1">
      <alignment horizontal="left" wrapText="1"/>
    </xf>
    <xf numFmtId="0" fontId="58" fillId="0" borderId="0" xfId="0" applyFont="1" applyBorder="1" applyAlignment="1">
      <alignment horizontal="left" wrapText="1"/>
    </xf>
    <xf numFmtId="0" fontId="58" fillId="0" borderId="21" xfId="0" applyFont="1" applyBorder="1" applyAlignment="1">
      <alignment horizontal="left" wrapText="1"/>
    </xf>
    <xf numFmtId="0" fontId="58" fillId="0" borderId="48" xfId="0" applyFont="1" applyBorder="1" applyAlignment="1">
      <alignment horizontal="left" wrapText="1"/>
    </xf>
    <xf numFmtId="0" fontId="58" fillId="0" borderId="49" xfId="0" applyFont="1" applyBorder="1" applyAlignment="1">
      <alignment horizontal="left" wrapText="1"/>
    </xf>
    <xf numFmtId="0" fontId="58" fillId="0" borderId="30" xfId="0" applyFont="1" applyBorder="1" applyAlignment="1">
      <alignment horizontal="left" wrapText="1"/>
    </xf>
    <xf numFmtId="0" fontId="46" fillId="0" borderId="15" xfId="0" applyFont="1" applyBorder="1" applyAlignment="1">
      <alignment horizontal="left" vertical="center" wrapText="1"/>
    </xf>
    <xf numFmtId="0" fontId="46" fillId="0" borderId="16" xfId="0" applyFont="1" applyBorder="1" applyAlignment="1">
      <alignment horizontal="left" vertical="center" wrapText="1"/>
    </xf>
    <xf numFmtId="0" fontId="46" fillId="0" borderId="17" xfId="0" applyFont="1" applyBorder="1" applyAlignment="1">
      <alignment horizontal="left" vertical="center" wrapText="1"/>
    </xf>
    <xf numFmtId="0" fontId="46" fillId="0" borderId="20" xfId="0" applyFont="1" applyBorder="1" applyAlignment="1">
      <alignment horizontal="left" vertical="center" wrapText="1"/>
    </xf>
    <xf numFmtId="0" fontId="46" fillId="0" borderId="0" xfId="0" applyFont="1" applyBorder="1" applyAlignment="1">
      <alignment horizontal="left" vertical="center" wrapText="1"/>
    </xf>
    <xf numFmtId="0" fontId="46" fillId="0" borderId="21" xfId="0" applyFont="1" applyBorder="1" applyAlignment="1">
      <alignment horizontal="left" vertical="center" wrapText="1"/>
    </xf>
    <xf numFmtId="0" fontId="46" fillId="0" borderId="48" xfId="0" applyFont="1" applyBorder="1" applyAlignment="1">
      <alignment horizontal="left" vertical="center" wrapText="1"/>
    </xf>
    <xf numFmtId="0" fontId="46" fillId="0" borderId="49" xfId="0" applyFont="1" applyBorder="1" applyAlignment="1">
      <alignment horizontal="left" vertical="center" wrapText="1"/>
    </xf>
    <xf numFmtId="0" fontId="46" fillId="0" borderId="30" xfId="0" applyFont="1" applyBorder="1" applyAlignment="1">
      <alignment horizontal="left" vertical="center" wrapText="1"/>
    </xf>
    <xf numFmtId="0" fontId="59" fillId="0" borderId="15" xfId="0" applyFont="1" applyBorder="1" applyAlignment="1">
      <alignment horizontal="left" vertical="center" wrapText="1"/>
    </xf>
    <xf numFmtId="0" fontId="53" fillId="0" borderId="16" xfId="0" applyFont="1" applyBorder="1" applyAlignment="1">
      <alignment horizontal="left" vertical="center" wrapText="1"/>
    </xf>
    <xf numFmtId="0" fontId="53" fillId="0" borderId="17" xfId="0" applyFont="1" applyBorder="1" applyAlignment="1">
      <alignment horizontal="left" vertical="center" wrapText="1"/>
    </xf>
    <xf numFmtId="0" fontId="53" fillId="0" borderId="20" xfId="0" applyFont="1" applyBorder="1" applyAlignment="1">
      <alignment horizontal="left" vertical="center" wrapText="1"/>
    </xf>
    <xf numFmtId="0" fontId="53" fillId="0" borderId="0" xfId="0" applyFont="1" applyBorder="1" applyAlignment="1">
      <alignment horizontal="left" vertical="center" wrapText="1"/>
    </xf>
    <xf numFmtId="0" fontId="53" fillId="0" borderId="21" xfId="0" applyFont="1" applyBorder="1" applyAlignment="1">
      <alignment horizontal="left" vertical="center" wrapText="1"/>
    </xf>
    <xf numFmtId="0" fontId="53" fillId="0" borderId="48" xfId="0" applyFont="1" applyBorder="1" applyAlignment="1">
      <alignment horizontal="left" vertical="center" wrapText="1"/>
    </xf>
    <xf numFmtId="0" fontId="53" fillId="0" borderId="49" xfId="0" applyFont="1" applyBorder="1" applyAlignment="1">
      <alignment horizontal="left" vertical="center" wrapText="1"/>
    </xf>
    <xf numFmtId="0" fontId="53" fillId="0" borderId="30" xfId="0" applyFont="1" applyBorder="1" applyAlignment="1">
      <alignment horizontal="left" vertical="center" wrapText="1"/>
    </xf>
    <xf numFmtId="0" fontId="46" fillId="0" borderId="11" xfId="0" applyFont="1" applyBorder="1" applyAlignment="1">
      <alignment horizontal="left" vertical="center" wrapText="1"/>
    </xf>
    <xf numFmtId="0" fontId="46" fillId="0" borderId="0" xfId="0" applyFont="1" applyAlignment="1">
      <alignment horizontal="left" vertical="center" wrapText="1"/>
    </xf>
    <xf numFmtId="168" fontId="53" fillId="0" borderId="13" xfId="2" applyNumberFormat="1" applyFont="1" applyFill="1" applyBorder="1" applyAlignment="1">
      <alignment horizontal="right"/>
    </xf>
    <xf numFmtId="168" fontId="53" fillId="0" borderId="5" xfId="2" applyNumberFormat="1" applyFont="1" applyFill="1" applyBorder="1" applyAlignment="1">
      <alignment horizontal="right"/>
    </xf>
    <xf numFmtId="0" fontId="53" fillId="0" borderId="36" xfId="0" applyFont="1" applyBorder="1" applyAlignment="1">
      <alignment horizontal="left"/>
    </xf>
    <xf numFmtId="0" fontId="53" fillId="0" borderId="1" xfId="0" applyFont="1" applyBorder="1" applyAlignment="1">
      <alignment horizontal="left"/>
    </xf>
    <xf numFmtId="0" fontId="53" fillId="0" borderId="37" xfId="0" applyFont="1" applyBorder="1" applyAlignment="1">
      <alignment horizontal="left"/>
    </xf>
    <xf numFmtId="0" fontId="53" fillId="0" borderId="25" xfId="0" applyFont="1" applyBorder="1" applyAlignment="1">
      <alignment horizontal="left"/>
    </xf>
    <xf numFmtId="0" fontId="53" fillId="0" borderId="44" xfId="0" applyFont="1" applyBorder="1" applyAlignment="1">
      <alignment horizontal="right"/>
    </xf>
    <xf numFmtId="0" fontId="53" fillId="0" borderId="42" xfId="0" applyFont="1" applyBorder="1" applyAlignment="1">
      <alignment horizontal="right"/>
    </xf>
    <xf numFmtId="10" fontId="60" fillId="0" borderId="44" xfId="0" applyNumberFormat="1" applyFont="1" applyBorder="1" applyAlignment="1">
      <alignment horizontal="center"/>
    </xf>
    <xf numFmtId="10" fontId="60" fillId="0" borderId="40" xfId="0" applyNumberFormat="1" applyFont="1" applyBorder="1" applyAlignment="1">
      <alignment horizontal="center"/>
    </xf>
    <xf numFmtId="0" fontId="14" fillId="11" borderId="0" xfId="0" applyFont="1" applyFill="1" applyAlignment="1">
      <alignment horizontal="center" vertical="center" wrapText="1"/>
    </xf>
    <xf numFmtId="0" fontId="4" fillId="12" borderId="1" xfId="0" applyFont="1" applyFill="1" applyBorder="1" applyAlignment="1">
      <alignment horizontal="left" vertical="top" wrapText="1"/>
    </xf>
    <xf numFmtId="0" fontId="33" fillId="12" borderId="44" xfId="0" applyFont="1" applyFill="1" applyBorder="1" applyAlignment="1">
      <alignment horizontal="center"/>
    </xf>
    <xf numFmtId="0" fontId="33" fillId="12" borderId="42" xfId="0" applyFont="1" applyFill="1" applyBorder="1" applyAlignment="1">
      <alignment horizontal="center"/>
    </xf>
    <xf numFmtId="0" fontId="33" fillId="12" borderId="40" xfId="0" applyFont="1" applyFill="1" applyBorder="1" applyAlignment="1">
      <alignment horizontal="center"/>
    </xf>
    <xf numFmtId="164" fontId="0" fillId="0" borderId="20" xfId="0" applyNumberFormat="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1039668</xdr:colOff>
      <xdr:row>9</xdr:row>
      <xdr:rowOff>117764</xdr:rowOff>
    </xdr:from>
    <xdr:to>
      <xdr:col>4</xdr:col>
      <xdr:colOff>173182</xdr:colOff>
      <xdr:row>9</xdr:row>
      <xdr:rowOff>129887</xdr:rowOff>
    </xdr:to>
    <xdr:cxnSp macro="">
      <xdr:nvCxnSpPr>
        <xdr:cNvPr id="113986" name="Straight Arrow Connector 4">
          <a:extLst>
            <a:ext uri="{FF2B5EF4-FFF2-40B4-BE49-F238E27FC236}">
              <a16:creationId xmlns:a16="http://schemas.microsoft.com/office/drawing/2014/main" id="{F3C3383D-3E60-1B4D-B22C-2AACA0377D06}"/>
            </a:ext>
          </a:extLst>
        </xdr:cNvPr>
        <xdr:cNvCxnSpPr>
          <a:cxnSpLocks noChangeShapeType="1"/>
        </xdr:cNvCxnSpPr>
      </xdr:nvCxnSpPr>
      <xdr:spPr bwMode="auto">
        <a:xfrm>
          <a:off x="4907395" y="2571173"/>
          <a:ext cx="389082" cy="1212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1066800</xdr:colOff>
      <xdr:row>10</xdr:row>
      <xdr:rowOff>101600</xdr:rowOff>
    </xdr:from>
    <xdr:to>
      <xdr:col>4</xdr:col>
      <xdr:colOff>216478</xdr:colOff>
      <xdr:row>10</xdr:row>
      <xdr:rowOff>115454</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a:off x="4934527" y="2757055"/>
          <a:ext cx="405246"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1081231</xdr:colOff>
      <xdr:row>13</xdr:row>
      <xdr:rowOff>321541</xdr:rowOff>
    </xdr:from>
    <xdr:to>
      <xdr:col>4</xdr:col>
      <xdr:colOff>245341</xdr:colOff>
      <xdr:row>13</xdr:row>
      <xdr:rowOff>331932</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a:off x="4948958" y="3597564"/>
          <a:ext cx="419678" cy="1039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1005032</xdr:colOff>
      <xdr:row>8</xdr:row>
      <xdr:rowOff>318078</xdr:rowOff>
    </xdr:from>
    <xdr:to>
      <xdr:col>4</xdr:col>
      <xdr:colOff>187614</xdr:colOff>
      <xdr:row>8</xdr:row>
      <xdr:rowOff>331932</xdr:rowOff>
    </xdr:to>
    <xdr:cxnSp macro="">
      <xdr:nvCxnSpPr>
        <xdr:cNvPr id="113989" name="Straight Arrow Connector 4">
          <a:extLst>
            <a:ext uri="{FF2B5EF4-FFF2-40B4-BE49-F238E27FC236}">
              <a16:creationId xmlns:a16="http://schemas.microsoft.com/office/drawing/2014/main" id="{DBD8894E-2AE1-AD48-BBEC-C22585D3F148}"/>
            </a:ext>
          </a:extLst>
        </xdr:cNvPr>
        <xdr:cNvCxnSpPr>
          <a:cxnSpLocks noChangeShapeType="1"/>
        </xdr:cNvCxnSpPr>
      </xdr:nvCxnSpPr>
      <xdr:spPr bwMode="auto">
        <a:xfrm>
          <a:off x="5377873" y="2569442"/>
          <a:ext cx="438150"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red/Previously%20Relocated%20Items/Security/All%20My%20Stuff/Datasets/Datasets22/US/USindav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ared/Previously%20Relocated%20Items/Security/All%20My%20Stuff/Datasets/Datasets22/Global/globalindav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
      <sheetName val="Intermediate Worksheet"/>
      <sheetName val="Acc Pay"/>
      <sheetName val="Acc Rec"/>
      <sheetName val="Beta"/>
      <sheetName val="Cap Ex"/>
      <sheetName val="Cash"/>
      <sheetName val="cfbasics"/>
      <sheetName val="COVID Effects"/>
      <sheetName val="Debt details"/>
      <sheetName val="Debt fundamentals"/>
      <sheetName val="Div &amp; FCFE"/>
      <sheetName val="Dividend fundamentals"/>
      <sheetName val="$ Values"/>
      <sheetName val="Excess Returns&amp; Val added"/>
      <sheetName val="Financing Flows"/>
      <sheetName val="Fundgr"/>
      <sheetName val="fundgrEB"/>
      <sheetName val="Goodwill &amp; Impairments"/>
      <sheetName val="Hist Growth"/>
      <sheetName val="Indiv Regression Stats"/>
      <sheetName val="Insider &amp; inst holdings"/>
      <sheetName val="Lease effect"/>
      <sheetName val="Margins"/>
      <sheetName val="mgnroc"/>
      <sheetName val="oifcff"/>
      <sheetName val="optvar"/>
      <sheetName val="PBV"/>
      <sheetName val="PE"/>
      <sheetName val="PS"/>
      <sheetName val="R&amp;D Details"/>
      <sheetName val="ROE"/>
      <sheetName val="Return on capital"/>
      <sheetName val="Tax rates"/>
      <sheetName val="Total Beta"/>
      <sheetName val="EVEBITDA"/>
      <sheetName val="WACC"/>
      <sheetName val="WACC Pass-through"/>
      <sheetName val="Working capital"/>
      <sheetName val="Summary Sheet for valn"/>
      <sheetName val="Summary sheet uValue"/>
      <sheetName val="Summary for ginzu sheets"/>
      <sheetName val="Sheet1"/>
      <sheetName val="Sheet2"/>
    </sheetNames>
    <sheetDataSet>
      <sheetData sheetId="0">
        <row r="3">
          <cell r="A3" t="str">
            <v>Aerospace/Defense</v>
          </cell>
          <cell r="B3">
            <v>73</v>
          </cell>
        </row>
        <row r="4">
          <cell r="A4" t="str">
            <v>Air Transport</v>
          </cell>
          <cell r="B4">
            <v>21</v>
          </cell>
        </row>
        <row r="5">
          <cell r="A5" t="str">
            <v>Apparel</v>
          </cell>
          <cell r="B5">
            <v>39</v>
          </cell>
        </row>
        <row r="6">
          <cell r="A6" t="str">
            <v>Auto &amp; Truck</v>
          </cell>
          <cell r="B6">
            <v>26</v>
          </cell>
        </row>
        <row r="7">
          <cell r="A7" t="str">
            <v>Auto Parts</v>
          </cell>
          <cell r="B7">
            <v>38</v>
          </cell>
        </row>
        <row r="8">
          <cell r="A8" t="str">
            <v>Bank (Money Center)</v>
          </cell>
          <cell r="B8">
            <v>7</v>
          </cell>
        </row>
        <row r="9">
          <cell r="A9" t="str">
            <v>Banks (Regional)</v>
          </cell>
          <cell r="B9">
            <v>563</v>
          </cell>
        </row>
        <row r="10">
          <cell r="A10" t="str">
            <v>Beverage (Alcoholic)</v>
          </cell>
          <cell r="B10">
            <v>21</v>
          </cell>
        </row>
        <row r="11">
          <cell r="A11" t="str">
            <v>Beverage (Soft)</v>
          </cell>
          <cell r="B11">
            <v>32</v>
          </cell>
        </row>
        <row r="12">
          <cell r="A12" t="str">
            <v>Broadcasting</v>
          </cell>
          <cell r="B12">
            <v>28</v>
          </cell>
        </row>
        <row r="13">
          <cell r="A13" t="str">
            <v>Brokerage &amp; Investment Banking</v>
          </cell>
          <cell r="B13">
            <v>31</v>
          </cell>
        </row>
        <row r="14">
          <cell r="A14" t="str">
            <v>Building Materials</v>
          </cell>
          <cell r="B14">
            <v>44</v>
          </cell>
        </row>
        <row r="15">
          <cell r="A15" t="str">
            <v>Business &amp; Consumer Services</v>
          </cell>
          <cell r="B15">
            <v>160</v>
          </cell>
        </row>
        <row r="16">
          <cell r="A16" t="str">
            <v>Cable TV</v>
          </cell>
          <cell r="B16">
            <v>11</v>
          </cell>
        </row>
        <row r="17">
          <cell r="A17" t="str">
            <v>Chemical (Basic)</v>
          </cell>
          <cell r="B17">
            <v>35</v>
          </cell>
        </row>
        <row r="18">
          <cell r="A18" t="str">
            <v>Chemical (Diversified)</v>
          </cell>
          <cell r="B18">
            <v>4</v>
          </cell>
        </row>
        <row r="19">
          <cell r="A19" t="str">
            <v>Chemical (Specialty)</v>
          </cell>
          <cell r="B19">
            <v>81</v>
          </cell>
        </row>
        <row r="20">
          <cell r="A20" t="str">
            <v>Coal &amp; Related Energy</v>
          </cell>
          <cell r="B20">
            <v>18</v>
          </cell>
        </row>
        <row r="21">
          <cell r="A21" t="str">
            <v>Computer Services</v>
          </cell>
          <cell r="B21">
            <v>83</v>
          </cell>
        </row>
        <row r="22">
          <cell r="A22" t="str">
            <v>Computers/Peripherals</v>
          </cell>
          <cell r="B22">
            <v>46</v>
          </cell>
        </row>
        <row r="23">
          <cell r="A23" t="str">
            <v>Construction Supplies</v>
          </cell>
          <cell r="B23">
            <v>48</v>
          </cell>
        </row>
        <row r="24">
          <cell r="A24" t="str">
            <v>Diversified</v>
          </cell>
          <cell r="B24">
            <v>22</v>
          </cell>
        </row>
        <row r="25">
          <cell r="A25" t="str">
            <v>Drugs (Biotechnology)</v>
          </cell>
          <cell r="B25">
            <v>581</v>
          </cell>
        </row>
        <row r="26">
          <cell r="A26" t="str">
            <v>Drugs (Pharmaceutical)</v>
          </cell>
          <cell r="B26">
            <v>298</v>
          </cell>
        </row>
        <row r="27">
          <cell r="A27" t="str">
            <v>Education</v>
          </cell>
          <cell r="B27">
            <v>35</v>
          </cell>
        </row>
        <row r="28">
          <cell r="A28" t="str">
            <v>Electrical Equipment</v>
          </cell>
          <cell r="B28">
            <v>104</v>
          </cell>
        </row>
        <row r="29">
          <cell r="A29" t="str">
            <v>Electronics (Consumer &amp; Office)</v>
          </cell>
          <cell r="B29">
            <v>16</v>
          </cell>
        </row>
        <row r="30">
          <cell r="A30" t="str">
            <v>Electronics (General)</v>
          </cell>
          <cell r="B30">
            <v>137</v>
          </cell>
        </row>
        <row r="31">
          <cell r="A31" t="str">
            <v>Engineering/Construction</v>
          </cell>
          <cell r="B31">
            <v>48</v>
          </cell>
        </row>
        <row r="32">
          <cell r="A32" t="str">
            <v>Entertainment</v>
          </cell>
          <cell r="B32">
            <v>108</v>
          </cell>
        </row>
        <row r="33">
          <cell r="A33" t="str">
            <v>Environmental &amp; Waste Services</v>
          </cell>
          <cell r="B33">
            <v>58</v>
          </cell>
        </row>
        <row r="34">
          <cell r="A34" t="str">
            <v>Farming/Agriculture</v>
          </cell>
          <cell r="B34">
            <v>36</v>
          </cell>
        </row>
        <row r="35">
          <cell r="A35" t="str">
            <v>Financial Svcs. (Non-bank &amp; Insurance)</v>
          </cell>
          <cell r="B35">
            <v>223</v>
          </cell>
        </row>
        <row r="36">
          <cell r="A36" t="str">
            <v>Food Processing</v>
          </cell>
          <cell r="B36">
            <v>92</v>
          </cell>
        </row>
        <row r="37">
          <cell r="A37" t="str">
            <v>Food Wholesalers</v>
          </cell>
          <cell r="B37">
            <v>15</v>
          </cell>
        </row>
        <row r="38">
          <cell r="A38" t="str">
            <v>Furn/Home Furnishings</v>
          </cell>
          <cell r="B38">
            <v>32</v>
          </cell>
        </row>
        <row r="39">
          <cell r="A39" t="str">
            <v>Green &amp; Renewable Energy</v>
          </cell>
          <cell r="B39">
            <v>20</v>
          </cell>
        </row>
        <row r="40">
          <cell r="A40" t="str">
            <v>Healthcare Products</v>
          </cell>
          <cell r="B40">
            <v>244</v>
          </cell>
        </row>
        <row r="41">
          <cell r="A41" t="str">
            <v>Healthcare Support Services</v>
          </cell>
          <cell r="B41">
            <v>131</v>
          </cell>
        </row>
        <row r="42">
          <cell r="A42" t="str">
            <v>Heathcare Information and Technology</v>
          </cell>
          <cell r="B42">
            <v>142</v>
          </cell>
        </row>
        <row r="43">
          <cell r="A43" t="str">
            <v>Homebuilding</v>
          </cell>
          <cell r="B43">
            <v>29</v>
          </cell>
        </row>
        <row r="44">
          <cell r="A44" t="str">
            <v>Hospitals/Healthcare Facilities</v>
          </cell>
          <cell r="B44">
            <v>31</v>
          </cell>
        </row>
        <row r="45">
          <cell r="A45" t="str">
            <v>Hotel/Gaming</v>
          </cell>
          <cell r="B45">
            <v>66</v>
          </cell>
        </row>
        <row r="46">
          <cell r="A46" t="str">
            <v>Household Products</v>
          </cell>
          <cell r="B46">
            <v>118</v>
          </cell>
        </row>
        <row r="47">
          <cell r="A47" t="str">
            <v>Information Services</v>
          </cell>
          <cell r="B47">
            <v>79</v>
          </cell>
        </row>
        <row r="48">
          <cell r="A48" t="str">
            <v>Insurance (General)</v>
          </cell>
          <cell r="B48">
            <v>23</v>
          </cell>
        </row>
        <row r="49">
          <cell r="A49" t="str">
            <v>Insurance (Life)</v>
          </cell>
          <cell r="B49">
            <v>24</v>
          </cell>
        </row>
        <row r="50">
          <cell r="A50" t="str">
            <v>Insurance (Prop/Cas.)</v>
          </cell>
          <cell r="B50">
            <v>52</v>
          </cell>
        </row>
        <row r="51">
          <cell r="A51" t="str">
            <v>Investments &amp; Asset Management</v>
          </cell>
          <cell r="B51">
            <v>687</v>
          </cell>
        </row>
        <row r="52">
          <cell r="A52" t="str">
            <v>Machinery</v>
          </cell>
          <cell r="B52">
            <v>111</v>
          </cell>
        </row>
        <row r="53">
          <cell r="A53" t="str">
            <v>Metals &amp; Mining</v>
          </cell>
          <cell r="B53">
            <v>74</v>
          </cell>
        </row>
        <row r="54">
          <cell r="A54" t="str">
            <v>Office Equipment &amp; Services</v>
          </cell>
          <cell r="B54">
            <v>18</v>
          </cell>
        </row>
        <row r="55">
          <cell r="A55" t="str">
            <v>Oil/Gas (Integrated)</v>
          </cell>
          <cell r="B55">
            <v>4</v>
          </cell>
        </row>
        <row r="56">
          <cell r="A56" t="str">
            <v>Oil/Gas (Production and Exploration)</v>
          </cell>
          <cell r="B56">
            <v>183</v>
          </cell>
        </row>
        <row r="57">
          <cell r="A57" t="str">
            <v>Oil/Gas Distribution</v>
          </cell>
          <cell r="B57">
            <v>21</v>
          </cell>
        </row>
        <row r="58">
          <cell r="A58" t="str">
            <v>Oilfield Svcs/Equip.</v>
          </cell>
          <cell r="B58">
            <v>100</v>
          </cell>
        </row>
        <row r="59">
          <cell r="A59" t="str">
            <v>Packaging &amp; Container</v>
          </cell>
          <cell r="B59">
            <v>26</v>
          </cell>
        </row>
        <row r="60">
          <cell r="A60" t="str">
            <v>Paper/Forest Products</v>
          </cell>
          <cell r="B60">
            <v>11</v>
          </cell>
        </row>
        <row r="61">
          <cell r="A61" t="str">
            <v>Power</v>
          </cell>
          <cell r="B61">
            <v>50</v>
          </cell>
        </row>
        <row r="62">
          <cell r="A62" t="str">
            <v>Precious Metals</v>
          </cell>
          <cell r="B62">
            <v>76</v>
          </cell>
        </row>
        <row r="63">
          <cell r="A63" t="str">
            <v>Publishing &amp; Newspapers</v>
          </cell>
          <cell r="B63">
            <v>21</v>
          </cell>
        </row>
        <row r="64">
          <cell r="A64" t="str">
            <v>R.E.I.T.</v>
          </cell>
          <cell r="B64">
            <v>238</v>
          </cell>
        </row>
        <row r="65">
          <cell r="A65" t="str">
            <v>Real Estate (Development)</v>
          </cell>
          <cell r="B65">
            <v>19</v>
          </cell>
        </row>
        <row r="66">
          <cell r="A66" t="str">
            <v>Real Estate (General/Diversified)</v>
          </cell>
          <cell r="B66">
            <v>10</v>
          </cell>
        </row>
        <row r="67">
          <cell r="A67" t="str">
            <v>Real Estate (Operations &amp; Services)</v>
          </cell>
          <cell r="B67">
            <v>51</v>
          </cell>
        </row>
        <row r="68">
          <cell r="A68" t="str">
            <v>Recreation</v>
          </cell>
          <cell r="B68">
            <v>60</v>
          </cell>
        </row>
        <row r="69">
          <cell r="A69" t="str">
            <v>Reinsurance</v>
          </cell>
          <cell r="B69">
            <v>2</v>
          </cell>
        </row>
        <row r="70">
          <cell r="A70" t="str">
            <v>Restaurant/Dining</v>
          </cell>
          <cell r="B70">
            <v>70</v>
          </cell>
        </row>
        <row r="71">
          <cell r="A71" t="str">
            <v>Retail (Automotive)</v>
          </cell>
          <cell r="B71">
            <v>32</v>
          </cell>
        </row>
        <row r="72">
          <cell r="A72" t="str">
            <v>Retail (Building Supply)</v>
          </cell>
          <cell r="B72">
            <v>16</v>
          </cell>
        </row>
        <row r="73">
          <cell r="A73" t="str">
            <v>Retail (Distributors)</v>
          </cell>
          <cell r="B73">
            <v>68</v>
          </cell>
        </row>
        <row r="74">
          <cell r="A74" t="str">
            <v>Retail (General)</v>
          </cell>
          <cell r="B74">
            <v>16</v>
          </cell>
        </row>
        <row r="75">
          <cell r="A75" t="str">
            <v>Retail (Grocery and Food)</v>
          </cell>
          <cell r="B75">
            <v>15</v>
          </cell>
        </row>
        <row r="76">
          <cell r="A76" t="str">
            <v>Retail (Online)</v>
          </cell>
          <cell r="B76">
            <v>60</v>
          </cell>
        </row>
        <row r="77">
          <cell r="A77" t="str">
            <v>Retail (Special Lines)</v>
          </cell>
          <cell r="B77">
            <v>76</v>
          </cell>
        </row>
        <row r="78">
          <cell r="A78" t="str">
            <v>Rubber&amp; Tires</v>
          </cell>
          <cell r="B78">
            <v>2</v>
          </cell>
        </row>
        <row r="79">
          <cell r="A79" t="str">
            <v>Semiconductor</v>
          </cell>
          <cell r="B79">
            <v>67</v>
          </cell>
        </row>
        <row r="80">
          <cell r="A80" t="str">
            <v>Semiconductor Equip</v>
          </cell>
          <cell r="B80">
            <v>34</v>
          </cell>
        </row>
        <row r="81">
          <cell r="A81" t="str">
            <v>Shipbuilding &amp; Marine</v>
          </cell>
          <cell r="B81">
            <v>8</v>
          </cell>
        </row>
        <row r="82">
          <cell r="A82" t="str">
            <v>Shoe</v>
          </cell>
          <cell r="B82">
            <v>12</v>
          </cell>
        </row>
        <row r="83">
          <cell r="A83" t="str">
            <v>Software (Entertainment)</v>
          </cell>
          <cell r="B83">
            <v>88</v>
          </cell>
        </row>
        <row r="84">
          <cell r="A84" t="str">
            <v>Software (Internet)</v>
          </cell>
          <cell r="B84">
            <v>36</v>
          </cell>
        </row>
        <row r="85">
          <cell r="A85" t="str">
            <v>Software (System &amp; Application)</v>
          </cell>
          <cell r="B85">
            <v>375</v>
          </cell>
        </row>
        <row r="86">
          <cell r="A86" t="str">
            <v>Steel</v>
          </cell>
          <cell r="B86">
            <v>28</v>
          </cell>
        </row>
        <row r="87">
          <cell r="A87" t="str">
            <v>Telecom (Wireless)</v>
          </cell>
          <cell r="B87">
            <v>17</v>
          </cell>
        </row>
        <row r="88">
          <cell r="A88" t="str">
            <v>Telecom. Equipment</v>
          </cell>
          <cell r="B88">
            <v>82</v>
          </cell>
        </row>
        <row r="89">
          <cell r="A89" t="str">
            <v>Telecom. Services</v>
          </cell>
          <cell r="B89">
            <v>42</v>
          </cell>
        </row>
        <row r="90">
          <cell r="A90" t="str">
            <v>Tobacco</v>
          </cell>
          <cell r="B90">
            <v>16</v>
          </cell>
        </row>
        <row r="91">
          <cell r="A91" t="str">
            <v>Transportation</v>
          </cell>
          <cell r="B91">
            <v>17</v>
          </cell>
        </row>
        <row r="92">
          <cell r="A92" t="str">
            <v>Transportation (Railroads)</v>
          </cell>
          <cell r="B92">
            <v>4</v>
          </cell>
        </row>
        <row r="93">
          <cell r="A93" t="str">
            <v>Trucking</v>
          </cell>
          <cell r="B93">
            <v>34</v>
          </cell>
        </row>
        <row r="94">
          <cell r="A94" t="str">
            <v>Utility (General)</v>
          </cell>
          <cell r="B94">
            <v>16</v>
          </cell>
        </row>
        <row r="95">
          <cell r="A95" t="str">
            <v>Utility (Water)</v>
          </cell>
          <cell r="B95">
            <v>14</v>
          </cell>
        </row>
      </sheetData>
      <sheetData sheetId="1"/>
      <sheetData sheetId="2"/>
      <sheetData sheetId="3"/>
      <sheetData sheetId="4">
        <row r="5">
          <cell r="C5">
            <v>1.3404215229301832</v>
          </cell>
          <cell r="H5">
            <v>1.1018246898142943</v>
          </cell>
        </row>
        <row r="6">
          <cell r="C6">
            <v>1.2810483683110934</v>
          </cell>
          <cell r="H6">
            <v>1.1104126718043248</v>
          </cell>
        </row>
        <row r="7">
          <cell r="C7">
            <v>1.5829076060557847</v>
          </cell>
          <cell r="H7">
            <v>0.91413822789599297</v>
          </cell>
        </row>
        <row r="8">
          <cell r="C8">
            <v>1.2265825725549797</v>
          </cell>
          <cell r="H8">
            <v>1.098346042881063</v>
          </cell>
        </row>
        <row r="9">
          <cell r="C9">
            <v>1.129306321775833</v>
          </cell>
          <cell r="H9">
            <v>1.0207658043192696</v>
          </cell>
        </row>
        <row r="10">
          <cell r="C10">
            <v>1.3980688847319374</v>
          </cell>
          <cell r="H10">
            <v>1.212594354633614</v>
          </cell>
        </row>
        <row r="11">
          <cell r="C11">
            <v>1.1172141898724213</v>
          </cell>
          <cell r="H11">
            <v>1.0325147457583626</v>
          </cell>
        </row>
        <row r="12">
          <cell r="C12">
            <v>0.69798811946873363</v>
          </cell>
          <cell r="H12">
            <v>0.84127389209358849</v>
          </cell>
        </row>
        <row r="13">
          <cell r="C13">
            <v>0.81936464501292028</v>
          </cell>
          <cell r="H13">
            <v>0.72052481164241255</v>
          </cell>
        </row>
        <row r="14">
          <cell r="C14">
            <v>1.215686535925268</v>
          </cell>
          <cell r="H14">
            <v>1.1155473334942059</v>
          </cell>
        </row>
        <row r="15">
          <cell r="C15">
            <v>1.3520952869467548</v>
          </cell>
          <cell r="H15">
            <v>0.8112721237191215</v>
          </cell>
        </row>
        <row r="16">
          <cell r="C16">
            <v>1.1749812758826836</v>
          </cell>
          <cell r="H16">
            <v>0.67007031178199383</v>
          </cell>
        </row>
        <row r="17">
          <cell r="C17">
            <v>1.1871342649276129</v>
          </cell>
          <cell r="H17">
            <v>1.0871499229138373</v>
          </cell>
        </row>
        <row r="18">
          <cell r="C18">
            <v>1.0891943033566154</v>
          </cell>
          <cell r="H18">
            <v>0.98611314803847128</v>
          </cell>
        </row>
        <row r="19">
          <cell r="C19">
            <v>0.93412874253081224</v>
          </cell>
          <cell r="H19">
            <v>0.66413861096321036</v>
          </cell>
        </row>
        <row r="20">
          <cell r="C20">
            <v>1.1624244348249126</v>
          </cell>
          <cell r="H20">
            <v>0.93712842522034645</v>
          </cell>
        </row>
        <row r="21">
          <cell r="C21">
            <v>1.5028204045767186</v>
          </cell>
          <cell r="H21">
            <v>1.2079101125783385</v>
          </cell>
        </row>
        <row r="22">
          <cell r="C22">
            <v>1.1027466358300211</v>
          </cell>
          <cell r="H22">
            <v>0.99772295408911504</v>
          </cell>
        </row>
        <row r="23">
          <cell r="C23">
            <v>0.91562861731458423</v>
          </cell>
          <cell r="H23">
            <v>0.81971087332733406</v>
          </cell>
        </row>
        <row r="24">
          <cell r="C24">
            <v>1.1988227196575996</v>
          </cell>
          <cell r="H24">
            <v>1.0576213168025859</v>
          </cell>
        </row>
        <row r="25">
          <cell r="C25">
            <v>1.2867471319469845</v>
          </cell>
          <cell r="H25">
            <v>1.2487708944175273</v>
          </cell>
        </row>
        <row r="26">
          <cell r="C26">
            <v>1.1085751411224292</v>
          </cell>
          <cell r="H26">
            <v>0.97964859930627823</v>
          </cell>
        </row>
        <row r="27">
          <cell r="C27">
            <v>0.75438848401831449</v>
          </cell>
          <cell r="H27">
            <v>0.70214146215394413</v>
          </cell>
        </row>
        <row r="28">
          <cell r="C28">
            <v>0.99294902726016787</v>
          </cell>
          <cell r="H28">
            <v>0.97223289569428162</v>
          </cell>
        </row>
        <row r="29">
          <cell r="C29">
            <v>1.0762958947157115</v>
          </cell>
          <cell r="H29">
            <v>1.009823573553889</v>
          </cell>
        </row>
        <row r="30">
          <cell r="C30">
            <v>1.126079034173197</v>
          </cell>
          <cell r="H30">
            <v>1.1033169078612295</v>
          </cell>
        </row>
        <row r="31">
          <cell r="C31">
            <v>1.2454054723858043</v>
          </cell>
          <cell r="H31">
            <v>1.194327330306878</v>
          </cell>
        </row>
        <row r="32">
          <cell r="C32">
            <v>0.97597157996844286</v>
          </cell>
          <cell r="H32">
            <v>1.0571596798644427</v>
          </cell>
        </row>
        <row r="33">
          <cell r="C33">
            <v>1.0852813664904801</v>
          </cell>
          <cell r="H33">
            <v>1.051017267647953</v>
          </cell>
        </row>
        <row r="34">
          <cell r="C34">
            <v>1.0580888104396409</v>
          </cell>
          <cell r="H34">
            <v>0.97396252486347068</v>
          </cell>
        </row>
        <row r="35">
          <cell r="C35">
            <v>1.0122823301704778</v>
          </cell>
          <cell r="H35">
            <v>0.96424847628751709</v>
          </cell>
        </row>
        <row r="36">
          <cell r="C36">
            <v>1.2403337750925647</v>
          </cell>
          <cell r="H36">
            <v>1.0861829799643721</v>
          </cell>
        </row>
        <row r="37">
          <cell r="C37">
            <v>1.0303173351336656</v>
          </cell>
          <cell r="H37">
            <v>0.84786520692470635</v>
          </cell>
        </row>
        <row r="38">
          <cell r="C38">
            <v>0.92723132944233655</v>
          </cell>
          <cell r="H38">
            <v>0.15175874715602064</v>
          </cell>
        </row>
        <row r="39">
          <cell r="C39">
            <v>0.75087548567822249</v>
          </cell>
          <cell r="H39">
            <v>0.63241384575053905</v>
          </cell>
        </row>
        <row r="40">
          <cell r="C40">
            <v>1.401559850161499</v>
          </cell>
          <cell r="H40">
            <v>1.0834752105711281</v>
          </cell>
        </row>
        <row r="41">
          <cell r="C41">
            <v>1.1088014488748397</v>
          </cell>
          <cell r="H41">
            <v>0.9930686395536672</v>
          </cell>
        </row>
        <row r="42">
          <cell r="C42">
            <v>1.5881139269244424</v>
          </cell>
          <cell r="H42">
            <v>1.0952567764169068</v>
          </cell>
        </row>
        <row r="43">
          <cell r="C43">
            <v>0.93812811740251056</v>
          </cell>
          <cell r="H43">
            <v>0.91238001884570208</v>
          </cell>
        </row>
        <row r="44">
          <cell r="C44">
            <v>1.057838047110971</v>
          </cell>
          <cell r="H44">
            <v>0.94984695077290293</v>
          </cell>
        </row>
        <row r="45">
          <cell r="C45">
            <v>0.94168209233744604</v>
          </cell>
          <cell r="H45">
            <v>0.90888830288841316</v>
          </cell>
        </row>
        <row r="46">
          <cell r="C46">
            <v>1.6852126723824632</v>
          </cell>
          <cell r="H46">
            <v>1.5855573182596445</v>
          </cell>
        </row>
        <row r="47">
          <cell r="C47">
            <v>1.4135234232504976</v>
          </cell>
          <cell r="H47">
            <v>0.96358199839482284</v>
          </cell>
        </row>
        <row r="48">
          <cell r="C48">
            <v>1.7944070682595588</v>
          </cell>
          <cell r="H48">
            <v>1.437433727843527</v>
          </cell>
        </row>
        <row r="49">
          <cell r="C49">
            <v>0.97963374895906408</v>
          </cell>
          <cell r="H49">
            <v>0.92007174691688975</v>
          </cell>
        </row>
        <row r="50">
          <cell r="C50">
            <v>1.2505092401142981</v>
          </cell>
          <cell r="H50">
            <v>1.2038667851126352</v>
          </cell>
        </row>
        <row r="51">
          <cell r="C51">
            <v>0.92216356074929473</v>
          </cell>
          <cell r="H51">
            <v>0.81090913333958792</v>
          </cell>
        </row>
        <row r="52">
          <cell r="C52">
            <v>1.22433280982246</v>
          </cell>
          <cell r="H52">
            <v>0.88298820325433758</v>
          </cell>
        </row>
        <row r="53">
          <cell r="C53">
            <v>0.86141825429816099</v>
          </cell>
          <cell r="H53">
            <v>0.78477726596517938</v>
          </cell>
        </row>
        <row r="54">
          <cell r="C54">
            <v>1.0483314155937387</v>
          </cell>
          <cell r="H54">
            <v>0.96511760490949738</v>
          </cell>
        </row>
        <row r="55">
          <cell r="C55">
            <v>1.2471254008660198</v>
          </cell>
          <cell r="H55">
            <v>1.1782642967693542</v>
          </cell>
        </row>
        <row r="56">
          <cell r="C56">
            <v>1.1729282199962749</v>
          </cell>
          <cell r="H56">
            <v>1.1279972137776122</v>
          </cell>
        </row>
        <row r="57">
          <cell r="C57">
            <v>1.3833133311473829</v>
          </cell>
          <cell r="H57">
            <v>1.1114678240357789</v>
          </cell>
        </row>
        <row r="58">
          <cell r="C58">
            <v>1.4653974739790023</v>
          </cell>
          <cell r="H58">
            <v>1.2509261963653029</v>
          </cell>
        </row>
        <row r="59">
          <cell r="C59">
            <v>1.3197265447114099</v>
          </cell>
          <cell r="H59">
            <v>1.1279889221313977</v>
          </cell>
        </row>
        <row r="60">
          <cell r="C60">
            <v>1.3956242779823214</v>
          </cell>
          <cell r="H60">
            <v>0.86451087132141691</v>
          </cell>
        </row>
        <row r="61">
          <cell r="C61">
            <v>1.495800528896629</v>
          </cell>
          <cell r="H61">
            <v>1.1791731857829815</v>
          </cell>
        </row>
        <row r="62">
          <cell r="C62">
            <v>1.0097052308922077</v>
          </cell>
          <cell r="H62">
            <v>0.77829582130724728</v>
          </cell>
        </row>
        <row r="63">
          <cell r="C63">
            <v>1.2135156840120447</v>
          </cell>
          <cell r="H63">
            <v>0.9984958405826988</v>
          </cell>
        </row>
        <row r="64">
          <cell r="C64">
            <v>0.83307251944889882</v>
          </cell>
          <cell r="H64">
            <v>0.55746416310695091</v>
          </cell>
        </row>
        <row r="65">
          <cell r="C65">
            <v>0.98945219191732581</v>
          </cell>
          <cell r="H65">
            <v>0.9873774941222514</v>
          </cell>
        </row>
        <row r="66">
          <cell r="C66">
            <v>1.6937211681264039</v>
          </cell>
          <cell r="H66">
            <v>1.4642640113348089</v>
          </cell>
        </row>
        <row r="67">
          <cell r="C67">
            <v>1.3487431776038159</v>
          </cell>
          <cell r="H67">
            <v>0.98822165167975773</v>
          </cell>
        </row>
        <row r="68">
          <cell r="C68">
            <v>1.0625427746169613</v>
          </cell>
          <cell r="H68">
            <v>0.74244118019660266</v>
          </cell>
        </row>
        <row r="69">
          <cell r="C69">
            <v>0.90643693715530971</v>
          </cell>
          <cell r="H69">
            <v>0.83326634114682563</v>
          </cell>
        </row>
        <row r="70">
          <cell r="C70">
            <v>1.1453386880064795</v>
          </cell>
          <cell r="H70">
            <v>0.8711247503573315</v>
          </cell>
        </row>
        <row r="71">
          <cell r="C71">
            <v>1.2275901387348778</v>
          </cell>
          <cell r="H71">
            <v>1.0736325867418679</v>
          </cell>
        </row>
        <row r="72">
          <cell r="C72">
            <v>1.3712668800409711</v>
          </cell>
          <cell r="H72">
            <v>1.2950268765575916</v>
          </cell>
        </row>
        <row r="73">
          <cell r="C73">
            <v>1.5573890728698849</v>
          </cell>
          <cell r="H73">
            <v>1.3321658941531931</v>
          </cell>
        </row>
        <row r="74">
          <cell r="C74">
            <v>1.3980328627998966</v>
          </cell>
          <cell r="H74">
            <v>1.1214912603915739</v>
          </cell>
        </row>
        <row r="75">
          <cell r="C75">
            <v>1.5246316572138299</v>
          </cell>
          <cell r="H75">
            <v>1.4189632481805372</v>
          </cell>
        </row>
        <row r="76">
          <cell r="C76">
            <v>1.2810765889685047</v>
          </cell>
          <cell r="H76">
            <v>1.0645116152504079</v>
          </cell>
        </row>
        <row r="77">
          <cell r="C77">
            <v>1.1155492841734074</v>
          </cell>
          <cell r="H77">
            <v>1.0383563104796276</v>
          </cell>
        </row>
        <row r="78">
          <cell r="C78">
            <v>0.29967567113248184</v>
          </cell>
          <cell r="H78">
            <v>0.21200696239163366</v>
          </cell>
        </row>
        <row r="79">
          <cell r="C79">
            <v>1.1038085146753778</v>
          </cell>
          <cell r="H79">
            <v>1.0650034437346438</v>
          </cell>
        </row>
        <row r="80">
          <cell r="C80">
            <v>1.4433927807361351</v>
          </cell>
          <cell r="H80">
            <v>1.2289647113509314</v>
          </cell>
        </row>
        <row r="81">
          <cell r="C81">
            <v>1.1565055181846227</v>
          </cell>
          <cell r="H81">
            <v>0.58921293583338064</v>
          </cell>
        </row>
        <row r="82">
          <cell r="C82">
            <v>1.1624544797886844</v>
          </cell>
          <cell r="H82">
            <v>1.135821074309048</v>
          </cell>
        </row>
        <row r="83">
          <cell r="C83">
            <v>1.3390383903586967</v>
          </cell>
          <cell r="H83">
            <v>1.3414180698068143</v>
          </cell>
        </row>
        <row r="84">
          <cell r="C84">
            <v>0.99109853928181657</v>
          </cell>
          <cell r="H84">
            <v>0.80231747596426517</v>
          </cell>
        </row>
        <row r="85">
          <cell r="C85">
            <v>1.1858211455148611</v>
          </cell>
          <cell r="H85">
            <v>1.1884916532310223</v>
          </cell>
        </row>
        <row r="86">
          <cell r="C86">
            <v>1.2040179086600062</v>
          </cell>
          <cell r="H86">
            <v>1.2075498828617475</v>
          </cell>
        </row>
        <row r="87">
          <cell r="C87">
            <v>1.0043796741354865</v>
          </cell>
          <cell r="H87">
            <v>0.97506380366216394</v>
          </cell>
        </row>
        <row r="88">
          <cell r="C88">
            <v>1.1414617043012938</v>
          </cell>
          <cell r="H88">
            <v>1.1224549396080949</v>
          </cell>
        </row>
        <row r="89">
          <cell r="C89">
            <v>1.1331694544358604</v>
          </cell>
          <cell r="H89">
            <v>0.98255699807352492</v>
          </cell>
        </row>
        <row r="90">
          <cell r="C90">
            <v>0.96476122265455444</v>
          </cell>
          <cell r="H90">
            <v>0.62723011307829235</v>
          </cell>
        </row>
        <row r="91">
          <cell r="C91">
            <v>1.083144981802276</v>
          </cell>
          <cell r="H91">
            <v>1.0568634798545709</v>
          </cell>
        </row>
        <row r="92">
          <cell r="C92">
            <v>0.84601845269966747</v>
          </cell>
          <cell r="H92">
            <v>0.50915335116483895</v>
          </cell>
        </row>
        <row r="93">
          <cell r="C93">
            <v>0.99735259995367076</v>
          </cell>
          <cell r="H93">
            <v>0.86224908484130214</v>
          </cell>
        </row>
        <row r="94">
          <cell r="C94">
            <v>0.79107781492951179</v>
          </cell>
          <cell r="H94">
            <v>0.71581476967907198</v>
          </cell>
        </row>
        <row r="95">
          <cell r="C95">
            <v>0.73244696143394594</v>
          </cell>
          <cell r="H95">
            <v>0.64760822307726795</v>
          </cell>
        </row>
        <row r="96">
          <cell r="C96">
            <v>1.4387162765613046</v>
          </cell>
          <cell r="H96">
            <v>1.2784881792172302</v>
          </cell>
        </row>
        <row r="97">
          <cell r="C97">
            <v>0.89179459508359282</v>
          </cell>
          <cell r="H97">
            <v>0.59621878625724234</v>
          </cell>
        </row>
        <row r="98">
          <cell r="C98">
            <v>0.76530503730492327</v>
          </cell>
          <cell r="H98">
            <v>0.61417995243827894</v>
          </cell>
        </row>
      </sheetData>
      <sheetData sheetId="5">
        <row r="2">
          <cell r="H2">
            <v>2.1172234820899263E-2</v>
          </cell>
          <cell r="J2">
            <v>4.8059361004241286</v>
          </cell>
        </row>
        <row r="3">
          <cell r="H3">
            <v>5.7764638451038991E-3</v>
          </cell>
          <cell r="J3">
            <v>1.9848299742803539</v>
          </cell>
        </row>
        <row r="4">
          <cell r="H4">
            <v>-2.2386352828350223E-2</v>
          </cell>
          <cell r="J4">
            <v>0.88383564915330926</v>
          </cell>
        </row>
        <row r="5">
          <cell r="H5">
            <v>3.0839279082976082E-2</v>
          </cell>
          <cell r="J5">
            <v>1.8231457390308929</v>
          </cell>
        </row>
        <row r="6">
          <cell r="H6">
            <v>9.6462038973266495E-2</v>
          </cell>
          <cell r="J6">
            <v>0.83398130114102109</v>
          </cell>
        </row>
        <row r="7">
          <cell r="H7">
            <v>3.9769000228775414E-2</v>
          </cell>
          <cell r="J7">
            <v>2.4398158793992386</v>
          </cell>
        </row>
        <row r="8">
          <cell r="H8">
            <v>9.9076686406888957E-3</v>
          </cell>
          <cell r="J8">
            <v>0.27159689238429041</v>
          </cell>
        </row>
        <row r="9">
          <cell r="H9">
            <v>5.5908056769808707E-2</v>
          </cell>
          <cell r="J9">
            <v>0.37769274515518314</v>
          </cell>
        </row>
        <row r="10">
          <cell r="H10">
            <v>2.8677193538781252E-2</v>
          </cell>
          <cell r="J10">
            <v>0.72138904332931708</v>
          </cell>
        </row>
        <row r="11">
          <cell r="H11">
            <v>1.6820347535164627E-2</v>
          </cell>
          <cell r="J11">
            <v>1.3790109252027318</v>
          </cell>
        </row>
        <row r="12">
          <cell r="H12">
            <v>2.7778522242547621E-2</v>
          </cell>
          <cell r="J12">
            <v>1.0737125193904851</v>
          </cell>
        </row>
        <row r="13">
          <cell r="H13">
            <v>-2.8033895506069675E-2</v>
          </cell>
          <cell r="J13">
            <v>0.30026562939978807</v>
          </cell>
        </row>
        <row r="14">
          <cell r="H14">
            <v>4.5107071624175814E-2</v>
          </cell>
          <cell r="J14">
            <v>3.101657792011816</v>
          </cell>
        </row>
        <row r="15">
          <cell r="H15">
            <v>3.0663182197362669E-2</v>
          </cell>
          <cell r="J15">
            <v>2.7449180040605938</v>
          </cell>
        </row>
        <row r="16">
          <cell r="H16">
            <v>-1.7511112109882324E-2</v>
          </cell>
          <cell r="J16">
            <v>0.81178180927256516</v>
          </cell>
        </row>
        <row r="17">
          <cell r="H17">
            <v>3.4630408260022207E-2</v>
          </cell>
          <cell r="J17">
            <v>2.0022625060361179</v>
          </cell>
        </row>
        <row r="18">
          <cell r="H18">
            <v>1.4790651952353217E-2</v>
          </cell>
          <cell r="J18">
            <v>1.4520428589903116</v>
          </cell>
        </row>
        <row r="19">
          <cell r="H19">
            <v>4.1983387499572408E-2</v>
          </cell>
          <cell r="J19">
            <v>1.2214764929585178</v>
          </cell>
        </row>
        <row r="20">
          <cell r="H20">
            <v>-1.1384857514805573E-2</v>
          </cell>
          <cell r="J20">
            <v>1.5186403525031378</v>
          </cell>
        </row>
        <row r="21">
          <cell r="H21">
            <v>-9.6060989236625358E-3</v>
          </cell>
          <cell r="J21">
            <v>3.3665517535628591</v>
          </cell>
        </row>
        <row r="22">
          <cell r="H22">
            <v>8.1854773049743253E-3</v>
          </cell>
          <cell r="J22">
            <v>2.2200505273495788</v>
          </cell>
        </row>
        <row r="23">
          <cell r="H23">
            <v>3.4881347835597466E-2</v>
          </cell>
          <cell r="J23">
            <v>1.3048658554564132</v>
          </cell>
        </row>
        <row r="24">
          <cell r="H24">
            <v>5.0326022654564847E-3</v>
          </cell>
          <cell r="J24">
            <v>0.77012759819501808</v>
          </cell>
        </row>
        <row r="25">
          <cell r="H25">
            <v>0.11657775382286556</v>
          </cell>
          <cell r="J25">
            <v>0.46587286877396167</v>
          </cell>
        </row>
        <row r="26">
          <cell r="H26">
            <v>7.4381373826675076E-2</v>
          </cell>
          <cell r="J26">
            <v>0.68701807771328427</v>
          </cell>
        </row>
        <row r="27">
          <cell r="H27">
            <v>0.20103861638510304</v>
          </cell>
          <cell r="J27">
            <v>1.1661647140638345</v>
          </cell>
        </row>
        <row r="28">
          <cell r="H28">
            <v>0.11528005561647856</v>
          </cell>
          <cell r="J28">
            <v>1.9942148956468577</v>
          </cell>
        </row>
        <row r="29">
          <cell r="H29">
            <v>2.7864748733959785E-3</v>
          </cell>
          <cell r="J29">
            <v>3.4260217236447734</v>
          </cell>
        </row>
        <row r="30">
          <cell r="H30">
            <v>8.8710138185713966E-2</v>
          </cell>
          <cell r="J30">
            <v>1.7722109829539454</v>
          </cell>
        </row>
        <row r="31">
          <cell r="H31">
            <v>3.6036292233331761E-2</v>
          </cell>
          <cell r="J31">
            <v>3.7332771422548046</v>
          </cell>
        </row>
        <row r="32">
          <cell r="H32">
            <v>2.6765282774130712E-2</v>
          </cell>
          <cell r="J32">
            <v>1.1785449446309404</v>
          </cell>
        </row>
        <row r="33">
          <cell r="H33">
            <v>0.1115364767591214</v>
          </cell>
          <cell r="J33">
            <v>2.0720732792720238</v>
          </cell>
        </row>
        <row r="34">
          <cell r="H34">
            <v>1.7693321670824321E-2</v>
          </cell>
          <cell r="J34">
            <v>1.907826667089048</v>
          </cell>
        </row>
        <row r="35">
          <cell r="H35">
            <v>8.3077972269097258E-2</v>
          </cell>
          <cell r="J35">
            <v>4.8705155827007775E-2</v>
          </cell>
        </row>
        <row r="36">
          <cell r="H36">
            <v>5.0526247214423926E-2</v>
          </cell>
          <cell r="J36">
            <v>1.6043437730658765</v>
          </cell>
        </row>
        <row r="37">
          <cell r="H37">
            <v>1.5243416549416277E-2</v>
          </cell>
          <cell r="J37">
            <v>7.2412059725989968</v>
          </cell>
        </row>
        <row r="38">
          <cell r="H38">
            <v>2.7761403075499871E-2</v>
          </cell>
          <cell r="J38">
            <v>2.5259049487328467</v>
          </cell>
        </row>
        <row r="39">
          <cell r="H39">
            <v>0.12926821470914365</v>
          </cell>
          <cell r="J39">
            <v>0.24826314577202216</v>
          </cell>
        </row>
        <row r="40">
          <cell r="H40">
            <v>7.3461613377657109E-2</v>
          </cell>
          <cell r="J40">
            <v>1.0377658206983176</v>
          </cell>
        </row>
        <row r="41">
          <cell r="H41">
            <v>1.6389256435904068E-2</v>
          </cell>
          <cell r="J41">
            <v>8.3278570570830546</v>
          </cell>
        </row>
        <row r="42">
          <cell r="H42">
            <v>0.17107735406727279</v>
          </cell>
          <cell r="J42">
            <v>1.2232870350853398</v>
          </cell>
        </row>
        <row r="43">
          <cell r="H43">
            <v>5.4093640857153678E-3</v>
          </cell>
          <cell r="J43">
            <v>1.7291177511047098</v>
          </cell>
        </row>
        <row r="44">
          <cell r="H44">
            <v>2.9438778692254714E-2</v>
          </cell>
          <cell r="J44">
            <v>2.0443079161377895</v>
          </cell>
        </row>
        <row r="45">
          <cell r="H45">
            <v>1.8338108330748656E-2</v>
          </cell>
          <cell r="J45">
            <v>0.39464415501475625</v>
          </cell>
        </row>
        <row r="46">
          <cell r="H46">
            <v>2.4592102418033931E-2</v>
          </cell>
          <cell r="J46">
            <v>2.2799844405192453</v>
          </cell>
        </row>
        <row r="47">
          <cell r="H47">
            <v>3.8752457388156317E-2</v>
          </cell>
          <cell r="J47">
            <v>1.342798941331002</v>
          </cell>
        </row>
        <row r="48">
          <cell r="H48">
            <v>-1.2812963721804198E-2</v>
          </cell>
          <cell r="J48">
            <v>0.86295351478901483</v>
          </cell>
        </row>
        <row r="49">
          <cell r="H49">
            <v>1.2086169261396459E-3</v>
          </cell>
          <cell r="J49">
            <v>0.62626015135314539</v>
          </cell>
        </row>
        <row r="50">
          <cell r="H50">
            <v>1.0086139463340322E-2</v>
          </cell>
          <cell r="J50">
            <v>1.2729708477546438</v>
          </cell>
        </row>
        <row r="51">
          <cell r="H51">
            <v>4.281621404432967E-2</v>
          </cell>
          <cell r="J51">
            <v>0.61022564855714334</v>
          </cell>
        </row>
        <row r="52">
          <cell r="H52">
            <v>2.6814471325660304E-2</v>
          </cell>
          <cell r="J52">
            <v>2.0370016726566309</v>
          </cell>
        </row>
        <row r="53">
          <cell r="H53">
            <v>8.41897202549261E-3</v>
          </cell>
          <cell r="J53">
            <v>1.3985746670279948</v>
          </cell>
        </row>
        <row r="54">
          <cell r="H54">
            <v>0.11223551160277657</v>
          </cell>
          <cell r="J54">
            <v>2.4298078223911808</v>
          </cell>
        </row>
        <row r="55">
          <cell r="H55">
            <v>-5.8845786467718819E-2</v>
          </cell>
          <cell r="J55">
            <v>0.85684313597046757</v>
          </cell>
        </row>
        <row r="56">
          <cell r="H56">
            <v>-0.11595086014036271</v>
          </cell>
          <cell r="J56">
            <v>0.64200873831564065</v>
          </cell>
        </row>
        <row r="57">
          <cell r="H57">
            <v>-4.8825491439377063E-3</v>
          </cell>
          <cell r="J57">
            <v>0.4554735305819213</v>
          </cell>
        </row>
        <row r="58">
          <cell r="H58">
            <v>-7.4023497127780344E-3</v>
          </cell>
          <cell r="J58">
            <v>2.2263229914417773</v>
          </cell>
        </row>
        <row r="59">
          <cell r="H59">
            <v>3.4348355808041665E-2</v>
          </cell>
          <cell r="J59">
            <v>1.8711804280606843</v>
          </cell>
        </row>
        <row r="60">
          <cell r="H60">
            <v>5.8668027539901531E-2</v>
          </cell>
          <cell r="J60">
            <v>2.7115199751791477</v>
          </cell>
        </row>
        <row r="61">
          <cell r="H61">
            <v>0.21009112186857623</v>
          </cell>
          <cell r="J61">
            <v>0.38380918883827342</v>
          </cell>
        </row>
        <row r="62">
          <cell r="H62">
            <v>1.7131135537011809E-2</v>
          </cell>
          <cell r="J62">
            <v>0.55048300611940637</v>
          </cell>
        </row>
        <row r="63">
          <cell r="H63">
            <v>5.6844475698828507E-2</v>
          </cell>
          <cell r="J63">
            <v>2.2837005270147084</v>
          </cell>
        </row>
        <row r="64">
          <cell r="H64">
            <v>-3.3598271002145033E-2</v>
          </cell>
          <cell r="J64">
            <v>0.13741590713754628</v>
          </cell>
        </row>
        <row r="65">
          <cell r="H65">
            <v>-8.3581842181590024E-2</v>
          </cell>
          <cell r="J65">
            <v>0.25614587241813269</v>
          </cell>
        </row>
        <row r="66">
          <cell r="H66">
            <v>7.2553491908330535E-4</v>
          </cell>
          <cell r="J66">
            <v>0.36286422554519188</v>
          </cell>
        </row>
        <row r="67">
          <cell r="H67">
            <v>1.015086841400654E-2</v>
          </cell>
          <cell r="J67">
            <v>1.3475650254525198</v>
          </cell>
        </row>
        <row r="68">
          <cell r="H68">
            <v>-4.3595322597696481E-2</v>
          </cell>
          <cell r="J68">
            <v>1.8536378685492867</v>
          </cell>
        </row>
        <row r="69">
          <cell r="H69">
            <v>-2.950505541724427E-3</v>
          </cell>
          <cell r="J69">
            <v>1.1916412003962236</v>
          </cell>
        </row>
        <row r="70">
          <cell r="H70">
            <v>1.8306448116990975E-2</v>
          </cell>
          <cell r="J70">
            <v>1.2897142199694605</v>
          </cell>
        </row>
        <row r="71">
          <cell r="H71">
            <v>3.3968250773582245E-2</v>
          </cell>
          <cell r="J71">
            <v>2.8689940286968292</v>
          </cell>
        </row>
        <row r="72">
          <cell r="H72">
            <v>3.3387263464073419E-2</v>
          </cell>
          <cell r="J72">
            <v>4.5464116118132036</v>
          </cell>
        </row>
        <row r="73">
          <cell r="H73">
            <v>7.6012561020002534E-2</v>
          </cell>
          <cell r="J73">
            <v>1.8773949091872024</v>
          </cell>
        </row>
        <row r="74">
          <cell r="H74">
            <v>5.4331933324201914E-3</v>
          </cell>
          <cell r="J74">
            <v>4.9863265542303257</v>
          </cell>
        </row>
        <row r="75">
          <cell r="H75">
            <v>5.2933973598223785E-3</v>
          </cell>
          <cell r="J75">
            <v>4.4230931102763131</v>
          </cell>
        </row>
        <row r="76">
          <cell r="H76">
            <v>7.2431148231703074E-2</v>
          </cell>
          <cell r="J76">
            <v>1.769096633358876</v>
          </cell>
        </row>
        <row r="77">
          <cell r="H77">
            <v>9.61755238860546E-3</v>
          </cell>
          <cell r="J77">
            <v>2.991687190402613</v>
          </cell>
        </row>
        <row r="78">
          <cell r="H78">
            <v>0.11433316692787973</v>
          </cell>
          <cell r="J78">
            <v>1.5753193401009267</v>
          </cell>
        </row>
        <row r="79">
          <cell r="H79">
            <v>5.7855328849664822E-2</v>
          </cell>
          <cell r="J79">
            <v>0.7976411155507358</v>
          </cell>
        </row>
        <row r="80">
          <cell r="H80">
            <v>3.3659961920139383E-2</v>
          </cell>
          <cell r="J80">
            <v>1.4645569495880471</v>
          </cell>
        </row>
        <row r="81">
          <cell r="H81">
            <v>5.0034680309952617E-2</v>
          </cell>
          <cell r="J81">
            <v>0.87711734395524243</v>
          </cell>
        </row>
        <row r="82">
          <cell r="H82">
            <v>2.7440348995670031E-3</v>
          </cell>
          <cell r="J82">
            <v>2.9550734680808151</v>
          </cell>
        </row>
        <row r="83">
          <cell r="H83">
            <v>9.0177658854285567E-2</v>
          </cell>
          <cell r="J83">
            <v>0.79790724899234045</v>
          </cell>
        </row>
        <row r="84">
          <cell r="H84">
            <v>0.14611696023333889</v>
          </cell>
          <cell r="J84">
            <v>0.75839560257645555</v>
          </cell>
        </row>
        <row r="85">
          <cell r="H85">
            <v>0.17617209352863253</v>
          </cell>
          <cell r="J85">
            <v>0.99595802099630049</v>
          </cell>
        </row>
        <row r="86">
          <cell r="H86">
            <v>4.0675606583418691E-2</v>
          </cell>
          <cell r="J86">
            <v>2.6564250412699737</v>
          </cell>
        </row>
        <row r="87">
          <cell r="H87">
            <v>-1.102929511237208E-2</v>
          </cell>
          <cell r="J87">
            <v>0.53901555104395316</v>
          </cell>
        </row>
        <row r="88">
          <cell r="H88">
            <v>9.2631044670472437E-2</v>
          </cell>
          <cell r="J88">
            <v>1.3869602079823542</v>
          </cell>
        </row>
        <row r="89">
          <cell r="H89">
            <v>5.2744009801373559E-2</v>
          </cell>
          <cell r="J89">
            <v>0.78458197908009564</v>
          </cell>
        </row>
        <row r="90">
          <cell r="H90">
            <v>4.3216561915277965E-2</v>
          </cell>
          <cell r="J90">
            <v>1.5828785661483415</v>
          </cell>
        </row>
        <row r="91">
          <cell r="H91">
            <v>2.1025406060666656E-2</v>
          </cell>
          <cell r="J91">
            <v>3.0323951225385621</v>
          </cell>
        </row>
        <row r="92">
          <cell r="H92">
            <v>3.2685532446868962E-2</v>
          </cell>
          <cell r="J92">
            <v>0.44548358403100868</v>
          </cell>
        </row>
        <row r="93">
          <cell r="H93">
            <v>7.847720321111723E-2</v>
          </cell>
          <cell r="J93">
            <v>1.3132883224162306</v>
          </cell>
        </row>
        <row r="94">
          <cell r="H94">
            <v>0.20669282268531849</v>
          </cell>
          <cell r="J94">
            <v>0.34550960027522909</v>
          </cell>
        </row>
        <row r="95">
          <cell r="H95">
            <v>0.32273708508021731</v>
          </cell>
          <cell r="J95">
            <v>0.27053211178840647</v>
          </cell>
        </row>
      </sheetData>
      <sheetData sheetId="6"/>
      <sheetData sheetId="7"/>
      <sheetData sheetId="8"/>
      <sheetData sheetId="9"/>
      <sheetData sheetId="10">
        <row r="2">
          <cell r="F2">
            <v>0.33979075084743521</v>
          </cell>
        </row>
        <row r="3">
          <cell r="F3">
            <v>0.22750949927180281</v>
          </cell>
        </row>
        <row r="4">
          <cell r="F4">
            <v>0.6052599213627764</v>
          </cell>
        </row>
        <row r="5">
          <cell r="F5">
            <v>0.24009984482321395</v>
          </cell>
        </row>
        <row r="6">
          <cell r="F6">
            <v>0.16570496371337881</v>
          </cell>
        </row>
        <row r="7">
          <cell r="F7">
            <v>0.24056373190497876</v>
          </cell>
        </row>
        <row r="8">
          <cell r="F8">
            <v>0.63016922941554943</v>
          </cell>
        </row>
        <row r="9">
          <cell r="F9">
            <v>0.25691652204154236</v>
          </cell>
        </row>
        <row r="10">
          <cell r="F10">
            <v>0.17638569922054989</v>
          </cell>
        </row>
        <row r="11">
          <cell r="F11">
            <v>0.14271344348026316</v>
          </cell>
        </row>
        <row r="12">
          <cell r="F12">
            <v>0.53879275926239534</v>
          </cell>
        </row>
        <row r="13">
          <cell r="F13">
            <v>0.64599682229673805</v>
          </cell>
        </row>
        <row r="14">
          <cell r="F14">
            <v>0.15787201839638795</v>
          </cell>
        </row>
        <row r="15">
          <cell r="F15">
            <v>0.18294499348775209</v>
          </cell>
        </row>
        <row r="16">
          <cell r="F16">
            <v>0.37544985904031958</v>
          </cell>
        </row>
        <row r="17">
          <cell r="F17">
            <v>0.30918659624352085</v>
          </cell>
        </row>
        <row r="18">
          <cell r="F18">
            <v>0.32156484408921215</v>
          </cell>
        </row>
        <row r="19">
          <cell r="F19">
            <v>0.16295575914951274</v>
          </cell>
        </row>
        <row r="20">
          <cell r="F20">
            <v>0.2940274589066163</v>
          </cell>
        </row>
        <row r="21">
          <cell r="F21">
            <v>0.21223039185456335</v>
          </cell>
        </row>
        <row r="22">
          <cell r="F22">
            <v>7.0429273759932118E-2</v>
          </cell>
        </row>
        <row r="23">
          <cell r="F23">
            <v>0.21839418375642841</v>
          </cell>
        </row>
        <row r="24">
          <cell r="F24">
            <v>0.18447898233232274</v>
          </cell>
        </row>
        <row r="25">
          <cell r="F25">
            <v>0.13269339738553126</v>
          </cell>
        </row>
        <row r="26">
          <cell r="F26">
            <v>0.12808851158804524</v>
          </cell>
        </row>
        <row r="27">
          <cell r="F27">
            <v>0.20447798731214575</v>
          </cell>
        </row>
        <row r="28">
          <cell r="F28">
            <v>0.12042591406402683</v>
          </cell>
        </row>
        <row r="29">
          <cell r="F29">
            <v>7.076964095583084E-2</v>
          </cell>
        </row>
        <row r="30">
          <cell r="F30">
            <v>0.11308584662139191</v>
          </cell>
        </row>
        <row r="31">
          <cell r="F31">
            <v>0.20377752312783592</v>
          </cell>
        </row>
        <row r="32">
          <cell r="F32">
            <v>0.13219508579706588</v>
          </cell>
        </row>
        <row r="33">
          <cell r="F33">
            <v>0.17263081283185136</v>
          </cell>
        </row>
        <row r="34">
          <cell r="F34">
            <v>0.26910917921156402</v>
          </cell>
        </row>
        <row r="35">
          <cell r="F35">
            <v>0.87898925756516599</v>
          </cell>
        </row>
        <row r="36">
          <cell r="F36">
            <v>0.23382270352803586</v>
          </cell>
        </row>
        <row r="37">
          <cell r="F37">
            <v>0.31937713725694572</v>
          </cell>
        </row>
        <row r="38">
          <cell r="F38">
            <v>0.22270411092001716</v>
          </cell>
        </row>
        <row r="39">
          <cell r="F39">
            <v>0.39985626780352357</v>
          </cell>
        </row>
        <row r="40">
          <cell r="F40">
            <v>7.9316313918664352E-2</v>
          </cell>
        </row>
        <row r="41">
          <cell r="F41">
            <v>0.19711553235888032</v>
          </cell>
        </row>
        <row r="42">
          <cell r="F42">
            <v>8.8640903338601168E-2</v>
          </cell>
        </row>
        <row r="43">
          <cell r="F43">
            <v>0.18013285999416037</v>
          </cell>
        </row>
        <row r="44">
          <cell r="F44">
            <v>0.41512055177382418</v>
          </cell>
        </row>
        <row r="45">
          <cell r="F45">
            <v>0.31511884465713136</v>
          </cell>
        </row>
        <row r="46">
          <cell r="F46">
            <v>0.11175604882706802</v>
          </cell>
        </row>
        <row r="47">
          <cell r="F47">
            <v>9.3956508268332323E-2</v>
          </cell>
        </row>
        <row r="48">
          <cell r="F48">
            <v>0.21036918588768541</v>
          </cell>
        </row>
        <row r="49">
          <cell r="F49">
            <v>0.48078762867660529</v>
          </cell>
        </row>
        <row r="50">
          <cell r="F50">
            <v>0.19012875767898019</v>
          </cell>
        </row>
        <row r="51">
          <cell r="F51">
            <v>0.21833708673165156</v>
          </cell>
        </row>
        <row r="52">
          <cell r="F52">
            <v>0.12368913053394456</v>
          </cell>
        </row>
        <row r="53">
          <cell r="F53">
            <v>0.15377622800964039</v>
          </cell>
        </row>
        <row r="54">
          <cell r="F54">
            <v>0.32549289286882366</v>
          </cell>
        </row>
        <row r="55">
          <cell r="F55">
            <v>0.21092384609364304</v>
          </cell>
        </row>
        <row r="56">
          <cell r="F56">
            <v>0.2373774330007252</v>
          </cell>
        </row>
        <row r="57">
          <cell r="F57">
            <v>0.46568676212319338</v>
          </cell>
        </row>
        <row r="58">
          <cell r="F58">
            <v>0.3511837120668212</v>
          </cell>
        </row>
        <row r="59">
          <cell r="F59">
            <v>0.33193002325534898</v>
          </cell>
        </row>
        <row r="60">
          <cell r="F60">
            <v>0.29240120683917453</v>
          </cell>
        </row>
        <row r="61">
          <cell r="F61">
            <v>0.41703172422011858</v>
          </cell>
        </row>
        <row r="62">
          <cell r="F62">
            <v>0.10720424716920174</v>
          </cell>
        </row>
        <row r="63">
          <cell r="F63">
            <v>0.26904107653895759</v>
          </cell>
        </row>
        <row r="64">
          <cell r="F64">
            <v>0.3498030592405354</v>
          </cell>
        </row>
        <row r="65">
          <cell r="F65">
            <v>0.44425391464556702</v>
          </cell>
        </row>
        <row r="66">
          <cell r="F66">
            <v>0.20890330406052429</v>
          </cell>
        </row>
        <row r="67">
          <cell r="F67">
            <v>0.36046924354523768</v>
          </cell>
        </row>
        <row r="68">
          <cell r="F68">
            <v>0.22826841628445271</v>
          </cell>
        </row>
        <row r="69">
          <cell r="F69">
            <v>0.279797238850644</v>
          </cell>
        </row>
        <row r="70">
          <cell r="F70">
            <v>0.21474187869398875</v>
          </cell>
        </row>
        <row r="71">
          <cell r="F71">
            <v>0.27851142678761626</v>
          </cell>
        </row>
        <row r="72">
          <cell r="F72">
            <v>0.11850650006364233</v>
          </cell>
        </row>
        <row r="73">
          <cell r="F73">
            <v>0.24460220569262153</v>
          </cell>
        </row>
        <row r="74">
          <cell r="F74">
            <v>0.13827058850844251</v>
          </cell>
        </row>
        <row r="75">
          <cell r="F75">
            <v>0.40562526116963987</v>
          </cell>
        </row>
        <row r="76">
          <cell r="F76">
            <v>7.543421784495645E-2</v>
          </cell>
        </row>
        <row r="77">
          <cell r="F77">
            <v>0.25791058811371448</v>
          </cell>
        </row>
        <row r="78">
          <cell r="F78">
            <v>0.60715603353142322</v>
          </cell>
        </row>
        <row r="79">
          <cell r="F79">
            <v>6.3466331073444404E-2</v>
          </cell>
        </row>
        <row r="80">
          <cell r="F80">
            <v>4.7978220640165457E-2</v>
          </cell>
        </row>
        <row r="81">
          <cell r="F81">
            <v>0.27517286898884336</v>
          </cell>
        </row>
        <row r="82">
          <cell r="F82">
            <v>5.4612912812058642E-2</v>
          </cell>
        </row>
        <row r="83">
          <cell r="F83">
            <v>1.9979459110468376E-2</v>
          </cell>
        </row>
        <row r="84">
          <cell r="F84">
            <v>7.127698628021864E-2</v>
          </cell>
        </row>
        <row r="85">
          <cell r="F85">
            <v>5.3731482889603249E-2</v>
          </cell>
        </row>
        <row r="86">
          <cell r="F86">
            <v>0.24738970410465824</v>
          </cell>
        </row>
        <row r="87">
          <cell r="F87">
            <v>0.43917141176790819</v>
          </cell>
        </row>
        <row r="88">
          <cell r="F88">
            <v>8.0308145729124272E-2</v>
          </cell>
        </row>
        <row r="89">
          <cell r="F89">
            <v>0.50120497711288137</v>
          </cell>
        </row>
        <row r="90">
          <cell r="F90">
            <v>0.2062317331476011</v>
          </cell>
        </row>
        <row r="91">
          <cell r="F91">
            <v>0.18631435914692018</v>
          </cell>
        </row>
        <row r="92">
          <cell r="F92">
            <v>0.16623185079376421</v>
          </cell>
        </row>
        <row r="93">
          <cell r="F93">
            <v>0.20796912367853282</v>
          </cell>
        </row>
        <row r="94">
          <cell r="F94">
            <v>0.40904182570173886</v>
          </cell>
        </row>
        <row r="95">
          <cell r="F95">
            <v>0.25562813687375691</v>
          </cell>
        </row>
      </sheetData>
      <sheetData sheetId="11"/>
      <sheetData sheetId="12">
        <row r="2">
          <cell r="E2">
            <v>1.1421453135289386</v>
          </cell>
        </row>
        <row r="3">
          <cell r="E3">
            <v>0.80351021328707128</v>
          </cell>
        </row>
        <row r="4">
          <cell r="E4">
            <v>0</v>
          </cell>
        </row>
        <row r="5">
          <cell r="E5">
            <v>0.29271048386644205</v>
          </cell>
        </row>
        <row r="6">
          <cell r="E6">
            <v>2.7874288539459547E-2</v>
          </cell>
        </row>
        <row r="7">
          <cell r="E7">
            <v>0.48863288832060581</v>
          </cell>
        </row>
        <row r="8">
          <cell r="E8">
            <v>0.19697352743598179</v>
          </cell>
        </row>
        <row r="9">
          <cell r="E9">
            <v>0.26075292042854181</v>
          </cell>
        </row>
        <row r="10">
          <cell r="E10">
            <v>0.84447115752721913</v>
          </cell>
        </row>
        <row r="11">
          <cell r="E11">
            <v>0.76315522750902842</v>
          </cell>
        </row>
        <row r="12">
          <cell r="E12">
            <v>0.15799462643398063</v>
          </cell>
        </row>
        <row r="13">
          <cell r="E13">
            <v>0.17561202111594384</v>
          </cell>
        </row>
        <row r="14">
          <cell r="E14">
            <v>0.15100648025778987</v>
          </cell>
        </row>
        <row r="15">
          <cell r="E15">
            <v>0.30298190318538865</v>
          </cell>
        </row>
        <row r="16">
          <cell r="E16">
            <v>0.19754941962129663</v>
          </cell>
        </row>
        <row r="17">
          <cell r="E17">
            <v>0.27535160232079492</v>
          </cell>
        </row>
        <row r="18">
          <cell r="E18">
            <v>0.27334851936218679</v>
          </cell>
        </row>
        <row r="19">
          <cell r="E19">
            <v>0.29734659500712557</v>
          </cell>
        </row>
        <row r="20">
          <cell r="E20">
            <v>5.8990413527185257E-4</v>
          </cell>
        </row>
        <row r="21">
          <cell r="E21">
            <v>0.75691856222414566</v>
          </cell>
        </row>
        <row r="22">
          <cell r="E22">
            <v>0.14878865487095411</v>
          </cell>
        </row>
        <row r="23">
          <cell r="E23">
            <v>0.36617357780271614</v>
          </cell>
        </row>
        <row r="24">
          <cell r="E24">
            <v>6.9642217543371562E-2</v>
          </cell>
        </row>
        <row r="25">
          <cell r="E25">
            <v>5.971902776838484E-4</v>
          </cell>
        </row>
        <row r="26">
          <cell r="E26">
            <v>0.89358894920115328</v>
          </cell>
        </row>
        <row r="27">
          <cell r="E27">
            <v>7.1086477059985123E-2</v>
          </cell>
        </row>
        <row r="28">
          <cell r="E28">
            <v>0.46146851807066186</v>
          </cell>
        </row>
        <row r="29">
          <cell r="E29">
            <v>0</v>
          </cell>
        </row>
        <row r="30">
          <cell r="E30">
            <v>0.18464386708341959</v>
          </cell>
        </row>
        <row r="31">
          <cell r="E31">
            <v>8.819388877707364E-2</v>
          </cell>
        </row>
        <row r="32">
          <cell r="E32">
            <v>0.15925247935369477</v>
          </cell>
        </row>
        <row r="33">
          <cell r="E33">
            <v>0.46475707982001019</v>
          </cell>
        </row>
        <row r="34">
          <cell r="E34">
            <v>0.18315042449927071</v>
          </cell>
        </row>
        <row r="35">
          <cell r="E35">
            <v>0.15394834789760131</v>
          </cell>
        </row>
        <row r="36">
          <cell r="E36">
            <v>0.46128565561177048</v>
          </cell>
        </row>
        <row r="37">
          <cell r="E37">
            <v>0.84082668289630469</v>
          </cell>
        </row>
        <row r="38">
          <cell r="E38">
            <v>0.22075347036988271</v>
          </cell>
        </row>
        <row r="39">
          <cell r="E39">
            <v>1.9953051643192489E-3</v>
          </cell>
        </row>
        <row r="40">
          <cell r="E40">
            <v>0.25259699719961898</v>
          </cell>
        </row>
        <row r="41">
          <cell r="E41">
            <v>0.27232238598455022</v>
          </cell>
        </row>
        <row r="42">
          <cell r="E42">
            <v>6.5817152952928726E-2</v>
          </cell>
        </row>
        <row r="43">
          <cell r="E43">
            <v>5.8290612760194219E-2</v>
          </cell>
        </row>
        <row r="44">
          <cell r="E44">
            <v>8.7553428489810153E-2</v>
          </cell>
        </row>
        <row r="45">
          <cell r="E45">
            <v>4.1225068695896955E-4</v>
          </cell>
        </row>
        <row r="46">
          <cell r="E46">
            <v>0.57792665092538575</v>
          </cell>
        </row>
        <row r="47">
          <cell r="E47">
            <v>0.27699413257415423</v>
          </cell>
        </row>
        <row r="48">
          <cell r="E48">
            <v>0.28836157544597374</v>
          </cell>
        </row>
        <row r="49">
          <cell r="E49">
            <v>0.26342312301255172</v>
          </cell>
        </row>
        <row r="50">
          <cell r="E50">
            <v>0.27093375610751091</v>
          </cell>
        </row>
        <row r="51">
          <cell r="E51">
            <v>0.31440450117133251</v>
          </cell>
        </row>
        <row r="52">
          <cell r="E52">
            <v>0.27747395834734839</v>
          </cell>
        </row>
        <row r="53">
          <cell r="E53">
            <v>0.35951753730896141</v>
          </cell>
        </row>
        <row r="54">
          <cell r="E54">
            <v>0.71335584908172933</v>
          </cell>
        </row>
        <row r="55">
          <cell r="E55">
            <v>6.827594120539862</v>
          </cell>
        </row>
        <row r="56">
          <cell r="E56">
            <v>1.2535179478377889</v>
          </cell>
        </row>
        <row r="57">
          <cell r="E57">
            <v>1.9670513598113506</v>
          </cell>
        </row>
        <row r="58">
          <cell r="E58">
            <v>0.88903544096282505</v>
          </cell>
        </row>
        <row r="59">
          <cell r="E59">
            <v>0.3221169017587649</v>
          </cell>
        </row>
        <row r="60">
          <cell r="E60">
            <v>0.10996323700497929</v>
          </cell>
        </row>
        <row r="61">
          <cell r="E61">
            <v>0.8202972610605308</v>
          </cell>
        </row>
        <row r="62">
          <cell r="E62">
            <v>0.78238216159668894</v>
          </cell>
        </row>
        <row r="63">
          <cell r="E63">
            <v>0.34648325746261932</v>
          </cell>
        </row>
        <row r="64">
          <cell r="E64">
            <v>1.123808598942081</v>
          </cell>
        </row>
        <row r="65">
          <cell r="E65">
            <v>0</v>
          </cell>
        </row>
        <row r="66">
          <cell r="E66">
            <v>0.31314559095357181</v>
          </cell>
        </row>
        <row r="67">
          <cell r="E67">
            <v>6.924828934076363E-4</v>
          </cell>
        </row>
        <row r="68">
          <cell r="E68">
            <v>0.4798552925063892</v>
          </cell>
        </row>
        <row r="69">
          <cell r="E69">
            <v>0.15187283600881335</v>
          </cell>
        </row>
        <row r="70">
          <cell r="E70">
            <v>0.47432607296814405</v>
          </cell>
        </row>
        <row r="71">
          <cell r="E71">
            <v>4.2642028643822404E-2</v>
          </cell>
        </row>
        <row r="72">
          <cell r="E72">
            <v>0.33900715513023766</v>
          </cell>
        </row>
        <row r="73">
          <cell r="E73">
            <v>0.28204348567436915</v>
          </cell>
        </row>
        <row r="74">
          <cell r="E74">
            <v>0.35329964001931607</v>
          </cell>
        </row>
        <row r="75">
          <cell r="E75">
            <v>0.33249412541776507</v>
          </cell>
        </row>
        <row r="76">
          <cell r="E76">
            <v>1.3376273127241638E-2</v>
          </cell>
        </row>
        <row r="77">
          <cell r="E77">
            <v>0.23500733683979194</v>
          </cell>
        </row>
        <row r="78">
          <cell r="E78">
            <v>0</v>
          </cell>
        </row>
        <row r="79">
          <cell r="E79">
            <v>0.2894128400632231</v>
          </cell>
        </row>
        <row r="80">
          <cell r="E80">
            <v>0.15111263187627602</v>
          </cell>
        </row>
        <row r="81">
          <cell r="E81">
            <v>0.14860224719101123</v>
          </cell>
        </row>
        <row r="82">
          <cell r="E82">
            <v>0.23922972589749616</v>
          </cell>
        </row>
        <row r="83">
          <cell r="E83">
            <v>3.5945635097982139E-3</v>
          </cell>
        </row>
        <row r="84">
          <cell r="E84">
            <v>1.4762443438914028E-3</v>
          </cell>
        </row>
        <row r="85">
          <cell r="E85">
            <v>0.28716777779852998</v>
          </cell>
        </row>
        <row r="86">
          <cell r="E86">
            <v>8.4502585240626232E-2</v>
          </cell>
        </row>
        <row r="87">
          <cell r="E87">
            <v>2.4370330333568325E-2</v>
          </cell>
        </row>
        <row r="88">
          <cell r="E88">
            <v>0.46151006398697708</v>
          </cell>
        </row>
        <row r="89">
          <cell r="E89">
            <v>0.98028509926226504</v>
          </cell>
        </row>
        <row r="90">
          <cell r="E90">
            <v>1.1817667335968365</v>
          </cell>
        </row>
        <row r="91">
          <cell r="E91">
            <v>0.32061125968583032</v>
          </cell>
        </row>
        <row r="92">
          <cell r="E92">
            <v>0.35627211954384586</v>
          </cell>
        </row>
        <row r="93">
          <cell r="E93">
            <v>0.34413679872225877</v>
          </cell>
        </row>
        <row r="94">
          <cell r="E94">
            <v>0.80766361876346204</v>
          </cell>
        </row>
        <row r="95">
          <cell r="E95">
            <v>0.56980060795157828</v>
          </cell>
        </row>
      </sheetData>
      <sheetData sheetId="13"/>
      <sheetData sheetId="14"/>
      <sheetData sheetId="15"/>
      <sheetData sheetId="16">
        <row r="2">
          <cell r="C2">
            <v>0.2018297512810493</v>
          </cell>
          <cell r="D2">
            <v>-0.14214531352893855</v>
          </cell>
        </row>
        <row r="3">
          <cell r="C3">
            <v>9.0875663087460118E-2</v>
          </cell>
          <cell r="D3">
            <v>0.19648978671292872</v>
          </cell>
        </row>
        <row r="4">
          <cell r="C4">
            <v>-0.2728301747497639</v>
          </cell>
          <cell r="D4">
            <v>1</v>
          </cell>
        </row>
        <row r="5">
          <cell r="C5">
            <v>0.20783727643151276</v>
          </cell>
          <cell r="D5">
            <v>0.70728951613355795</v>
          </cell>
        </row>
        <row r="6">
          <cell r="C6">
            <v>0.13682546123827014</v>
          </cell>
          <cell r="D6">
            <v>0.9721257114605405</v>
          </cell>
        </row>
        <row r="7">
          <cell r="C7">
            <v>6.7170004961673607E-2</v>
          </cell>
          <cell r="D7">
            <v>0.51136711167939419</v>
          </cell>
        </row>
        <row r="8">
          <cell r="C8">
            <v>0.1496902084347034</v>
          </cell>
          <cell r="D8">
            <v>0.80302647256401816</v>
          </cell>
        </row>
        <row r="9">
          <cell r="C9">
            <v>0.12534150649733874</v>
          </cell>
          <cell r="D9">
            <v>0.73924707957145819</v>
          </cell>
        </row>
        <row r="10">
          <cell r="C10">
            <v>4.385486867749127E-2</v>
          </cell>
          <cell r="D10">
            <v>0.15552884247278087</v>
          </cell>
        </row>
        <row r="11">
          <cell r="C11">
            <v>0.32797679694104764</v>
          </cell>
          <cell r="D11">
            <v>0.23684477249097158</v>
          </cell>
        </row>
        <row r="12">
          <cell r="C12">
            <v>0.19346849945338049</v>
          </cell>
          <cell r="D12">
            <v>0.84200537356601934</v>
          </cell>
        </row>
        <row r="13">
          <cell r="C13">
            <v>0.21610644926542924</v>
          </cell>
          <cell r="D13">
            <v>0.82438797888405613</v>
          </cell>
        </row>
        <row r="14">
          <cell r="C14">
            <v>0.31261799409358498</v>
          </cell>
          <cell r="D14">
            <v>0.84899351974221016</v>
          </cell>
        </row>
        <row r="15">
          <cell r="C15">
            <v>0.13673552654849422</v>
          </cell>
          <cell r="D15">
            <v>0.69701809681461135</v>
          </cell>
        </row>
        <row r="16">
          <cell r="C16">
            <v>0.16383901773533424</v>
          </cell>
          <cell r="D16">
            <v>0.80245058037870343</v>
          </cell>
        </row>
        <row r="17">
          <cell r="C17">
            <v>0.47242060726551427</v>
          </cell>
          <cell r="D17">
            <v>0.72464839767920508</v>
          </cell>
        </row>
        <row r="18">
          <cell r="C18">
            <v>0.28115657619032652</v>
          </cell>
          <cell r="D18">
            <v>0.72665148063781326</v>
          </cell>
        </row>
        <row r="19">
          <cell r="C19">
            <v>0.1599659829445027</v>
          </cell>
          <cell r="D19">
            <v>0.70265340499287443</v>
          </cell>
        </row>
        <row r="20">
          <cell r="C20">
            <v>-0.14398162633847864</v>
          </cell>
          <cell r="D20">
            <v>0.99941009586472818</v>
          </cell>
        </row>
        <row r="21">
          <cell r="C21">
            <v>0.14610978399266936</v>
          </cell>
          <cell r="D21">
            <v>0.24308143777585434</v>
          </cell>
        </row>
        <row r="22">
          <cell r="C22">
            <v>6.0787749754525958E-3</v>
          </cell>
          <cell r="D22">
            <v>0.85121134512904595</v>
          </cell>
        </row>
        <row r="23">
          <cell r="C23">
            <v>0.17167331523406645</v>
          </cell>
          <cell r="D23">
            <v>0.6338264221972838</v>
          </cell>
        </row>
        <row r="24">
          <cell r="C24">
            <v>0.19915920520445385</v>
          </cell>
          <cell r="D24">
            <v>0.93035778245662848</v>
          </cell>
        </row>
        <row r="25">
          <cell r="C25">
            <v>-7.6435640924502569E-3</v>
          </cell>
          <cell r="D25">
            <v>0.9994028097223161</v>
          </cell>
        </row>
        <row r="26">
          <cell r="C26">
            <v>0.14554293754278125</v>
          </cell>
          <cell r="D26">
            <v>0.10641105079884672</v>
          </cell>
        </row>
        <row r="27">
          <cell r="C27">
            <v>8.6105043687177488E-2</v>
          </cell>
          <cell r="D27">
            <v>0.92891352294001484</v>
          </cell>
        </row>
        <row r="28">
          <cell r="C28">
            <v>0.16796511086558039</v>
          </cell>
          <cell r="D28">
            <v>0.53853148192933809</v>
          </cell>
        </row>
        <row r="29">
          <cell r="C29">
            <v>0.43574200332134433</v>
          </cell>
          <cell r="D29">
            <v>1</v>
          </cell>
        </row>
        <row r="30">
          <cell r="C30">
            <v>0.14723847193373082</v>
          </cell>
          <cell r="D30">
            <v>0.81535613291658038</v>
          </cell>
        </row>
        <row r="31">
          <cell r="C31">
            <v>6.4844023995720673E-2</v>
          </cell>
          <cell r="D31">
            <v>0.91180611122292632</v>
          </cell>
        </row>
        <row r="32">
          <cell r="C32">
            <v>4.2760027263897285E-2</v>
          </cell>
          <cell r="D32">
            <v>0.8407475206463052</v>
          </cell>
        </row>
        <row r="33">
          <cell r="C33">
            <v>0.1394749145823671</v>
          </cell>
          <cell r="D33">
            <v>0.53524292017998976</v>
          </cell>
        </row>
        <row r="34">
          <cell r="C34">
            <v>0.26602224647856859</v>
          </cell>
          <cell r="D34">
            <v>0.81684957550072923</v>
          </cell>
        </row>
        <row r="35">
          <cell r="C35">
            <v>2.7572496531310647E-3</v>
          </cell>
          <cell r="D35">
            <v>0.84605165210239863</v>
          </cell>
        </row>
        <row r="36">
          <cell r="C36">
            <v>0.13443893308334556</v>
          </cell>
          <cell r="D36">
            <v>0.53871434438822952</v>
          </cell>
        </row>
        <row r="37">
          <cell r="C37">
            <v>0.11180143986078464</v>
          </cell>
          <cell r="D37">
            <v>0.15917331710369531</v>
          </cell>
        </row>
        <row r="38">
          <cell r="C38">
            <v>0.25398444630356642</v>
          </cell>
          <cell r="D38">
            <v>0.77924652963011731</v>
          </cell>
        </row>
        <row r="39">
          <cell r="C39">
            <v>-0.24120240585876007</v>
          </cell>
          <cell r="D39">
            <v>0.99800469483568077</v>
          </cell>
        </row>
        <row r="40">
          <cell r="C40">
            <v>0.14182005948031559</v>
          </cell>
          <cell r="D40">
            <v>0.74740300280038108</v>
          </cell>
        </row>
        <row r="41">
          <cell r="C41">
            <v>0.14684436245518412</v>
          </cell>
          <cell r="D41">
            <v>0.72767761401544973</v>
          </cell>
        </row>
        <row r="42">
          <cell r="C42">
            <v>0.19738220103952861</v>
          </cell>
          <cell r="D42">
            <v>0.93418284704707122</v>
          </cell>
        </row>
        <row r="43">
          <cell r="C43">
            <v>0.27375577574838289</v>
          </cell>
          <cell r="D43">
            <v>0.9417093872398058</v>
          </cell>
        </row>
        <row r="44">
          <cell r="C44">
            <v>0.95707007059092486</v>
          </cell>
          <cell r="D44">
            <v>0.91244657151018982</v>
          </cell>
        </row>
        <row r="45">
          <cell r="C45">
            <v>-0.40209886109834825</v>
          </cell>
          <cell r="D45">
            <v>0.99958774931304106</v>
          </cell>
        </row>
        <row r="46">
          <cell r="C46">
            <v>0.35945083320539412</v>
          </cell>
          <cell r="D46">
            <v>0.42207334907461425</v>
          </cell>
        </row>
        <row r="47">
          <cell r="C47">
            <v>0.17506862874782511</v>
          </cell>
          <cell r="D47">
            <v>0.72300586742584572</v>
          </cell>
        </row>
        <row r="48">
          <cell r="C48">
            <v>0.13504186255013645</v>
          </cell>
          <cell r="D48">
            <v>0.71163842455402626</v>
          </cell>
        </row>
        <row r="49">
          <cell r="C49">
            <v>7.8577035183128988E-2</v>
          </cell>
          <cell r="D49">
            <v>0.73657687698744834</v>
          </cell>
        </row>
        <row r="50">
          <cell r="C50">
            <v>0.15638882246563518</v>
          </cell>
          <cell r="D50">
            <v>0.72906624389248909</v>
          </cell>
        </row>
        <row r="51">
          <cell r="C51">
            <v>0.23769058932135417</v>
          </cell>
          <cell r="D51">
            <v>0.68559549882866744</v>
          </cell>
        </row>
        <row r="52">
          <cell r="C52">
            <v>0.21134273632344175</v>
          </cell>
          <cell r="D52">
            <v>0.72252604165265155</v>
          </cell>
        </row>
        <row r="53">
          <cell r="C53">
            <v>0.28956814279264476</v>
          </cell>
          <cell r="D53">
            <v>0.64048246269103859</v>
          </cell>
        </row>
        <row r="54">
          <cell r="C54">
            <v>8.5010490977759132E-2</v>
          </cell>
          <cell r="D54">
            <v>0.28664415091827067</v>
          </cell>
        </row>
        <row r="55">
          <cell r="C55">
            <v>1.145744511682825E-2</v>
          </cell>
          <cell r="D55">
            <v>-5.827594120539862</v>
          </cell>
        </row>
        <row r="56">
          <cell r="C56">
            <v>3.3014248214189759E-2</v>
          </cell>
          <cell r="D56">
            <v>-0.25351794783778892</v>
          </cell>
        </row>
        <row r="57">
          <cell r="C57">
            <v>6.4365154419073867E-2</v>
          </cell>
          <cell r="D57">
            <v>-0.9670513598113506</v>
          </cell>
        </row>
        <row r="58">
          <cell r="C58">
            <v>5.6222347958734646E-2</v>
          </cell>
          <cell r="D58">
            <v>0.11096455903717495</v>
          </cell>
        </row>
        <row r="59">
          <cell r="C59">
            <v>0.21017845508598382</v>
          </cell>
          <cell r="D59">
            <v>0.67788309824123516</v>
          </cell>
        </row>
        <row r="60">
          <cell r="C60">
            <v>0.43670948779762891</v>
          </cell>
          <cell r="D60">
            <v>0.89003676299502077</v>
          </cell>
        </row>
        <row r="61">
          <cell r="C61">
            <v>8.1445853549044309E-2</v>
          </cell>
          <cell r="D61">
            <v>0.1797027389394692</v>
          </cell>
        </row>
        <row r="62">
          <cell r="C62">
            <v>7.9916718101295053E-2</v>
          </cell>
          <cell r="D62">
            <v>0.21761783840331106</v>
          </cell>
        </row>
        <row r="63">
          <cell r="C63">
            <v>8.4433371060487539E-2</v>
          </cell>
          <cell r="D63">
            <v>0.65351674253738068</v>
          </cell>
        </row>
        <row r="64">
          <cell r="C64">
            <v>7.8118868019091278E-2</v>
          </cell>
          <cell r="D64">
            <v>-0.12380859894208096</v>
          </cell>
        </row>
        <row r="65">
          <cell r="C65">
            <v>-4.6114032236593177E-3</v>
          </cell>
          <cell r="D65">
            <v>1</v>
          </cell>
        </row>
        <row r="66">
          <cell r="C66">
            <v>6.2898372315688691E-2</v>
          </cell>
          <cell r="D66">
            <v>0.68685440904642814</v>
          </cell>
        </row>
        <row r="67">
          <cell r="C67">
            <v>-0.10814713330258764</v>
          </cell>
          <cell r="D67">
            <v>0.99930751710659238</v>
          </cell>
        </row>
        <row r="68">
          <cell r="C68">
            <v>0.22762932541473643</v>
          </cell>
          <cell r="D68">
            <v>0.52014470749361075</v>
          </cell>
        </row>
        <row r="69">
          <cell r="C69">
            <v>5.8265781462054793E-2</v>
          </cell>
          <cell r="D69">
            <v>0.84812716399118671</v>
          </cell>
        </row>
        <row r="70">
          <cell r="C70" t="str">
            <v>NA</v>
          </cell>
          <cell r="D70">
            <v>0.525673927031856</v>
          </cell>
        </row>
        <row r="71">
          <cell r="C71">
            <v>0.47181250808712544</v>
          </cell>
          <cell r="D71">
            <v>0.95735797135617762</v>
          </cell>
        </row>
        <row r="72">
          <cell r="C72">
            <v>9.7496138961380881E-3</v>
          </cell>
          <cell r="D72">
            <v>0.6609928448697624</v>
          </cell>
        </row>
        <row r="73">
          <cell r="C73">
            <v>0.19546756341753588</v>
          </cell>
          <cell r="D73">
            <v>0.71795651432563079</v>
          </cell>
        </row>
        <row r="74">
          <cell r="C74">
            <v>0.20058145934260757</v>
          </cell>
          <cell r="D74">
            <v>0.64670035998068398</v>
          </cell>
        </row>
        <row r="75">
          <cell r="C75">
            <v>0.14880044884622232</v>
          </cell>
          <cell r="D75">
            <v>0.66750587458223487</v>
          </cell>
        </row>
        <row r="76">
          <cell r="C76">
            <v>0.44109781695576566</v>
          </cell>
          <cell r="D76">
            <v>0.98662372687275834</v>
          </cell>
        </row>
        <row r="77">
          <cell r="C77">
            <v>0.35229697393069398</v>
          </cell>
          <cell r="D77">
            <v>0.76499266316020809</v>
          </cell>
        </row>
        <row r="78">
          <cell r="C78">
            <v>9.5854360924328613E-2</v>
          </cell>
          <cell r="D78">
            <v>1</v>
          </cell>
        </row>
        <row r="79">
          <cell r="C79">
            <v>0.31906243535809431</v>
          </cell>
          <cell r="D79">
            <v>0.7105871599367769</v>
          </cell>
        </row>
        <row r="80">
          <cell r="C80">
            <v>0.46379429934480615</v>
          </cell>
          <cell r="D80">
            <v>0.84888736812372401</v>
          </cell>
        </row>
        <row r="81">
          <cell r="C81">
            <v>0.10287304772384712</v>
          </cell>
          <cell r="D81">
            <v>0.85139775280898877</v>
          </cell>
        </row>
        <row r="82">
          <cell r="C82">
            <v>0.47908708081025414</v>
          </cell>
          <cell r="D82">
            <v>0.76077027410250386</v>
          </cell>
        </row>
        <row r="83">
          <cell r="C83">
            <v>0.31404402308995782</v>
          </cell>
          <cell r="D83">
            <v>0.99640543649020175</v>
          </cell>
        </row>
        <row r="84">
          <cell r="C84">
            <v>-0.11286268002917658</v>
          </cell>
          <cell r="D84">
            <v>0.99852375565610862</v>
          </cell>
        </row>
        <row r="85">
          <cell r="C85">
            <v>0.3046746836346888</v>
          </cell>
          <cell r="D85">
            <v>0.71283222220147002</v>
          </cell>
        </row>
        <row r="86">
          <cell r="C86">
            <v>0.40047668555839688</v>
          </cell>
          <cell r="D86">
            <v>0.91549741475937374</v>
          </cell>
        </row>
        <row r="87">
          <cell r="C87">
            <v>5.9312016734090908E-2</v>
          </cell>
          <cell r="D87">
            <v>0.97562966966643172</v>
          </cell>
        </row>
        <row r="88">
          <cell r="C88">
            <v>0.24928733205041886</v>
          </cell>
          <cell r="D88">
            <v>0.53848993601302286</v>
          </cell>
        </row>
        <row r="89">
          <cell r="C89">
            <v>0.10413039057870234</v>
          </cell>
          <cell r="D89">
            <v>1.9714900737734964E-2</v>
          </cell>
        </row>
        <row r="90">
          <cell r="C90" t="str">
            <v>NA</v>
          </cell>
          <cell r="D90">
            <v>-0.18176673359683648</v>
          </cell>
        </row>
        <row r="91">
          <cell r="C91">
            <v>0.40237423910520076</v>
          </cell>
          <cell r="D91">
            <v>0.67938874031416963</v>
          </cell>
        </row>
        <row r="92">
          <cell r="C92">
            <v>0.28348159543397322</v>
          </cell>
          <cell r="D92">
            <v>0.64372788045615414</v>
          </cell>
        </row>
        <row r="93">
          <cell r="C93">
            <v>5.5427841299503539E-2</v>
          </cell>
          <cell r="D93">
            <v>0.65586320127774123</v>
          </cell>
        </row>
        <row r="94">
          <cell r="C94">
            <v>8.4441424896409462E-2</v>
          </cell>
          <cell r="D94">
            <v>0.19233638123653796</v>
          </cell>
        </row>
        <row r="95">
          <cell r="C95">
            <v>0.18122051244667817</v>
          </cell>
          <cell r="D95">
            <v>0.66938365722291515</v>
          </cell>
        </row>
      </sheetData>
      <sheetData sheetId="17">
        <row r="2">
          <cell r="D2">
            <v>-1.3271380162017361E-2</v>
          </cell>
        </row>
        <row r="3">
          <cell r="D3">
            <v>0.46212457860267175</v>
          </cell>
        </row>
        <row r="4">
          <cell r="D4" t="str">
            <v>NA</v>
          </cell>
        </row>
        <row r="5">
          <cell r="D5">
            <v>0.28508056479214489</v>
          </cell>
        </row>
        <row r="6">
          <cell r="D6">
            <v>2.3777353438613233</v>
          </cell>
        </row>
        <row r="7">
          <cell r="D7">
            <v>1.2863655803267311</v>
          </cell>
        </row>
        <row r="8">
          <cell r="D8" t="str">
            <v>NA</v>
          </cell>
        </row>
        <row r="9">
          <cell r="D9" t="str">
            <v>NA</v>
          </cell>
        </row>
        <row r="10">
          <cell r="D10">
            <v>0.15226432892346159</v>
          </cell>
        </row>
        <row r="11">
          <cell r="D11">
            <v>0.11100539417970601</v>
          </cell>
        </row>
        <row r="12">
          <cell r="D12">
            <v>1.1831043671423924</v>
          </cell>
        </row>
        <row r="13">
          <cell r="D13">
            <v>-14.802214752076942</v>
          </cell>
        </row>
        <row r="14">
          <cell r="D14">
            <v>0.80369725381577783</v>
          </cell>
        </row>
        <row r="15">
          <cell r="D15">
            <v>0.67032515806504067</v>
          </cell>
        </row>
        <row r="16">
          <cell r="D16">
            <v>-9.824029326263467E-2</v>
          </cell>
        </row>
        <row r="17">
          <cell r="D17">
            <v>0.59404829774581613</v>
          </cell>
        </row>
        <row r="18">
          <cell r="D18">
            <v>0.32328732578359998</v>
          </cell>
        </row>
        <row r="19">
          <cell r="D19">
            <v>0.44943473191843469</v>
          </cell>
        </row>
        <row r="20">
          <cell r="D20" t="str">
            <v>NA</v>
          </cell>
        </row>
        <row r="21">
          <cell r="D21">
            <v>-0.27978882831766477</v>
          </cell>
        </row>
        <row r="22">
          <cell r="D22">
            <v>5.6146481819065279E-2</v>
          </cell>
        </row>
        <row r="23">
          <cell r="D23">
            <v>0.53345965809995133</v>
          </cell>
        </row>
        <row r="24">
          <cell r="D24">
            <v>4.2027835029993778E-2</v>
          </cell>
        </row>
        <row r="25">
          <cell r="D25">
            <v>1.7986240160253026</v>
          </cell>
        </row>
        <row r="26">
          <cell r="D26">
            <v>0.34996651687167341</v>
          </cell>
        </row>
        <row r="27">
          <cell r="D27">
            <v>6.019560494798216</v>
          </cell>
        </row>
        <row r="28">
          <cell r="D28">
            <v>1.579985232703484</v>
          </cell>
        </row>
        <row r="29">
          <cell r="D29">
            <v>0.22827356695664941</v>
          </cell>
        </row>
        <row r="30">
          <cell r="D30">
            <v>1.1570439501300913</v>
          </cell>
        </row>
        <row r="31">
          <cell r="D31">
            <v>0.97505386301888208</v>
          </cell>
        </row>
        <row r="32">
          <cell r="D32">
            <v>0.40885508938398435</v>
          </cell>
        </row>
        <row r="33">
          <cell r="D33">
            <v>1.0956452120289293</v>
          </cell>
        </row>
        <row r="34">
          <cell r="D34">
            <v>0.92879461716197476</v>
          </cell>
        </row>
        <row r="35">
          <cell r="D35">
            <v>0.61685858886492528</v>
          </cell>
        </row>
        <row r="36">
          <cell r="D36">
            <v>0.55600362851196472</v>
          </cell>
        </row>
        <row r="37">
          <cell r="D37">
            <v>1.5284197279677314</v>
          </cell>
        </row>
        <row r="38">
          <cell r="D38">
            <v>0.69683736001334473</v>
          </cell>
        </row>
        <row r="39">
          <cell r="D39">
            <v>1.2301826743654833</v>
          </cell>
        </row>
        <row r="40">
          <cell r="D40">
            <v>0.50837698896724137</v>
          </cell>
        </row>
        <row r="41">
          <cell r="D41">
            <v>0.52286041332594801</v>
          </cell>
        </row>
        <row r="42">
          <cell r="D42">
            <v>1.2827118580784016</v>
          </cell>
        </row>
        <row r="43">
          <cell r="D43">
            <v>0.46744016767682872</v>
          </cell>
        </row>
        <row r="44">
          <cell r="D44">
            <v>0.46930418470319507</v>
          </cell>
        </row>
        <row r="45">
          <cell r="D45" t="str">
            <v>NA</v>
          </cell>
        </row>
        <row r="46">
          <cell r="D46">
            <v>0.16580656451616166</v>
          </cell>
        </row>
        <row r="47">
          <cell r="D47">
            <v>0.26737182529132375</v>
          </cell>
        </row>
        <row r="48">
          <cell r="D48">
            <v>4.5586536419162167E-2</v>
          </cell>
        </row>
        <row r="49">
          <cell r="D49">
            <v>8.1002224814663171E-3</v>
          </cell>
        </row>
        <row r="50">
          <cell r="D50">
            <v>0.22068169650711503</v>
          </cell>
        </row>
        <row r="51">
          <cell r="D51">
            <v>0.30709316978161644</v>
          </cell>
        </row>
        <row r="52">
          <cell r="D52">
            <v>0.33887028176462053</v>
          </cell>
        </row>
        <row r="53">
          <cell r="D53">
            <v>0.16911496546537044</v>
          </cell>
        </row>
        <row r="54">
          <cell r="D54">
            <v>2.1027902275695576</v>
          </cell>
        </row>
        <row r="55">
          <cell r="D55">
            <v>-0.69778096058894312</v>
          </cell>
        </row>
        <row r="56">
          <cell r="D56" t="str">
            <v>NA</v>
          </cell>
        </row>
        <row r="57">
          <cell r="D57">
            <v>-7.0551198500703044E-2</v>
          </cell>
        </row>
        <row r="58">
          <cell r="D58">
            <v>-1.5396936614031376</v>
          </cell>
        </row>
        <row r="59">
          <cell r="D59">
            <v>0.57285319724478201</v>
          </cell>
        </row>
        <row r="60">
          <cell r="D60">
            <v>0.31971255047887959</v>
          </cell>
        </row>
        <row r="61">
          <cell r="D61">
            <v>1.4255440506121446</v>
          </cell>
        </row>
        <row r="62">
          <cell r="D62">
            <v>0.17847446526810565</v>
          </cell>
        </row>
        <row r="63">
          <cell r="D63">
            <v>0.90513735450875454</v>
          </cell>
        </row>
        <row r="64">
          <cell r="D64">
            <v>-0.19172257417070962</v>
          </cell>
        </row>
        <row r="65">
          <cell r="D65">
            <v>-5.5362123780783943</v>
          </cell>
        </row>
        <row r="66">
          <cell r="D66">
            <v>1.1509958995078493</v>
          </cell>
        </row>
        <row r="67">
          <cell r="D67" t="str">
            <v>NA</v>
          </cell>
        </row>
        <row r="68">
          <cell r="D68">
            <v>-0.29985700478481025</v>
          </cell>
        </row>
        <row r="69">
          <cell r="D69">
            <v>9.8321019937330181E-2</v>
          </cell>
        </row>
        <row r="70">
          <cell r="D70">
            <v>0.19035481032674401</v>
          </cell>
        </row>
        <row r="71">
          <cell r="D71">
            <v>0.56413999916341317</v>
          </cell>
        </row>
        <row r="72">
          <cell r="D72">
            <v>0.51732260889741166</v>
          </cell>
        </row>
        <row r="73">
          <cell r="D73">
            <v>1.1172280899256213</v>
          </cell>
        </row>
        <row r="74">
          <cell r="D74">
            <v>0.27306624050067624</v>
          </cell>
        </row>
        <row r="75">
          <cell r="D75">
            <v>0.17152805678407723</v>
          </cell>
        </row>
        <row r="76">
          <cell r="D76">
            <v>2.2108958272580734</v>
          </cell>
        </row>
        <row r="77">
          <cell r="D77">
            <v>0.50997045007859099</v>
          </cell>
        </row>
        <row r="78">
          <cell r="D78">
            <v>2.9369324003201087</v>
          </cell>
        </row>
        <row r="79">
          <cell r="D79">
            <v>0.28944322447652804</v>
          </cell>
        </row>
        <row r="80">
          <cell r="D80">
            <v>0.45640033225974586</v>
          </cell>
        </row>
        <row r="81">
          <cell r="D81">
            <v>0.53125073248598076</v>
          </cell>
        </row>
        <row r="82">
          <cell r="D82">
            <v>6.4384502898808205E-2</v>
          </cell>
        </row>
        <row r="83">
          <cell r="D83">
            <v>0.48679477169694524</v>
          </cell>
        </row>
        <row r="84">
          <cell r="D84" t="str">
            <v>NA</v>
          </cell>
        </row>
        <row r="85">
          <cell r="D85">
            <v>0.89194689520312587</v>
          </cell>
        </row>
        <row r="86">
          <cell r="D86">
            <v>0.90245292825802947</v>
          </cell>
        </row>
        <row r="87">
          <cell r="D87">
            <v>0.72431571763620828</v>
          </cell>
        </row>
        <row r="88">
          <cell r="D88">
            <v>0.73532628984178028</v>
          </cell>
        </row>
        <row r="89">
          <cell r="D89">
            <v>0.38667782878723261</v>
          </cell>
        </row>
        <row r="90">
          <cell r="D90">
            <v>9.8991675839706833E-2</v>
          </cell>
        </row>
        <row r="91">
          <cell r="D91">
            <v>0.70158698662454977</v>
          </cell>
        </row>
        <row r="92">
          <cell r="D92">
            <v>0.10299348956288693</v>
          </cell>
        </row>
        <row r="93">
          <cell r="D93">
            <v>3.2508235444541747</v>
          </cell>
        </row>
        <row r="94">
          <cell r="D94">
            <v>1.2522890558976274</v>
          </cell>
        </row>
        <row r="95">
          <cell r="D95">
            <v>1.3049349143088795</v>
          </cell>
        </row>
      </sheetData>
      <sheetData sheetId="18"/>
      <sheetData sheetId="19">
        <row r="3">
          <cell r="D3">
            <v>4.9397560975609753E-2</v>
          </cell>
        </row>
        <row r="4">
          <cell r="D4">
            <v>-6.9958333333333331E-2</v>
          </cell>
        </row>
        <row r="5">
          <cell r="D5">
            <v>6.1161999999999994E-2</v>
          </cell>
        </row>
        <row r="6">
          <cell r="D6">
            <v>0.1193714285714286</v>
          </cell>
        </row>
        <row r="7">
          <cell r="D7">
            <v>6.1078076923076922E-2</v>
          </cell>
        </row>
        <row r="8">
          <cell r="D8">
            <v>4.6133333333333332E-2</v>
          </cell>
        </row>
        <row r="9">
          <cell r="D9">
            <v>0.11739004618937651</v>
          </cell>
        </row>
        <row r="10">
          <cell r="D10">
            <v>0.1456875</v>
          </cell>
        </row>
        <row r="11">
          <cell r="D11">
            <v>0.20472333333333334</v>
          </cell>
        </row>
        <row r="12">
          <cell r="D12">
            <v>9.6442631578947377E-2</v>
          </cell>
        </row>
        <row r="13">
          <cell r="D13">
            <v>0.17959545454545453</v>
          </cell>
        </row>
        <row r="14">
          <cell r="D14">
            <v>8.4543333333333331E-2</v>
          </cell>
        </row>
        <row r="15">
          <cell r="D15">
            <v>5.3889358974358953E-2</v>
          </cell>
        </row>
        <row r="16">
          <cell r="D16">
            <v>0.1741875</v>
          </cell>
        </row>
        <row r="17">
          <cell r="D17">
            <v>0.20387000000000005</v>
          </cell>
        </row>
        <row r="18">
          <cell r="D18">
            <v>8.0562500000000009E-2</v>
          </cell>
        </row>
        <row r="19">
          <cell r="D19">
            <v>7.9344705882352914E-2</v>
          </cell>
        </row>
        <row r="20">
          <cell r="D20">
            <v>-0.21844285714285713</v>
          </cell>
        </row>
        <row r="21">
          <cell r="D21">
            <v>8.8714523809523785E-2</v>
          </cell>
        </row>
        <row r="22">
          <cell r="D22">
            <v>0.16677923076923079</v>
          </cell>
        </row>
        <row r="23">
          <cell r="D23">
            <v>6.2764117647058831E-2</v>
          </cell>
        </row>
        <row r="24">
          <cell r="D24">
            <v>2.7899999999999991E-3</v>
          </cell>
        </row>
        <row r="25">
          <cell r="D25">
            <v>0.30857304635761579</v>
          </cell>
        </row>
        <row r="26">
          <cell r="D26">
            <v>0.42848128571428584</v>
          </cell>
        </row>
        <row r="27">
          <cell r="D27">
            <v>8.1042105263157867E-3</v>
          </cell>
        </row>
        <row r="28">
          <cell r="D28">
            <v>5.8357800000000022E-2</v>
          </cell>
        </row>
        <row r="29">
          <cell r="D29">
            <v>1.4990999999999997E-2</v>
          </cell>
        </row>
        <row r="30">
          <cell r="D30">
            <v>8.4135340909090889E-2</v>
          </cell>
        </row>
        <row r="31">
          <cell r="D31">
            <v>8.8280370370370398E-2</v>
          </cell>
        </row>
        <row r="32">
          <cell r="D32">
            <v>0.2261333333333333</v>
          </cell>
        </row>
        <row r="33">
          <cell r="D33">
            <v>-4.0159999999999996E-3</v>
          </cell>
        </row>
        <row r="34">
          <cell r="D34">
            <v>6.8413124999999991E-2</v>
          </cell>
        </row>
        <row r="35">
          <cell r="D35">
            <v>0.11296666666666663</v>
          </cell>
        </row>
        <row r="36">
          <cell r="D36">
            <v>0.12987673469387753</v>
          </cell>
        </row>
        <row r="37">
          <cell r="D37">
            <v>0.17188999999999999</v>
          </cell>
        </row>
        <row r="38">
          <cell r="D38">
            <v>6.192235294117647E-2</v>
          </cell>
        </row>
        <row r="39">
          <cell r="D39">
            <v>-0.24636999999999998</v>
          </cell>
        </row>
        <row r="40">
          <cell r="D40">
            <v>0.18947492537313426</v>
          </cell>
        </row>
        <row r="41">
          <cell r="D41">
            <v>0.17964537037037037</v>
          </cell>
        </row>
        <row r="42">
          <cell r="D42">
            <v>0.15868233333333331</v>
          </cell>
        </row>
        <row r="43">
          <cell r="D43">
            <v>0.20254333333333335</v>
          </cell>
        </row>
        <row r="44">
          <cell r="D44">
            <v>-1.6478500000000011E-2</v>
          </cell>
        </row>
        <row r="45">
          <cell r="D45">
            <v>2.1798947368421071E-2</v>
          </cell>
        </row>
        <row r="46">
          <cell r="D46">
            <v>0.1170288</v>
          </cell>
        </row>
        <row r="47">
          <cell r="D47">
            <v>0.13124588235294118</v>
          </cell>
        </row>
        <row r="48">
          <cell r="D48">
            <v>5.9273076923076921E-2</v>
          </cell>
        </row>
        <row r="49">
          <cell r="D49">
            <v>6.4553000000000013E-2</v>
          </cell>
        </row>
        <row r="50">
          <cell r="D50">
            <v>4.1375999999999996E-2</v>
          </cell>
        </row>
        <row r="51">
          <cell r="D51">
            <v>0.11579887096774194</v>
          </cell>
        </row>
        <row r="52">
          <cell r="D52">
            <v>5.2956575342465742E-2</v>
          </cell>
        </row>
        <row r="53">
          <cell r="D53">
            <v>0.16573333333333337</v>
          </cell>
        </row>
        <row r="54">
          <cell r="D54">
            <v>4.4485714285714293E-3</v>
          </cell>
        </row>
        <row r="55">
          <cell r="D55">
            <v>6.0274999999999995E-2</v>
          </cell>
        </row>
        <row r="56">
          <cell r="D56">
            <v>0.17416367816091952</v>
          </cell>
        </row>
        <row r="57">
          <cell r="D57">
            <v>0.23890833333333333</v>
          </cell>
        </row>
        <row r="58">
          <cell r="D58">
            <v>1.0495409836065584E-2</v>
          </cell>
        </row>
        <row r="59">
          <cell r="D59">
            <v>4.9203333333333321E-2</v>
          </cell>
        </row>
        <row r="60">
          <cell r="D60">
            <v>1.5074999999999996E-2</v>
          </cell>
        </row>
        <row r="61">
          <cell r="D61">
            <v>4.3318666666666658E-2</v>
          </cell>
        </row>
        <row r="62">
          <cell r="D62">
            <v>7.9791666666666664E-2</v>
          </cell>
        </row>
        <row r="63">
          <cell r="D63">
            <v>1.5181333333333333E-2</v>
          </cell>
        </row>
        <row r="64">
          <cell r="D64">
            <v>8.1593266331658268E-2</v>
          </cell>
        </row>
        <row r="65">
          <cell r="D65">
            <v>-8.4280000000000008E-2</v>
          </cell>
        </row>
        <row r="66">
          <cell r="D66">
            <v>9.0999999999999984E-2</v>
          </cell>
        </row>
        <row r="67">
          <cell r="D67">
            <v>5.4861904761904806E-2</v>
          </cell>
        </row>
        <row r="68">
          <cell r="D68">
            <v>7.5996896551724133E-2</v>
          </cell>
        </row>
        <row r="69">
          <cell r="D69">
            <v>0.10414999999999999</v>
          </cell>
        </row>
        <row r="70">
          <cell r="D70">
            <v>4.709627906976744E-2</v>
          </cell>
        </row>
        <row r="71">
          <cell r="D71">
            <v>0.14697058823529413</v>
          </cell>
        </row>
        <row r="72">
          <cell r="D72">
            <v>0.17428083333333333</v>
          </cell>
        </row>
        <row r="73">
          <cell r="D73">
            <v>4.0963404255319143E-2</v>
          </cell>
        </row>
        <row r="74">
          <cell r="D74">
            <v>3.8878461538461535E-2</v>
          </cell>
        </row>
        <row r="75">
          <cell r="D75">
            <v>3.2412499999999997E-2</v>
          </cell>
        </row>
        <row r="76">
          <cell r="D76">
            <v>0.10199999999999999</v>
          </cell>
        </row>
        <row r="77">
          <cell r="D77">
            <v>0.11782999999999999</v>
          </cell>
        </row>
        <row r="78">
          <cell r="D78">
            <v>4.2015000000000004E-2</v>
          </cell>
        </row>
        <row r="79">
          <cell r="D79">
            <v>6.6251666666666653E-2</v>
          </cell>
        </row>
        <row r="80">
          <cell r="D80">
            <v>0.13994241379310343</v>
          </cell>
        </row>
        <row r="81">
          <cell r="D81">
            <v>0.16393333333333335</v>
          </cell>
        </row>
        <row r="82">
          <cell r="D82">
            <v>6.3799999999999996E-2</v>
          </cell>
        </row>
        <row r="83">
          <cell r="D83">
            <v>0.22905962962962956</v>
          </cell>
        </row>
        <row r="84">
          <cell r="D84">
            <v>0.22060000000000002</v>
          </cell>
        </row>
        <row r="85">
          <cell r="D85">
            <v>0.17722259999999992</v>
          </cell>
        </row>
        <row r="86">
          <cell r="D86">
            <v>0.19973333333333332</v>
          </cell>
        </row>
        <row r="87">
          <cell r="D87">
            <v>-1.5962857142857147E-2</v>
          </cell>
        </row>
        <row r="88">
          <cell r="D88">
            <v>6.6588448275862064E-2</v>
          </cell>
        </row>
        <row r="89">
          <cell r="D89">
            <v>0.10121849999999999</v>
          </cell>
        </row>
        <row r="90">
          <cell r="D90">
            <v>6.9114999999999996E-2</v>
          </cell>
        </row>
        <row r="91">
          <cell r="D91">
            <v>0.1085909090909091</v>
          </cell>
        </row>
        <row r="92">
          <cell r="D92">
            <v>1.67E-2</v>
          </cell>
        </row>
        <row r="93">
          <cell r="D93">
            <v>7.6031818181818173E-2</v>
          </cell>
        </row>
        <row r="94">
          <cell r="D94">
            <v>2.7306875000000001E-2</v>
          </cell>
        </row>
        <row r="95">
          <cell r="D95">
            <v>0.14579166666666665</v>
          </cell>
        </row>
      </sheetData>
      <sheetData sheetId="20"/>
      <sheetData sheetId="21"/>
      <sheetData sheetId="22"/>
      <sheetData sheetId="23">
        <row r="3">
          <cell r="F3">
            <v>0.10615314769984376</v>
          </cell>
          <cell r="J3">
            <v>0.110732391766778</v>
          </cell>
        </row>
        <row r="4">
          <cell r="F4">
            <v>7.8133273464374875E-2</v>
          </cell>
          <cell r="J4">
            <v>7.9747123416981758E-2</v>
          </cell>
        </row>
        <row r="5">
          <cell r="F5">
            <v>-0.23135615142482796</v>
          </cell>
          <cell r="J5">
            <v>-0.23679357712972737</v>
          </cell>
        </row>
        <row r="6">
          <cell r="F6">
            <v>0.11957172888355327</v>
          </cell>
          <cell r="J6">
            <v>0.12695308622278895</v>
          </cell>
        </row>
        <row r="7">
          <cell r="F7">
            <v>5.2584270051764019E-2</v>
          </cell>
          <cell r="J7">
            <v>5.8910428008906938E-2</v>
          </cell>
        </row>
        <row r="8">
          <cell r="F8">
            <v>6.4024068563096739E-2</v>
          </cell>
          <cell r="J8">
            <v>6.9433444140850731E-2</v>
          </cell>
        </row>
        <row r="9">
          <cell r="F9">
            <v>0</v>
          </cell>
          <cell r="J9">
            <v>-3.8731002042557917E-4</v>
          </cell>
        </row>
        <row r="10">
          <cell r="F10">
            <v>3.1930421895569762E-8</v>
          </cell>
          <cell r="J10">
            <v>-2.686447093678677E-3</v>
          </cell>
        </row>
        <row r="11">
          <cell r="F11">
            <v>0.23029482645701388</v>
          </cell>
          <cell r="J11">
            <v>0.23014266821119256</v>
          </cell>
        </row>
        <row r="12">
          <cell r="F12">
            <v>0.20666163211316607</v>
          </cell>
          <cell r="J12">
            <v>0.2073869805621304</v>
          </cell>
        </row>
        <row r="13">
          <cell r="F13">
            <v>0.18319654701892751</v>
          </cell>
          <cell r="J13">
            <v>0.18132672228347707</v>
          </cell>
        </row>
        <row r="14">
          <cell r="F14">
            <v>1.3086951668195493E-2</v>
          </cell>
          <cell r="J14">
            <v>1.367788910132353E-2</v>
          </cell>
        </row>
        <row r="15">
          <cell r="F15">
            <v>0.11633157522425112</v>
          </cell>
          <cell r="J15">
            <v>0.11816937807617332</v>
          </cell>
        </row>
        <row r="16">
          <cell r="F16">
            <v>9.1172927185467947E-2</v>
          </cell>
          <cell r="J16">
            <v>9.4084276424356114E-2</v>
          </cell>
        </row>
        <row r="17">
          <cell r="F17">
            <v>0.19225846201095714</v>
          </cell>
          <cell r="J17">
            <v>0.19205872297428606</v>
          </cell>
        </row>
        <row r="18">
          <cell r="F18">
            <v>0.14931967817403938</v>
          </cell>
          <cell r="J18">
            <v>0.15143236896043424</v>
          </cell>
        </row>
        <row r="19">
          <cell r="F19">
            <v>9.718037455037408E-2</v>
          </cell>
          <cell r="J19">
            <v>9.8418230964072637E-2</v>
          </cell>
        </row>
        <row r="20">
          <cell r="F20">
            <v>0.13327861926971918</v>
          </cell>
          <cell r="J20">
            <v>0.13665776474483271</v>
          </cell>
        </row>
        <row r="21">
          <cell r="F21">
            <v>-3.2087821488491299E-2</v>
          </cell>
          <cell r="J21">
            <v>-2.6841667756179508E-2</v>
          </cell>
        </row>
        <row r="22">
          <cell r="F22">
            <v>6.4806453505469638E-2</v>
          </cell>
          <cell r="J22">
            <v>6.9186797681536238E-2</v>
          </cell>
        </row>
        <row r="23">
          <cell r="F23">
            <v>0.20781899044489738</v>
          </cell>
          <cell r="J23">
            <v>0.21265023449268122</v>
          </cell>
        </row>
        <row r="24">
          <cell r="F24">
            <v>0.11029213342518208</v>
          </cell>
          <cell r="J24">
            <v>0.11308934684254142</v>
          </cell>
        </row>
        <row r="25">
          <cell r="F25">
            <v>0.30118942774804569</v>
          </cell>
          <cell r="J25">
            <v>0.30034213984825414</v>
          </cell>
        </row>
        <row r="26">
          <cell r="F26">
            <v>0.12365366003001257</v>
          </cell>
          <cell r="J26">
            <v>0.15727471152263436</v>
          </cell>
        </row>
        <row r="27">
          <cell r="F27">
            <v>0.24710291103674209</v>
          </cell>
          <cell r="J27">
            <v>0.29160845374000677</v>
          </cell>
        </row>
        <row r="28">
          <cell r="F28">
            <v>5.9240007540373535E-2</v>
          </cell>
          <cell r="J28">
            <v>6.5049146478934478E-2</v>
          </cell>
        </row>
        <row r="29">
          <cell r="F29">
            <v>0.11398697401131071</v>
          </cell>
          <cell r="J29">
            <v>0.12000992841911086</v>
          </cell>
        </row>
        <row r="30">
          <cell r="F30">
            <v>4.8005617958487568E-2</v>
          </cell>
          <cell r="J30">
            <v>5.5903488980331525E-2</v>
          </cell>
        </row>
        <row r="31">
          <cell r="F31">
            <v>0.10370570494103791</v>
          </cell>
          <cell r="J31">
            <v>0.10620011016177319</v>
          </cell>
        </row>
        <row r="32">
          <cell r="F32">
            <v>4.6961411489677619E-2</v>
          </cell>
          <cell r="J32">
            <v>4.952264102914105E-2</v>
          </cell>
        </row>
        <row r="33">
          <cell r="F33">
            <v>8.672145850547959E-2</v>
          </cell>
          <cell r="J33">
            <v>8.7486503470430826E-2</v>
          </cell>
        </row>
        <row r="34">
          <cell r="F34">
            <v>0.12938418325929246</v>
          </cell>
          <cell r="J34">
            <v>0.13110672615427565</v>
          </cell>
        </row>
        <row r="35">
          <cell r="F35">
            <v>7.5030516577131112E-2</v>
          </cell>
          <cell r="J35">
            <v>7.645934433346005E-2</v>
          </cell>
        </row>
        <row r="36">
          <cell r="F36">
            <v>0.14064997951995065</v>
          </cell>
          <cell r="J36">
            <v>0.14200534186819358</v>
          </cell>
        </row>
        <row r="37">
          <cell r="F37">
            <v>0.13470664829341211</v>
          </cell>
          <cell r="J37">
            <v>0.13611052250265884</v>
          </cell>
        </row>
        <row r="38">
          <cell r="F38">
            <v>1.9338648419971859E-2</v>
          </cell>
          <cell r="J38">
            <v>1.8571218679432983E-2</v>
          </cell>
        </row>
        <row r="39">
          <cell r="F39">
            <v>0.10945959843954907</v>
          </cell>
          <cell r="J39">
            <v>0.11097055733711718</v>
          </cell>
        </row>
        <row r="40">
          <cell r="F40">
            <v>0.23657131609185958</v>
          </cell>
          <cell r="J40">
            <v>0.23403071387266283</v>
          </cell>
        </row>
        <row r="41">
          <cell r="F41">
            <v>0.17685160407102923</v>
          </cell>
          <cell r="J41">
            <v>0.18708234986018563</v>
          </cell>
        </row>
        <row r="42">
          <cell r="F42">
            <v>4.2651470062254303E-2</v>
          </cell>
          <cell r="J42">
            <v>4.1695905761841144E-2</v>
          </cell>
        </row>
        <row r="43">
          <cell r="F43">
            <v>0.18087883194038884</v>
          </cell>
          <cell r="J43">
            <v>0.19501565437918139</v>
          </cell>
        </row>
        <row r="44">
          <cell r="F44">
            <v>0.16282579938951058</v>
          </cell>
          <cell r="J44">
            <v>0.16290301377133232</v>
          </cell>
        </row>
        <row r="45">
          <cell r="F45">
            <v>0.12850918830942254</v>
          </cell>
          <cell r="J45">
            <v>0.12452300756246648</v>
          </cell>
        </row>
        <row r="46">
          <cell r="F46">
            <v>-9.1090770326806139E-2</v>
          </cell>
          <cell r="J46">
            <v>-0.12725269940920536</v>
          </cell>
        </row>
        <row r="47">
          <cell r="F47">
            <v>0.18410174900056742</v>
          </cell>
          <cell r="J47">
            <v>0.1853195229929292</v>
          </cell>
        </row>
        <row r="48">
          <cell r="F48">
            <v>0.23780344642841961</v>
          </cell>
          <cell r="J48">
            <v>0.24309755225216823</v>
          </cell>
        </row>
        <row r="49">
          <cell r="F49">
            <v>0.16961324493881047</v>
          </cell>
          <cell r="J49">
            <v>0.16973797687609415</v>
          </cell>
        </row>
        <row r="50">
          <cell r="F50">
            <v>0.12060463060099591</v>
          </cell>
          <cell r="J50">
            <v>0.12092016310061426</v>
          </cell>
        </row>
        <row r="51">
          <cell r="F51">
            <v>0.15700724619753306</v>
          </cell>
          <cell r="J51">
            <v>0.15760921499662267</v>
          </cell>
        </row>
        <row r="52">
          <cell r="F52">
            <v>0.16230722289425775</v>
          </cell>
          <cell r="J52">
            <v>0.16162523959123534</v>
          </cell>
        </row>
        <row r="53">
          <cell r="F53">
            <v>0.14671309326693463</v>
          </cell>
          <cell r="J53">
            <v>0.14931211928693289</v>
          </cell>
        </row>
        <row r="54">
          <cell r="F54">
            <v>0.26470220268301614</v>
          </cell>
          <cell r="J54">
            <v>0.26375419614263912</v>
          </cell>
        </row>
        <row r="55">
          <cell r="F55">
            <v>5.862214906298549E-2</v>
          </cell>
          <cell r="J55">
            <v>6.0798503083181431E-2</v>
          </cell>
        </row>
        <row r="56">
          <cell r="F56">
            <v>7.193508452889813E-2</v>
          </cell>
          <cell r="J56">
            <v>7.415685069357264E-2</v>
          </cell>
        </row>
        <row r="57">
          <cell r="F57">
            <v>-2.5735244267109877E-2</v>
          </cell>
          <cell r="J57">
            <v>-2.4493061940571305E-2</v>
          </cell>
        </row>
        <row r="58">
          <cell r="F58">
            <v>0.1647794328411743</v>
          </cell>
          <cell r="J58">
            <v>0.16570397711834556</v>
          </cell>
        </row>
        <row r="59">
          <cell r="F59">
            <v>1.1805408396134174E-2</v>
          </cell>
          <cell r="J59">
            <v>1.3201154390047388E-2</v>
          </cell>
        </row>
        <row r="60">
          <cell r="F60">
            <v>9.7250826603968304E-2</v>
          </cell>
          <cell r="J60">
            <v>9.9216842340361711E-2</v>
          </cell>
        </row>
        <row r="61">
          <cell r="F61">
            <v>0.18642351133744914</v>
          </cell>
          <cell r="J61">
            <v>0.18810964665086452</v>
          </cell>
        </row>
        <row r="62">
          <cell r="F62">
            <v>0.18772404701085513</v>
          </cell>
          <cell r="J62">
            <v>0.18701608760402491</v>
          </cell>
        </row>
        <row r="63">
          <cell r="F63">
            <v>0.27578688158974962</v>
          </cell>
          <cell r="J63">
            <v>0.27651527281250182</v>
          </cell>
        </row>
        <row r="64">
          <cell r="F64">
            <v>7.7882018251849955E-2</v>
          </cell>
          <cell r="J64">
            <v>7.7974882970486423E-2</v>
          </cell>
        </row>
        <row r="65">
          <cell r="F65">
            <v>0.23884478741278709</v>
          </cell>
          <cell r="J65">
            <v>0.20396040760574599</v>
          </cell>
        </row>
        <row r="66">
          <cell r="F66">
            <v>7.4358588416750762E-2</v>
          </cell>
          <cell r="J66">
            <v>5.1645955430485814E-2</v>
          </cell>
        </row>
        <row r="67">
          <cell r="F67">
            <v>0.15457152166829585</v>
          </cell>
          <cell r="J67">
            <v>0.15330320878408035</v>
          </cell>
        </row>
        <row r="68">
          <cell r="F68">
            <v>2.908104439242231E-3</v>
          </cell>
          <cell r="J68">
            <v>-2.2518379977861221E-2</v>
          </cell>
        </row>
        <row r="69">
          <cell r="F69">
            <v>0.11338293382467023</v>
          </cell>
          <cell r="J69">
            <v>0.10743437826181099</v>
          </cell>
        </row>
        <row r="70">
          <cell r="F70">
            <v>7.3425126839075872E-2</v>
          </cell>
          <cell r="J70">
            <v>7.286815697454023E-2</v>
          </cell>
        </row>
        <row r="71">
          <cell r="F71">
            <v>0.16434019462502081</v>
          </cell>
          <cell r="J71">
            <v>0.12289948706745697</v>
          </cell>
        </row>
        <row r="72">
          <cell r="F72">
            <v>7.0346959030187214E-2</v>
          </cell>
          <cell r="J72">
            <v>6.2851183078878145E-2</v>
          </cell>
        </row>
        <row r="73">
          <cell r="F73">
            <v>0.14403909492666528</v>
          </cell>
          <cell r="J73">
            <v>0.14216612657852842</v>
          </cell>
        </row>
        <row r="74">
          <cell r="F74">
            <v>9.6153784895278177E-2</v>
          </cell>
          <cell r="J74">
            <v>9.8170833941736174E-2</v>
          </cell>
        </row>
        <row r="75">
          <cell r="F75">
            <v>5.5404946457836134E-2</v>
          </cell>
          <cell r="J75">
            <v>5.1340216795465861E-2</v>
          </cell>
        </row>
        <row r="76">
          <cell r="F76">
            <v>2.5305680196662676E-2</v>
          </cell>
          <cell r="J76">
            <v>1.8273934289233216E-2</v>
          </cell>
        </row>
        <row r="77">
          <cell r="F77">
            <v>5.9928772661271376E-2</v>
          </cell>
          <cell r="J77">
            <v>7.1468782624073787E-2</v>
          </cell>
        </row>
        <row r="78">
          <cell r="F78">
            <v>6.8603541856728067E-2</v>
          </cell>
          <cell r="J78">
            <v>6.7685731160921039E-2</v>
          </cell>
        </row>
        <row r="79">
          <cell r="F79">
            <v>5.4031374162973315E-2</v>
          </cell>
          <cell r="J79">
            <v>5.6178103279153652E-2</v>
          </cell>
        </row>
        <row r="80">
          <cell r="F80">
            <v>0.27418374364338888</v>
          </cell>
          <cell r="J80">
            <v>0.29076568384914475</v>
          </cell>
        </row>
        <row r="81">
          <cell r="F81">
            <v>0.26975985462908919</v>
          </cell>
          <cell r="J81">
            <v>0.27920462731801343</v>
          </cell>
        </row>
        <row r="82">
          <cell r="F82">
            <v>0.17261716483856279</v>
          </cell>
          <cell r="J82">
            <v>0.17674976747493815</v>
          </cell>
        </row>
        <row r="83">
          <cell r="F83">
            <v>0.15559497794586052</v>
          </cell>
          <cell r="J83">
            <v>0.15371691531280396</v>
          </cell>
        </row>
        <row r="84">
          <cell r="F84">
            <v>0.31118842701763666</v>
          </cell>
          <cell r="J84">
            <v>0.32588347552321306</v>
          </cell>
        </row>
        <row r="85">
          <cell r="F85">
            <v>-2.2843954586136864E-2</v>
          </cell>
          <cell r="J85">
            <v>2.1388849478196477E-2</v>
          </cell>
        </row>
        <row r="86">
          <cell r="F86">
            <v>0.24021702846099471</v>
          </cell>
          <cell r="J86">
            <v>0.25940233010650704</v>
          </cell>
        </row>
        <row r="87">
          <cell r="F87">
            <v>0.16129217388685041</v>
          </cell>
          <cell r="J87">
            <v>0.16175424887640524</v>
          </cell>
        </row>
        <row r="88">
          <cell r="F88">
            <v>0.11699384526483113</v>
          </cell>
          <cell r="J88">
            <v>9.932320620441977E-2</v>
          </cell>
        </row>
        <row r="89">
          <cell r="F89">
            <v>0.19560040454889041</v>
          </cell>
          <cell r="J89">
            <v>0.20401478771795842</v>
          </cell>
        </row>
        <row r="90">
          <cell r="F90">
            <v>0.20942391773881094</v>
          </cell>
          <cell r="J90">
            <v>0.20757632969745807</v>
          </cell>
        </row>
        <row r="91">
          <cell r="F91">
            <v>0.44249767749170477</v>
          </cell>
          <cell r="J91">
            <v>0.44366362497402767</v>
          </cell>
        </row>
        <row r="92">
          <cell r="F92">
            <v>8.246528841277441E-2</v>
          </cell>
          <cell r="J92">
            <v>8.1093659037854496E-2</v>
          </cell>
        </row>
        <row r="93">
          <cell r="F93">
            <v>0.41947948630526194</v>
          </cell>
          <cell r="J93">
            <v>0.41564792442598464</v>
          </cell>
        </row>
        <row r="94">
          <cell r="F94">
            <v>5.1730306572259389E-2</v>
          </cell>
          <cell r="J94">
            <v>5.246885740985717E-2</v>
          </cell>
        </row>
        <row r="95">
          <cell r="F95">
            <v>0.19226760162986831</v>
          </cell>
          <cell r="J95">
            <v>0.1895958129117444</v>
          </cell>
        </row>
        <row r="96">
          <cell r="F96">
            <v>0.30154940583112638</v>
          </cell>
          <cell r="J96">
            <v>0.29935845535632899</v>
          </cell>
        </row>
      </sheetData>
      <sheetData sheetId="24"/>
      <sheetData sheetId="25"/>
      <sheetData sheetId="26">
        <row r="7">
          <cell r="C7">
            <v>0.56696815123612743</v>
          </cell>
        </row>
        <row r="8">
          <cell r="C8">
            <v>0.38232192400001008</v>
          </cell>
        </row>
        <row r="9">
          <cell r="C9">
            <v>0.40193094320645517</v>
          </cell>
        </row>
        <row r="10">
          <cell r="C10">
            <v>0.43487047041029003</v>
          </cell>
        </row>
        <row r="11">
          <cell r="C11">
            <v>0.54776880027636599</v>
          </cell>
        </row>
        <row r="12">
          <cell r="C12">
            <v>0.37140419964616195</v>
          </cell>
        </row>
        <row r="13">
          <cell r="C13">
            <v>0.22230976220075235</v>
          </cell>
        </row>
        <row r="14">
          <cell r="C14">
            <v>0.1967849116738157</v>
          </cell>
        </row>
        <row r="15">
          <cell r="C15">
            <v>0.37865995834360078</v>
          </cell>
        </row>
        <row r="16">
          <cell r="C16">
            <v>0.4826538885579737</v>
          </cell>
        </row>
        <row r="17">
          <cell r="C17">
            <v>0.48769409629655158</v>
          </cell>
        </row>
        <row r="18">
          <cell r="C18">
            <v>0.31739360898024499</v>
          </cell>
        </row>
        <row r="19">
          <cell r="C19">
            <v>0.3453500897694991</v>
          </cell>
        </row>
        <row r="20">
          <cell r="C20">
            <v>0.41173436630184901</v>
          </cell>
        </row>
        <row r="21">
          <cell r="C21">
            <v>0.20073197351870248</v>
          </cell>
        </row>
        <row r="22">
          <cell r="C22">
            <v>0.4501887768770812</v>
          </cell>
        </row>
        <row r="23">
          <cell r="C23">
            <v>0.37291591458524248</v>
          </cell>
        </row>
        <row r="24">
          <cell r="C24">
            <v>0.40723720919299955</v>
          </cell>
        </row>
        <row r="25">
          <cell r="C25">
            <v>0.58569716334995692</v>
          </cell>
        </row>
        <row r="26">
          <cell r="C26">
            <v>0.48442476717078692</v>
          </cell>
        </row>
        <row r="27">
          <cell r="C27">
            <v>0.51273763968373698</v>
          </cell>
        </row>
        <row r="28">
          <cell r="C28">
            <v>0.40006447227811393</v>
          </cell>
        </row>
        <row r="29">
          <cell r="C29">
            <v>0.30110983992728102</v>
          </cell>
        </row>
        <row r="30">
          <cell r="C30">
            <v>0.5079855471721394</v>
          </cell>
        </row>
        <row r="31">
          <cell r="C31">
            <v>0.56166469538744046</v>
          </cell>
        </row>
        <row r="32">
          <cell r="C32">
            <v>0.41501556570085196</v>
          </cell>
        </row>
        <row r="33">
          <cell r="C33">
            <v>0.57659079263901347</v>
          </cell>
        </row>
        <row r="34">
          <cell r="C34">
            <v>0.52537778573309879</v>
          </cell>
        </row>
        <row r="35">
          <cell r="C35">
            <v>0.43445536743726587</v>
          </cell>
        </row>
        <row r="36">
          <cell r="C36">
            <v>0.36356045751846738</v>
          </cell>
        </row>
        <row r="37">
          <cell r="C37">
            <v>0.59629361364356803</v>
          </cell>
        </row>
        <row r="38">
          <cell r="C38">
            <v>0.4301364050735858</v>
          </cell>
        </row>
        <row r="39">
          <cell r="C39">
            <v>0.46445615850244931</v>
          </cell>
        </row>
        <row r="40">
          <cell r="C40">
            <v>0.28521282491479844</v>
          </cell>
        </row>
        <row r="41">
          <cell r="C41">
            <v>0.27689849214888734</v>
          </cell>
        </row>
        <row r="42">
          <cell r="C42">
            <v>0.54009105451663864</v>
          </cell>
        </row>
        <row r="43">
          <cell r="C43">
            <v>0.44770374234314908</v>
          </cell>
        </row>
        <row r="44">
          <cell r="C44">
            <v>0.81755861287211706</v>
          </cell>
        </row>
        <row r="45">
          <cell r="C45">
            <v>0.43812192128294053</v>
          </cell>
        </row>
        <row r="46">
          <cell r="C46">
            <v>0.46857189884223849</v>
          </cell>
        </row>
        <row r="47">
          <cell r="C47">
            <v>0.46284328241580508</v>
          </cell>
        </row>
        <row r="48">
          <cell r="C48">
            <v>0.39474914713112236</v>
          </cell>
        </row>
        <row r="49">
          <cell r="C49">
            <v>0.52313497710543133</v>
          </cell>
        </row>
        <row r="50">
          <cell r="C50">
            <v>0.43867344000025082</v>
          </cell>
        </row>
        <row r="51">
          <cell r="C51">
            <v>0.58567665870757535</v>
          </cell>
        </row>
        <row r="52">
          <cell r="C52">
            <v>0.46440838960204572</v>
          </cell>
        </row>
        <row r="53">
          <cell r="C53">
            <v>0.37150712020260479</v>
          </cell>
        </row>
        <row r="54">
          <cell r="C54">
            <v>0.31813183698381947</v>
          </cell>
        </row>
        <row r="55">
          <cell r="C55">
            <v>0.2924427141293286</v>
          </cell>
        </row>
        <row r="56">
          <cell r="C56">
            <v>0.31969935251351472</v>
          </cell>
        </row>
        <row r="57">
          <cell r="C57">
            <v>0.34753389659061479</v>
          </cell>
        </row>
        <row r="58">
          <cell r="C58">
            <v>0.68076293704459445</v>
          </cell>
        </row>
        <row r="59">
          <cell r="C59">
            <v>0.31005686583587028</v>
          </cell>
        </row>
        <row r="60">
          <cell r="C60">
            <v>0.28713169955029821</v>
          </cell>
        </row>
        <row r="61">
          <cell r="C61">
            <v>0.55475619593509207</v>
          </cell>
        </row>
        <row r="62">
          <cell r="C62">
            <v>0.44980453975922519</v>
          </cell>
        </row>
        <row r="63">
          <cell r="C63">
            <v>0.49634640471939451</v>
          </cell>
        </row>
        <row r="64">
          <cell r="C64">
            <v>0.26384174426916995</v>
          </cell>
        </row>
        <row r="65">
          <cell r="C65">
            <v>0.3060750308260442</v>
          </cell>
        </row>
        <row r="66">
          <cell r="C66">
            <v>0.19494311438548956</v>
          </cell>
        </row>
        <row r="67">
          <cell r="C67">
            <v>0.56288380171731567</v>
          </cell>
        </row>
        <row r="68">
          <cell r="C68">
            <v>0.30800241644332438</v>
          </cell>
        </row>
        <row r="69">
          <cell r="C69">
            <v>0.3264730533309092</v>
          </cell>
        </row>
        <row r="70">
          <cell r="C70">
            <v>0.5132233183429773</v>
          </cell>
        </row>
        <row r="71">
          <cell r="C71">
            <v>0.30698705855207647</v>
          </cell>
        </row>
        <row r="72">
          <cell r="C72">
            <v>0.41428632688431055</v>
          </cell>
        </row>
        <row r="73">
          <cell r="C73">
            <v>0.50354590966110735</v>
          </cell>
        </row>
        <row r="74">
          <cell r="C74">
            <v>0.25945507184238659</v>
          </cell>
        </row>
        <row r="75">
          <cell r="C75">
            <v>0.42757651363003341</v>
          </cell>
        </row>
        <row r="76">
          <cell r="C76">
            <v>0.44491963485055586</v>
          </cell>
        </row>
        <row r="77">
          <cell r="C77">
            <v>0.44734618546240157</v>
          </cell>
        </row>
        <row r="78">
          <cell r="C78">
            <v>0.43101350078053768</v>
          </cell>
        </row>
        <row r="79">
          <cell r="C79">
            <v>0.33881707698287428</v>
          </cell>
        </row>
        <row r="80">
          <cell r="C80">
            <v>0.34269086272021693</v>
          </cell>
        </row>
        <row r="81">
          <cell r="C81">
            <v>0.58817664787562396</v>
          </cell>
        </row>
        <row r="82">
          <cell r="C82">
            <v>0.45572346106389527</v>
          </cell>
        </row>
        <row r="83">
          <cell r="C83">
            <v>0.47055042286877913</v>
          </cell>
        </row>
        <row r="84">
          <cell r="C84">
            <v>0.37456362089820239</v>
          </cell>
        </row>
        <row r="85">
          <cell r="C85">
            <v>0.33222794123720689</v>
          </cell>
        </row>
        <row r="86">
          <cell r="C86">
            <v>0.51037332437897842</v>
          </cell>
        </row>
        <row r="87">
          <cell r="C87">
            <v>0.34714879795280845</v>
          </cell>
        </row>
        <row r="88">
          <cell r="C88">
            <v>0.54605972958610682</v>
          </cell>
        </row>
        <row r="89">
          <cell r="C89">
            <v>0.38093997694500725</v>
          </cell>
        </row>
        <row r="90">
          <cell r="C90">
            <v>0.45739896259792873</v>
          </cell>
        </row>
        <row r="91">
          <cell r="C91">
            <v>0.33128196982890901</v>
          </cell>
        </row>
        <row r="92">
          <cell r="C92">
            <v>0.48157678673096171</v>
          </cell>
        </row>
        <row r="93">
          <cell r="C93">
            <v>0.40529263124804915</v>
          </cell>
        </row>
        <row r="94">
          <cell r="C94">
            <v>0.38672324243299799</v>
          </cell>
        </row>
        <row r="95">
          <cell r="C95">
            <v>0.248828343980245</v>
          </cell>
        </row>
        <row r="96">
          <cell r="C96">
            <v>0.2833532543819442</v>
          </cell>
        </row>
        <row r="97">
          <cell r="C97">
            <v>0.16394179419082858</v>
          </cell>
        </row>
        <row r="98">
          <cell r="C98">
            <v>0.32991773770474286</v>
          </cell>
        </row>
        <row r="99">
          <cell r="C99">
            <v>0.18828200758700916</v>
          </cell>
        </row>
        <row r="100">
          <cell r="C100">
            <v>0.270944618528484</v>
          </cell>
        </row>
      </sheetData>
      <sheetData sheetId="27">
        <row r="2">
          <cell r="C2">
            <v>4.0995294878868718</v>
          </cell>
        </row>
        <row r="3">
          <cell r="C3">
            <v>4.6034883299608964</v>
          </cell>
        </row>
        <row r="4">
          <cell r="C4">
            <v>3.7145672350101138</v>
          </cell>
        </row>
        <row r="5">
          <cell r="C5">
            <v>3.8280459410664216</v>
          </cell>
        </row>
        <row r="6">
          <cell r="C6">
            <v>9.8809338988140407</v>
          </cell>
        </row>
        <row r="7">
          <cell r="C7">
            <v>2.9466672929282951</v>
          </cell>
        </row>
        <row r="8">
          <cell r="C8">
            <v>1.2149265158125453</v>
          </cell>
        </row>
        <row r="9">
          <cell r="C9">
            <v>1.3907886472602526</v>
          </cell>
        </row>
        <row r="10">
          <cell r="C10">
            <v>3.3150035318321645</v>
          </cell>
        </row>
        <row r="11">
          <cell r="C11">
            <v>8.4222025235900144</v>
          </cell>
        </row>
        <row r="12">
          <cell r="C12">
            <v>1.3303503922245157</v>
          </cell>
        </row>
        <row r="13">
          <cell r="C13">
            <v>1.7385227969427492</v>
          </cell>
        </row>
        <row r="14">
          <cell r="C14">
            <v>5.1222104898027334</v>
          </cell>
        </row>
        <row r="15">
          <cell r="C15">
            <v>4.8648119808226911</v>
          </cell>
        </row>
        <row r="16">
          <cell r="C16">
            <v>2.9084871006895447</v>
          </cell>
        </row>
        <row r="17">
          <cell r="C17">
            <v>2.5094217577943678</v>
          </cell>
        </row>
        <row r="18">
          <cell r="C18">
            <v>2.6191945400611116</v>
          </cell>
        </row>
        <row r="19">
          <cell r="C19">
            <v>3.4877076387953427</v>
          </cell>
        </row>
        <row r="20">
          <cell r="C20">
            <v>2.6063498359355282</v>
          </cell>
        </row>
        <row r="21">
          <cell r="C21">
            <v>4.8355438744887769</v>
          </cell>
        </row>
        <row r="22">
          <cell r="C22">
            <v>26.29582063010281</v>
          </cell>
        </row>
        <row r="23">
          <cell r="C23">
            <v>3.767744619514608</v>
          </cell>
        </row>
        <row r="24">
          <cell r="C24">
            <v>1.8830440402462105</v>
          </cell>
        </row>
        <row r="25">
          <cell r="C25">
            <v>5.9904596350033614</v>
          </cell>
        </row>
        <row r="26">
          <cell r="C26">
            <v>5.4280931848592111</v>
          </cell>
        </row>
        <row r="27">
          <cell r="C27">
            <v>2.3530698386072464</v>
          </cell>
        </row>
        <row r="28">
          <cell r="C28">
            <v>5.1700413157553093</v>
          </cell>
        </row>
        <row r="29">
          <cell r="C29">
            <v>3.9670137521669018</v>
          </cell>
        </row>
        <row r="30">
          <cell r="C30">
            <v>4.5442742953027606</v>
          </cell>
        </row>
        <row r="31">
          <cell r="C31">
            <v>2.96228686853703</v>
          </cell>
        </row>
        <row r="32">
          <cell r="C32">
            <v>5.1338949506772273</v>
          </cell>
        </row>
        <row r="33">
          <cell r="C33">
            <v>5.7785799583729256</v>
          </cell>
        </row>
        <row r="34">
          <cell r="C34">
            <v>3.2342886944057079</v>
          </cell>
        </row>
        <row r="35">
          <cell r="C35">
            <v>2.3868988746374016</v>
          </cell>
        </row>
        <row r="36">
          <cell r="C36">
            <v>2.5894989034579639</v>
          </cell>
        </row>
        <row r="37">
          <cell r="C37">
            <v>4.6339500003099863</v>
          </cell>
        </row>
        <row r="38">
          <cell r="C38">
            <v>2.8622665598848607</v>
          </cell>
        </row>
        <row r="39">
          <cell r="C39">
            <v>1.9055680215811965</v>
          </cell>
        </row>
        <row r="40">
          <cell r="C40">
            <v>6.3047282875332558</v>
          </cell>
        </row>
        <row r="41">
          <cell r="C41">
            <v>3.589667448961162</v>
          </cell>
        </row>
        <row r="42">
          <cell r="C42">
            <v>5.7852113099598261</v>
          </cell>
        </row>
        <row r="43">
          <cell r="C43">
            <v>2.1974155485108633</v>
          </cell>
        </row>
        <row r="44">
          <cell r="C44">
            <v>5.920536920090278</v>
          </cell>
        </row>
        <row r="45">
          <cell r="C45">
            <v>7.5605167252577496</v>
          </cell>
        </row>
        <row r="46">
          <cell r="C46">
            <v>10.385532554208817</v>
          </cell>
        </row>
        <row r="47">
          <cell r="C47">
            <v>7.6369901927864143</v>
          </cell>
        </row>
        <row r="48">
          <cell r="C48">
            <v>1.9458633338378308</v>
          </cell>
        </row>
        <row r="49">
          <cell r="C49">
            <v>0.75261745131052904</v>
          </cell>
        </row>
        <row r="50">
          <cell r="C50">
            <v>1.5588764878957566</v>
          </cell>
        </row>
        <row r="51">
          <cell r="C51">
            <v>2.7842125198804597</v>
          </cell>
        </row>
        <row r="52">
          <cell r="C52">
            <v>4.6773932798417688</v>
          </cell>
        </row>
        <row r="53">
          <cell r="C53">
            <v>3.4633958230067083</v>
          </cell>
        </row>
        <row r="54">
          <cell r="C54">
            <v>2.6994276089306122</v>
          </cell>
        </row>
        <row r="55">
          <cell r="C55">
            <v>1.5848821540182265</v>
          </cell>
        </row>
        <row r="56">
          <cell r="C56">
            <v>2.2029606503589148</v>
          </cell>
        </row>
        <row r="57">
          <cell r="C57">
            <v>1.9477559394216906</v>
          </cell>
        </row>
        <row r="58">
          <cell r="C58">
            <v>1.5776095180848806</v>
          </cell>
        </row>
        <row r="59">
          <cell r="C59">
            <v>3.3335307303109696</v>
          </cell>
        </row>
        <row r="60">
          <cell r="C60">
            <v>2.8439155419074638</v>
          </cell>
        </row>
        <row r="61">
          <cell r="C61">
            <v>2.083068186877219</v>
          </cell>
        </row>
        <row r="62">
          <cell r="C62">
            <v>2.1343542668949071</v>
          </cell>
        </row>
        <row r="63">
          <cell r="C63">
            <v>2.0434486162327259</v>
          </cell>
        </row>
        <row r="64">
          <cell r="C64">
            <v>2.8050848241846964</v>
          </cell>
        </row>
        <row r="65">
          <cell r="C65">
            <v>1.4269405749882402</v>
          </cell>
        </row>
        <row r="66">
          <cell r="C66">
            <v>1.3344122657580912</v>
          </cell>
        </row>
        <row r="67">
          <cell r="C67">
            <v>3.6552262881439925</v>
          </cell>
        </row>
        <row r="68">
          <cell r="C68">
            <v>5.3520372765415702</v>
          </cell>
        </row>
        <row r="69">
          <cell r="C69">
            <v>0.751892579633753</v>
          </cell>
        </row>
        <row r="70">
          <cell r="C70" t="str">
            <v>NA</v>
          </cell>
        </row>
        <row r="71">
          <cell r="C71">
            <v>7.060799742599845</v>
          </cell>
        </row>
        <row r="72">
          <cell r="C72">
            <v>116.15182856035436</v>
          </cell>
        </row>
        <row r="73">
          <cell r="C73">
            <v>4.228831219951334</v>
          </cell>
        </row>
        <row r="74">
          <cell r="C74">
            <v>5.8909246119396972</v>
          </cell>
        </row>
        <row r="75">
          <cell r="C75">
            <v>3.3467482766135315</v>
          </cell>
        </row>
        <row r="76">
          <cell r="C76">
            <v>12.903295729268534</v>
          </cell>
        </row>
        <row r="77">
          <cell r="C77">
            <v>5.4478730209887578</v>
          </cell>
        </row>
        <row r="78">
          <cell r="C78">
            <v>1.3312287862989995</v>
          </cell>
        </row>
        <row r="79">
          <cell r="C79">
            <v>7.4467280819546318</v>
          </cell>
        </row>
        <row r="80">
          <cell r="C80">
            <v>10.288758626187031</v>
          </cell>
        </row>
        <row r="81">
          <cell r="C81">
            <v>1.4942441577614121</v>
          </cell>
        </row>
        <row r="82">
          <cell r="C82">
            <v>13.653978923750321</v>
          </cell>
        </row>
        <row r="83">
          <cell r="C83">
            <v>7.5208758943236038</v>
          </cell>
        </row>
        <row r="84">
          <cell r="C84">
            <v>10.499562428629719</v>
          </cell>
        </row>
        <row r="85">
          <cell r="C85">
            <v>14.516695215979457</v>
          </cell>
        </row>
        <row r="86">
          <cell r="C86">
            <v>1.8413254038983555</v>
          </cell>
        </row>
        <row r="87">
          <cell r="C87">
            <v>1.9230724101577581</v>
          </cell>
        </row>
        <row r="88">
          <cell r="C88">
            <v>6.1456448905816243</v>
          </cell>
        </row>
        <row r="89">
          <cell r="C89">
            <v>1.5309566564432715</v>
          </cell>
        </row>
        <row r="90">
          <cell r="C90" t="str">
            <v>NA</v>
          </cell>
        </row>
        <row r="91">
          <cell r="C91">
            <v>6.2025527321562164</v>
          </cell>
        </row>
        <row r="92">
          <cell r="C92">
            <v>7.755848789535337</v>
          </cell>
        </row>
        <row r="93">
          <cell r="C93">
            <v>4.898352888347687</v>
          </cell>
        </row>
        <row r="94">
          <cell r="C94">
            <v>2.0880264047502157</v>
          </cell>
        </row>
        <row r="95">
          <cell r="C95">
            <v>3.9441576868309003</v>
          </cell>
        </row>
      </sheetData>
      <sheetData sheetId="28">
        <row r="2">
          <cell r="D2">
            <v>88.102471258567647</v>
          </cell>
        </row>
        <row r="3">
          <cell r="D3">
            <v>37.012357655702623</v>
          </cell>
        </row>
        <row r="4">
          <cell r="D4">
            <v>3708.2255950634185</v>
          </cell>
        </row>
        <row r="5">
          <cell r="D5">
            <v>36.115757893642517</v>
          </cell>
        </row>
        <row r="6">
          <cell r="D6">
            <v>55.504483231854564</v>
          </cell>
        </row>
        <row r="7">
          <cell r="D7">
            <v>30.427472776535105</v>
          </cell>
        </row>
        <row r="8">
          <cell r="D8">
            <v>8.9973486284201591</v>
          </cell>
        </row>
        <row r="9">
          <cell r="D9">
            <v>28.842773361688966</v>
          </cell>
        </row>
        <row r="10">
          <cell r="D10">
            <v>54.537568297730488</v>
          </cell>
        </row>
        <row r="11">
          <cell r="D11">
            <v>111.14028060528973</v>
          </cell>
        </row>
        <row r="12">
          <cell r="D12">
            <v>8.833696216037886</v>
          </cell>
        </row>
        <row r="13">
          <cell r="D13">
            <v>12.624234823867694</v>
          </cell>
        </row>
        <row r="14">
          <cell r="D14">
            <v>28.097041281817368</v>
          </cell>
        </row>
        <row r="15">
          <cell r="D15">
            <v>269.88371323407836</v>
          </cell>
        </row>
        <row r="16">
          <cell r="D16">
            <v>27.325596099055037</v>
          </cell>
        </row>
        <row r="17">
          <cell r="D17">
            <v>14.700973228187472</v>
          </cell>
        </row>
        <row r="18">
          <cell r="D18">
            <v>11.747498187092095</v>
          </cell>
        </row>
        <row r="19">
          <cell r="D19">
            <v>34.000897789317023</v>
          </cell>
        </row>
        <row r="20">
          <cell r="D20">
            <v>19.434630044840237</v>
          </cell>
        </row>
        <row r="21">
          <cell r="D21">
            <v>38.49598038611893</v>
          </cell>
        </row>
        <row r="22">
          <cell r="D22">
            <v>14.971174006661586</v>
          </cell>
        </row>
        <row r="23">
          <cell r="D23">
            <v>724.65519790540384</v>
          </cell>
        </row>
        <row r="24">
          <cell r="D24">
            <v>103.87660382498588</v>
          </cell>
        </row>
        <row r="25">
          <cell r="D25">
            <v>321.36474406364664</v>
          </cell>
        </row>
        <row r="26">
          <cell r="D26">
            <v>45.690271187691891</v>
          </cell>
        </row>
        <row r="27">
          <cell r="D27">
            <v>1160.4039150093456</v>
          </cell>
        </row>
        <row r="28">
          <cell r="D28">
            <v>52.413469823848487</v>
          </cell>
        </row>
        <row r="29">
          <cell r="D29">
            <v>107.94240751866589</v>
          </cell>
        </row>
        <row r="30">
          <cell r="D30">
            <v>36.621099062306612</v>
          </cell>
        </row>
        <row r="31">
          <cell r="D31">
            <v>65.908637533714554</v>
          </cell>
        </row>
        <row r="32">
          <cell r="D32">
            <v>765.05807360112749</v>
          </cell>
        </row>
        <row r="33">
          <cell r="D33">
            <v>46.330928174741544</v>
          </cell>
        </row>
        <row r="34">
          <cell r="D34">
            <v>31.20977029451694</v>
          </cell>
        </row>
        <row r="35">
          <cell r="D35">
            <v>21.856801639884118</v>
          </cell>
        </row>
        <row r="36">
          <cell r="D36">
            <v>51.306271642179276</v>
          </cell>
        </row>
        <row r="37">
          <cell r="D37">
            <v>47.650508311431864</v>
          </cell>
        </row>
        <row r="38">
          <cell r="D38">
            <v>13.443462092335428</v>
          </cell>
        </row>
        <row r="39">
          <cell r="D39">
            <v>64.673068715322231</v>
          </cell>
        </row>
        <row r="40">
          <cell r="D40">
            <v>91.034351825414603</v>
          </cell>
        </row>
        <row r="41">
          <cell r="D41">
            <v>35.910597989515367</v>
          </cell>
        </row>
        <row r="42">
          <cell r="D42">
            <v>94.110032313980298</v>
          </cell>
        </row>
        <row r="43">
          <cell r="D43">
            <v>13.483758661954498</v>
          </cell>
        </row>
        <row r="44">
          <cell r="D44">
            <v>17.742185324053278</v>
          </cell>
        </row>
        <row r="45">
          <cell r="D45">
            <v>78.209066827877336</v>
          </cell>
        </row>
        <row r="46">
          <cell r="D46">
            <v>49.42738971685182</v>
          </cell>
        </row>
        <row r="47">
          <cell r="D47">
            <v>106.39340960697881</v>
          </cell>
        </row>
        <row r="48">
          <cell r="D48">
            <v>54.646411279260221</v>
          </cell>
        </row>
        <row r="49">
          <cell r="D49">
            <v>99.935737116695805</v>
          </cell>
        </row>
        <row r="50">
          <cell r="D50">
            <v>21.51001587285257</v>
          </cell>
        </row>
        <row r="51">
          <cell r="D51">
            <v>84.054725599652187</v>
          </cell>
        </row>
        <row r="52">
          <cell r="D52">
            <v>40.964138741989274</v>
          </cell>
        </row>
        <row r="53">
          <cell r="D53">
            <v>49.005497128897041</v>
          </cell>
        </row>
        <row r="54">
          <cell r="D54">
            <v>38.426979146822177</v>
          </cell>
        </row>
        <row r="55">
          <cell r="D55">
            <v>22.838354366481575</v>
          </cell>
        </row>
        <row r="56">
          <cell r="D56">
            <v>31.014256465834645</v>
          </cell>
        </row>
        <row r="57">
          <cell r="D57">
            <v>262.0773905111414</v>
          </cell>
        </row>
        <row r="58">
          <cell r="D58">
            <v>48.896776007204394</v>
          </cell>
        </row>
        <row r="59">
          <cell r="D59">
            <v>20.029117124534505</v>
          </cell>
        </row>
        <row r="60">
          <cell r="D60">
            <v>15.640293643365814</v>
          </cell>
        </row>
        <row r="61">
          <cell r="D61">
            <v>25.245852170430176</v>
          </cell>
        </row>
        <row r="62">
          <cell r="D62">
            <v>22.832502122046932</v>
          </cell>
        </row>
        <row r="63">
          <cell r="D63">
            <v>24.656007410005383</v>
          </cell>
        </row>
        <row r="64">
          <cell r="D64">
            <v>62.795600413826357</v>
          </cell>
        </row>
        <row r="65">
          <cell r="D65">
            <v>494.99392273171344</v>
          </cell>
        </row>
        <row r="66">
          <cell r="D66">
            <v>68.454423504321937</v>
          </cell>
        </row>
        <row r="67">
          <cell r="D67">
            <v>35.265829146752985</v>
          </cell>
        </row>
        <row r="68">
          <cell r="D68">
            <v>28.205308755883312</v>
          </cell>
        </row>
        <row r="69">
          <cell r="D69">
            <v>12.98711049088983</v>
          </cell>
        </row>
        <row r="70">
          <cell r="D70">
            <v>31.32565074107929</v>
          </cell>
        </row>
        <row r="71">
          <cell r="D71">
            <v>14.010872137008914</v>
          </cell>
        </row>
        <row r="72">
          <cell r="D72">
            <v>21.778867224846465</v>
          </cell>
        </row>
        <row r="73">
          <cell r="D73">
            <v>34.702727252465273</v>
          </cell>
        </row>
        <row r="74">
          <cell r="D74">
            <v>42.238971527636998</v>
          </cell>
        </row>
        <row r="75">
          <cell r="D75">
            <v>17.789675005516727</v>
          </cell>
        </row>
        <row r="76">
          <cell r="D76">
            <v>144.26145945295102</v>
          </cell>
        </row>
        <row r="77">
          <cell r="D77">
            <v>19.137387835073852</v>
          </cell>
        </row>
        <row r="78">
          <cell r="D78">
            <v>17.573425250067586</v>
          </cell>
        </row>
        <row r="79">
          <cell r="D79">
            <v>582.02061606700045</v>
          </cell>
        </row>
        <row r="80">
          <cell r="D80">
            <v>44.443452384139157</v>
          </cell>
        </row>
        <row r="81">
          <cell r="D81">
            <v>10.47776069741097</v>
          </cell>
        </row>
        <row r="82">
          <cell r="D82">
            <v>21.57575697354401</v>
          </cell>
        </row>
        <row r="83">
          <cell r="D83">
            <v>34.645571172438565</v>
          </cell>
        </row>
        <row r="84">
          <cell r="D84">
            <v>62.86401699078619</v>
          </cell>
        </row>
        <row r="85">
          <cell r="D85">
            <v>130.77289308327045</v>
          </cell>
        </row>
        <row r="86">
          <cell r="D86">
            <v>13.18352736184794</v>
          </cell>
        </row>
        <row r="87">
          <cell r="D87">
            <v>52.339416166920685</v>
          </cell>
        </row>
        <row r="88">
          <cell r="D88">
            <v>65.147059852311045</v>
          </cell>
        </row>
        <row r="89">
          <cell r="D89">
            <v>37.302787033796925</v>
          </cell>
        </row>
        <row r="90">
          <cell r="D90">
            <v>14.6423019391752</v>
          </cell>
        </row>
        <row r="91">
          <cell r="D91">
            <v>28.227405320714436</v>
          </cell>
        </row>
        <row r="92">
          <cell r="D92">
            <v>24.707092715621854</v>
          </cell>
        </row>
        <row r="93">
          <cell r="D93">
            <v>20.714931615189311</v>
          </cell>
        </row>
        <row r="94">
          <cell r="D94">
            <v>21.937262152147429</v>
          </cell>
        </row>
        <row r="95">
          <cell r="D95">
            <v>43.415526541353131</v>
          </cell>
        </row>
      </sheetData>
      <sheetData sheetId="29">
        <row r="2">
          <cell r="E2">
            <v>2.034655385246237</v>
          </cell>
        </row>
        <row r="3">
          <cell r="E3">
            <v>2.3265529674263652</v>
          </cell>
        </row>
        <row r="4">
          <cell r="E4">
            <v>2.135673680718011</v>
          </cell>
        </row>
        <row r="5">
          <cell r="E5">
            <v>1.8160388002142587</v>
          </cell>
        </row>
        <row r="6">
          <cell r="E6">
            <v>4.8845909745965423</v>
          </cell>
        </row>
        <row r="7">
          <cell r="E7">
            <v>1.0621130885569523</v>
          </cell>
        </row>
        <row r="8">
          <cell r="E8">
            <v>4.0047416447019604</v>
          </cell>
        </row>
        <row r="9">
          <cell r="E9">
            <v>3.5663396354020551</v>
          </cell>
        </row>
        <row r="10">
          <cell r="E10">
            <v>4.7750876234377868</v>
          </cell>
        </row>
        <row r="11">
          <cell r="E11">
            <v>4.9650944086189774</v>
          </cell>
        </row>
        <row r="12">
          <cell r="E12">
            <v>1.8477985050674166</v>
          </cell>
        </row>
        <row r="13">
          <cell r="E13">
            <v>5.2034915767008112</v>
          </cell>
        </row>
        <row r="14">
          <cell r="E14">
            <v>2.13508705375073</v>
          </cell>
        </row>
        <row r="15">
          <cell r="E15">
            <v>2.6537654671431081</v>
          </cell>
        </row>
        <row r="16">
          <cell r="E16">
            <v>3.3310184333991826</v>
          </cell>
        </row>
        <row r="17">
          <cell r="E17">
            <v>1.2037819096659139</v>
          </cell>
        </row>
        <row r="18">
          <cell r="E18">
            <v>1.334764946813515</v>
          </cell>
        </row>
        <row r="19">
          <cell r="E19">
            <v>3.3265220914649154</v>
          </cell>
        </row>
        <row r="20">
          <cell r="E20">
            <v>1.3601698846986532</v>
          </cell>
        </row>
        <row r="21">
          <cell r="E21">
            <v>1.5319703644861753</v>
          </cell>
        </row>
        <row r="22">
          <cell r="E22">
            <v>5.3253351177239097</v>
          </cell>
        </row>
        <row r="23">
          <cell r="E23">
            <v>2.3872531618696953</v>
          </cell>
        </row>
        <row r="24">
          <cell r="E24">
            <v>2.8132805304609394</v>
          </cell>
        </row>
        <row r="25">
          <cell r="E25">
            <v>7.0623570816564314</v>
          </cell>
        </row>
        <row r="26">
          <cell r="E26">
            <v>5.2483329422781493</v>
          </cell>
        </row>
        <row r="27">
          <cell r="E27">
            <v>2.7243369910977386</v>
          </cell>
        </row>
        <row r="28">
          <cell r="E28">
            <v>3.9832259726714434</v>
          </cell>
        </row>
        <row r="29">
          <cell r="E29">
            <v>1.5490091492313445</v>
          </cell>
        </row>
        <row r="30">
          <cell r="E30">
            <v>2.8771362941957106</v>
          </cell>
        </row>
        <row r="31">
          <cell r="E31">
            <v>1.0588647442769681</v>
          </cell>
        </row>
        <row r="32">
          <cell r="E32">
            <v>6.3733576747704861</v>
          </cell>
        </row>
        <row r="33">
          <cell r="E33">
            <v>3.6296446738720514</v>
          </cell>
        </row>
        <row r="34">
          <cell r="E34">
            <v>1.2646838800022255</v>
          </cell>
        </row>
        <row r="35">
          <cell r="E35">
            <v>25.039492278925131</v>
          </cell>
        </row>
        <row r="36">
          <cell r="E36">
            <v>2.234894374906748</v>
          </cell>
        </row>
        <row r="37">
          <cell r="E37">
            <v>0.52182937452693268</v>
          </cell>
        </row>
        <row r="38">
          <cell r="E38">
            <v>1.2491495315115277</v>
          </cell>
        </row>
        <row r="39">
          <cell r="E39">
            <v>10.37979701530862</v>
          </cell>
        </row>
        <row r="40">
          <cell r="E40">
            <v>7.0039721034434113</v>
          </cell>
        </row>
        <row r="41">
          <cell r="E41">
            <v>0.77955082459077807</v>
          </cell>
        </row>
        <row r="42">
          <cell r="E42">
            <v>7.7762010903148076</v>
          </cell>
        </row>
        <row r="43">
          <cell r="E43">
            <v>1.3663676451225277</v>
          </cell>
        </row>
        <row r="44">
          <cell r="E44">
            <v>1.6793589817286767</v>
          </cell>
        </row>
        <row r="45">
          <cell r="E45">
            <v>8.8698815298595779</v>
          </cell>
        </row>
        <row r="46">
          <cell r="E46">
            <v>4.3785318796164461</v>
          </cell>
        </row>
        <row r="47">
          <cell r="E47">
            <v>8.7491267282957086</v>
          </cell>
        </row>
        <row r="48">
          <cell r="E48">
            <v>2.3769117124291155</v>
          </cell>
        </row>
        <row r="49">
          <cell r="E49">
            <v>1.3472474863032922</v>
          </cell>
        </row>
        <row r="50">
          <cell r="E50">
            <v>1.3099964490845923</v>
          </cell>
        </row>
        <row r="51">
          <cell r="E51">
            <v>5.4177902501648303</v>
          </cell>
        </row>
        <row r="52">
          <cell r="E52">
            <v>3.2495167808426575</v>
          </cell>
        </row>
        <row r="53">
          <cell r="E53">
            <v>2.6992223766189274</v>
          </cell>
        </row>
        <row r="54">
          <cell r="E54">
            <v>1.3146610216133467</v>
          </cell>
        </row>
        <row r="55">
          <cell r="E55">
            <v>1.5936553523567314</v>
          </cell>
        </row>
        <row r="56">
          <cell r="E56">
            <v>3.1042400262695344</v>
          </cell>
        </row>
        <row r="57">
          <cell r="E57">
            <v>3.5871977183433628</v>
          </cell>
        </row>
        <row r="58">
          <cell r="E58">
            <v>0.73523369123177784</v>
          </cell>
        </row>
        <row r="59">
          <cell r="E59">
            <v>1.6338160595297411</v>
          </cell>
        </row>
        <row r="60">
          <cell r="E60">
            <v>1.1412193846010927</v>
          </cell>
        </row>
        <row r="61">
          <cell r="E61">
            <v>4.4144705603570777</v>
          </cell>
        </row>
        <row r="62">
          <cell r="E62">
            <v>4.2466507371360098</v>
          </cell>
        </row>
        <row r="63">
          <cell r="E63">
            <v>1.3123696996451621</v>
          </cell>
        </row>
        <row r="64">
          <cell r="E64">
            <v>14.228009121413081</v>
          </cell>
        </row>
        <row r="65">
          <cell r="E65">
            <v>5.2270000621744046</v>
          </cell>
        </row>
        <row r="66">
          <cell r="E66">
            <v>6.0613040929319917</v>
          </cell>
        </row>
        <row r="67">
          <cell r="E67">
            <v>2.1828730872657123</v>
          </cell>
        </row>
        <row r="68">
          <cell r="E68">
            <v>2.732831966710342</v>
          </cell>
        </row>
        <row r="69">
          <cell r="E69">
            <v>0.687828362928392</v>
          </cell>
        </row>
        <row r="70">
          <cell r="E70">
            <v>5.1228934048408474</v>
          </cell>
        </row>
        <row r="71">
          <cell r="E71">
            <v>1.1701678391563024</v>
          </cell>
        </row>
        <row r="72">
          <cell r="E72">
            <v>2.633194470509554</v>
          </cell>
        </row>
        <row r="73">
          <cell r="E73">
            <v>1.8458050025238195</v>
          </cell>
        </row>
        <row r="74">
          <cell r="E74">
            <v>0.96385546275894596</v>
          </cell>
        </row>
        <row r="75">
          <cell r="E75">
            <v>0.44613019087613892</v>
          </cell>
        </row>
        <row r="76">
          <cell r="E76">
            <v>3.7332373529758698</v>
          </cell>
        </row>
        <row r="77">
          <cell r="E77">
            <v>1.1110126754840375</v>
          </cell>
        </row>
        <row r="78">
          <cell r="E78">
            <v>0.87582002701647199</v>
          </cell>
        </row>
        <row r="79">
          <cell r="E79">
            <v>8.6891822943438513</v>
          </cell>
        </row>
        <row r="80">
          <cell r="E80">
            <v>6.0797643742617691</v>
          </cell>
        </row>
        <row r="81">
          <cell r="E81">
            <v>1.6859173096783335</v>
          </cell>
        </row>
        <row r="82">
          <cell r="E82">
            <v>4.8500688710584061</v>
          </cell>
        </row>
        <row r="83">
          <cell r="E83">
            <v>8.1174969511633002</v>
          </cell>
        </row>
        <row r="84">
          <cell r="E84">
            <v>17.06671248631822</v>
          </cell>
        </row>
        <row r="85">
          <cell r="E85">
            <v>12.838747646041561</v>
          </cell>
        </row>
        <row r="86">
          <cell r="E86">
            <v>0.88248419641896791</v>
          </cell>
        </row>
        <row r="87">
          <cell r="E87">
            <v>2.9596272770137189</v>
          </cell>
        </row>
        <row r="88">
          <cell r="E88">
            <v>4.7356525969763732</v>
          </cell>
        </row>
        <row r="89">
          <cell r="E89">
            <v>2.4385102767407432</v>
          </cell>
        </row>
        <row r="90">
          <cell r="E90">
            <v>5.0574267330240801</v>
          </cell>
        </row>
        <row r="91">
          <cell r="E91">
            <v>1.5202885672224511</v>
          </cell>
        </row>
        <row r="92">
          <cell r="E92">
            <v>8.5538699357743848</v>
          </cell>
        </row>
        <row r="93">
          <cell r="E93">
            <v>2.587826665715327</v>
          </cell>
        </row>
        <row r="94">
          <cell r="E94">
            <v>4.8124178224519714</v>
          </cell>
        </row>
        <row r="95">
          <cell r="E95">
            <v>10.393836717091054</v>
          </cell>
        </row>
      </sheetData>
      <sheetData sheetId="30"/>
      <sheetData sheetId="31"/>
      <sheetData sheetId="32">
        <row r="2">
          <cell r="H2">
            <v>0.50198093095846885</v>
          </cell>
        </row>
        <row r="3">
          <cell r="H3">
            <v>0.14762414243070365</v>
          </cell>
        </row>
        <row r="4">
          <cell r="H4">
            <v>-0.19809329117768548</v>
          </cell>
        </row>
        <row r="5">
          <cell r="H5">
            <v>0.20353576801904466</v>
          </cell>
        </row>
        <row r="6">
          <cell r="H6">
            <v>4.7412010754241563E-2</v>
          </cell>
        </row>
        <row r="7">
          <cell r="H7">
            <v>0.14771142144448254</v>
          </cell>
        </row>
        <row r="8">
          <cell r="H8">
            <v>-8.9739993476723904E-5</v>
          </cell>
        </row>
        <row r="9">
          <cell r="H9">
            <v>-8.1888503886534192E-4</v>
          </cell>
        </row>
        <row r="10">
          <cell r="H10">
            <v>0.15284887811975884</v>
          </cell>
        </row>
        <row r="11">
          <cell r="H11">
            <v>0.27304031755256047</v>
          </cell>
        </row>
        <row r="12">
          <cell r="H12">
            <v>0.17221886955808891</v>
          </cell>
        </row>
        <row r="13">
          <cell r="H13">
            <v>3.6608202908959483E-3</v>
          </cell>
        </row>
        <row r="14">
          <cell r="H14">
            <v>0.30440682527072144</v>
          </cell>
        </row>
        <row r="15">
          <cell r="H15">
            <v>0.23264063621315148</v>
          </cell>
        </row>
        <row r="16">
          <cell r="H16">
            <v>0.12771922178366793</v>
          </cell>
        </row>
        <row r="17">
          <cell r="H17">
            <v>0.27309513358714144</v>
          </cell>
        </row>
        <row r="18">
          <cell r="H18">
            <v>0.13743960165076913</v>
          </cell>
        </row>
        <row r="19">
          <cell r="H19">
            <v>0.15021255151968924</v>
          </cell>
        </row>
        <row r="20">
          <cell r="H20">
            <v>-4.0449438785430884E-2</v>
          </cell>
        </row>
        <row r="21">
          <cell r="H21">
            <v>0.21406933396630365</v>
          </cell>
        </row>
        <row r="22">
          <cell r="H22">
            <v>0.44928780657172351</v>
          </cell>
        </row>
        <row r="23">
          <cell r="H23">
            <v>0.12883946254290268</v>
          </cell>
        </row>
        <row r="24">
          <cell r="H24">
            <v>0.21445278008263535</v>
          </cell>
        </row>
        <row r="25">
          <cell r="H25">
            <v>7.296867473417544E-2</v>
          </cell>
        </row>
        <row r="26">
          <cell r="H26">
            <v>0.19664317425763292</v>
          </cell>
        </row>
        <row r="27">
          <cell r="H27">
            <v>7.1039438052417261E-2</v>
          </cell>
        </row>
        <row r="28">
          <cell r="H28">
            <v>0.22779416201485914</v>
          </cell>
        </row>
        <row r="29">
          <cell r="H29">
            <v>0.18322191946470803</v>
          </cell>
        </row>
        <row r="30">
          <cell r="H30">
            <v>0.1759277637880885</v>
          </cell>
        </row>
        <row r="31">
          <cell r="H31">
            <v>0.15987763647324238</v>
          </cell>
        </row>
        <row r="32">
          <cell r="H32">
            <v>0.10060434495742451</v>
          </cell>
        </row>
        <row r="33">
          <cell r="H33">
            <v>0.25562620813160908</v>
          </cell>
        </row>
        <row r="34">
          <cell r="H34">
            <v>0.13475605638470328</v>
          </cell>
        </row>
        <row r="35">
          <cell r="H35">
            <v>5.8564887886263526E-3</v>
          </cell>
        </row>
        <row r="36">
          <cell r="H36">
            <v>0.19538259857223317</v>
          </cell>
        </row>
        <row r="37">
          <cell r="H37">
            <v>0.12290769061970223</v>
          </cell>
        </row>
        <row r="38">
          <cell r="H38">
            <v>0.24755838796746724</v>
          </cell>
        </row>
        <row r="39">
          <cell r="H39">
            <v>5.7266901932776053E-2</v>
          </cell>
        </row>
        <row r="40">
          <cell r="H40">
            <v>0.18643689918345574</v>
          </cell>
        </row>
        <row r="41">
          <cell r="H41">
            <v>0.3204676060282301</v>
          </cell>
        </row>
        <row r="42">
          <cell r="H42">
            <v>0.23064491196671355</v>
          </cell>
        </row>
        <row r="43">
          <cell r="H43">
            <v>0.22920822063606722</v>
          </cell>
        </row>
        <row r="44">
          <cell r="H44">
            <v>0.23168380449810044</v>
          </cell>
        </row>
        <row r="45">
          <cell r="H45">
            <v>-4.6887465393259886E-2</v>
          </cell>
        </row>
        <row r="46">
          <cell r="H46">
            <v>0.39778870170478026</v>
          </cell>
        </row>
        <row r="47">
          <cell r="H47">
            <v>0.29040012257299486</v>
          </cell>
        </row>
        <row r="48">
          <cell r="H48">
            <v>0.1297233660001989</v>
          </cell>
        </row>
        <row r="49">
          <cell r="H49">
            <v>6.4912798351568421E-2</v>
          </cell>
        </row>
        <row r="50">
          <cell r="H50">
            <v>0.17379751911240882</v>
          </cell>
        </row>
        <row r="51">
          <cell r="H51">
            <v>9.7235170648923674E-2</v>
          </cell>
        </row>
        <row r="52">
          <cell r="H52">
            <v>0.27215393056173515</v>
          </cell>
        </row>
        <row r="53">
          <cell r="H53">
            <v>0.36124131167177337</v>
          </cell>
        </row>
        <row r="54">
          <cell r="H54">
            <v>0.1346554316629493</v>
          </cell>
        </row>
        <row r="55">
          <cell r="H55">
            <v>5.1210119591147636E-2</v>
          </cell>
        </row>
        <row r="56">
          <cell r="H56">
            <v>-1.5404225384707331E-2</v>
          </cell>
        </row>
        <row r="57">
          <cell r="H57">
            <v>6.8107628630444755E-2</v>
          </cell>
        </row>
        <row r="58">
          <cell r="H58">
            <v>2.8220421587216493E-2</v>
          </cell>
        </row>
        <row r="59">
          <cell r="H59">
            <v>0.15402729505724777</v>
          </cell>
        </row>
        <row r="60">
          <cell r="H60">
            <v>0.44889363114442454</v>
          </cell>
        </row>
        <row r="61">
          <cell r="H61">
            <v>6.0578387256124119E-2</v>
          </cell>
        </row>
        <row r="62">
          <cell r="H62">
            <v>0.14749841120018942</v>
          </cell>
        </row>
        <row r="63">
          <cell r="H63">
            <v>0.15765441430228599</v>
          </cell>
        </row>
        <row r="64">
          <cell r="H64">
            <v>2.748301739470577E-2</v>
          </cell>
        </row>
        <row r="65">
          <cell r="H65">
            <v>1.2884336467941742E-2</v>
          </cell>
        </row>
        <row r="66">
          <cell r="H66">
            <v>5.0101285548222817E-2</v>
          </cell>
        </row>
        <row r="67">
          <cell r="H67">
            <v>-2.7979285653854057E-2</v>
          </cell>
        </row>
        <row r="68">
          <cell r="H68">
            <v>0.18444016078002451</v>
          </cell>
        </row>
        <row r="69">
          <cell r="H69">
            <v>6.6892016302657772E-2</v>
          </cell>
        </row>
        <row r="70">
          <cell r="H70">
            <v>0.1472405112625087</v>
          </cell>
        </row>
        <row r="71">
          <cell r="H71">
            <v>0.15472145512223043</v>
          </cell>
        </row>
        <row r="72">
          <cell r="H72">
            <v>0.54617060057669409</v>
          </cell>
        </row>
        <row r="73">
          <cell r="H73">
            <v>0.16274787234090371</v>
          </cell>
        </row>
        <row r="74">
          <cell r="H74">
            <v>0.20876863871905457</v>
          </cell>
        </row>
        <row r="75">
          <cell r="H75">
            <v>7.0071627406092393E-2</v>
          </cell>
        </row>
        <row r="76">
          <cell r="H76">
            <v>0.12181557341547236</v>
          </cell>
        </row>
        <row r="77">
          <cell r="H77">
            <v>0.17276294572604059</v>
          </cell>
        </row>
        <row r="78">
          <cell r="H78">
            <v>7.2812798388369154E-2</v>
          </cell>
        </row>
        <row r="79">
          <cell r="H79">
            <v>0.21704586484505703</v>
          </cell>
        </row>
        <row r="80">
          <cell r="H80">
            <v>0.37244506159692958</v>
          </cell>
        </row>
        <row r="81">
          <cell r="H81">
            <v>0.15008243815157002</v>
          </cell>
        </row>
        <row r="82">
          <cell r="H82">
            <v>0.40945983653995111</v>
          </cell>
        </row>
        <row r="83">
          <cell r="H83">
            <v>0.25460137429438645</v>
          </cell>
        </row>
        <row r="84">
          <cell r="H84">
            <v>1.6450866361211937E-2</v>
          </cell>
        </row>
        <row r="85">
          <cell r="H85">
            <v>0.25031590754955452</v>
          </cell>
        </row>
        <row r="86">
          <cell r="H86">
            <v>0.37250515548260549</v>
          </cell>
        </row>
        <row r="87">
          <cell r="H87">
            <v>5.18063778344608E-2</v>
          </cell>
        </row>
        <row r="88">
          <cell r="H88">
            <v>0.2684213717561465</v>
          </cell>
        </row>
        <row r="89">
          <cell r="H89">
            <v>0.15332858966929377</v>
          </cell>
        </row>
        <row r="90">
          <cell r="H90">
            <v>0.6444837918764037</v>
          </cell>
        </row>
        <row r="91">
          <cell r="H91">
            <v>0.21050607736749496</v>
          </cell>
        </row>
        <row r="92">
          <cell r="H92">
            <v>0.15305518344153013</v>
          </cell>
        </row>
        <row r="93">
          <cell r="H93">
            <v>5.7622813229085725E-2</v>
          </cell>
        </row>
        <row r="94">
          <cell r="H94">
            <v>5.9117785815711511E-2</v>
          </cell>
        </row>
        <row r="95">
          <cell r="H95">
            <v>7.2882494230344888E-2</v>
          </cell>
        </row>
      </sheetData>
      <sheetData sheetId="33">
        <row r="3">
          <cell r="H3">
            <v>0.23798699457477179</v>
          </cell>
        </row>
        <row r="4">
          <cell r="H4">
            <v>0.16746298118125028</v>
          </cell>
        </row>
        <row r="5">
          <cell r="H5">
            <v>0.21223426427678205</v>
          </cell>
        </row>
        <row r="6">
          <cell r="H6">
            <v>0.19927539937899585</v>
          </cell>
        </row>
        <row r="7">
          <cell r="H7">
            <v>0.17053840681856863</v>
          </cell>
        </row>
        <row r="8">
          <cell r="H8">
            <v>0.2424730327108939</v>
          </cell>
        </row>
        <row r="9">
          <cell r="H9">
            <v>0.1540192878490923</v>
          </cell>
        </row>
        <row r="10">
          <cell r="H10">
            <v>0.21042774750542351</v>
          </cell>
        </row>
        <row r="11">
          <cell r="H11">
            <v>0.27020122399812441</v>
          </cell>
        </row>
        <row r="12">
          <cell r="H12">
            <v>0.23330412678297208</v>
          </cell>
        </row>
        <row r="13">
          <cell r="H13">
            <v>0.1977540776810367</v>
          </cell>
        </row>
        <row r="14">
          <cell r="H14">
            <v>0.21287037350972721</v>
          </cell>
        </row>
        <row r="15">
          <cell r="H15">
            <v>0.24905975946183925</v>
          </cell>
        </row>
        <row r="16">
          <cell r="H16">
            <v>0.24837077560341159</v>
          </cell>
        </row>
        <row r="17">
          <cell r="H17">
            <v>0.24675021478465503</v>
          </cell>
        </row>
        <row r="18">
          <cell r="H18">
            <v>0.20791871089728611</v>
          </cell>
        </row>
        <row r="19">
          <cell r="H19">
            <v>0.1088339222614841</v>
          </cell>
        </row>
        <row r="20">
          <cell r="H20">
            <v>0.15982034484636962</v>
          </cell>
        </row>
        <row r="21">
          <cell r="H21">
            <v>3.3152173913043481E-2</v>
          </cell>
        </row>
        <row r="22">
          <cell r="H22">
            <v>0.22091278577648488</v>
          </cell>
        </row>
        <row r="23">
          <cell r="H23">
            <v>0.13245520594073729</v>
          </cell>
        </row>
        <row r="24">
          <cell r="H24">
            <v>0.20975003613193138</v>
          </cell>
        </row>
        <row r="25">
          <cell r="H25">
            <v>0.19359373731754007</v>
          </cell>
        </row>
        <row r="26">
          <cell r="H26">
            <v>0.11384166004103695</v>
          </cell>
        </row>
        <row r="27">
          <cell r="H27">
            <v>0.11527435280898106</v>
          </cell>
        </row>
        <row r="28">
          <cell r="H28">
            <v>0.23237923521899179</v>
          </cell>
        </row>
        <row r="29">
          <cell r="H29">
            <v>0.19035540509956009</v>
          </cell>
        </row>
        <row r="30">
          <cell r="H30">
            <v>0.1178168298917928</v>
          </cell>
        </row>
        <row r="31">
          <cell r="H31">
            <v>0.17877330934381025</v>
          </cell>
        </row>
        <row r="32">
          <cell r="H32">
            <v>0.23480933220126257</v>
          </cell>
        </row>
        <row r="33">
          <cell r="H33">
            <v>0.12543963380867215</v>
          </cell>
        </row>
        <row r="34">
          <cell r="H34">
            <v>0.21818387373513298</v>
          </cell>
        </row>
        <row r="35">
          <cell r="H35">
            <v>0.19229116458185852</v>
          </cell>
        </row>
        <row r="36">
          <cell r="H36">
            <v>0.19305154410783282</v>
          </cell>
        </row>
        <row r="37">
          <cell r="H37">
            <v>0.23313597420657381</v>
          </cell>
        </row>
        <row r="38">
          <cell r="H38">
            <v>0.17524993245068898</v>
          </cell>
        </row>
        <row r="39">
          <cell r="H39">
            <v>0.20010870596483785</v>
          </cell>
        </row>
        <row r="40">
          <cell r="H40">
            <v>0.28344877870944224</v>
          </cell>
        </row>
        <row r="41">
          <cell r="H41">
            <v>0.14155199698242923</v>
          </cell>
        </row>
        <row r="42">
          <cell r="H42">
            <v>0.22472131877734072</v>
          </cell>
        </row>
        <row r="43">
          <cell r="H43">
            <v>0.17106891070796754</v>
          </cell>
        </row>
        <row r="44">
          <cell r="H44">
            <v>0.22201392069140863</v>
          </cell>
        </row>
        <row r="45">
          <cell r="H45">
            <v>0.20937527597650868</v>
          </cell>
        </row>
        <row r="46">
          <cell r="H46">
            <v>0.26135030836735623</v>
          </cell>
        </row>
        <row r="47">
          <cell r="H47">
            <v>0.19456884906435407</v>
          </cell>
        </row>
        <row r="48">
          <cell r="H48">
            <v>0.1950192566770885</v>
          </cell>
        </row>
        <row r="49">
          <cell r="H49">
            <v>0.17207962326362258</v>
          </cell>
        </row>
        <row r="50">
          <cell r="H50">
            <v>0.18463695669072408</v>
          </cell>
        </row>
        <row r="51">
          <cell r="H51">
            <v>0.20002411934856659</v>
          </cell>
        </row>
        <row r="52">
          <cell r="H52">
            <v>0.14677695144373404</v>
          </cell>
        </row>
        <row r="53">
          <cell r="H53">
            <v>0.19087645912490417</v>
          </cell>
        </row>
        <row r="54">
          <cell r="H54">
            <v>0.33984310813592949</v>
          </cell>
        </row>
        <row r="55">
          <cell r="H55">
            <v>0.18451520894710177</v>
          </cell>
        </row>
        <row r="56">
          <cell r="H56">
            <v>0.28077722807772282</v>
          </cell>
        </row>
        <row r="57">
          <cell r="H57">
            <v>0.18209773920738404</v>
          </cell>
        </row>
        <row r="58">
          <cell r="H58">
            <v>0.20284062480499349</v>
          </cell>
        </row>
        <row r="59">
          <cell r="H59">
            <v>0.26437359823321183</v>
          </cell>
        </row>
        <row r="60">
          <cell r="H60">
            <v>0.23220825745215409</v>
          </cell>
        </row>
        <row r="61">
          <cell r="H61">
            <v>0.22278152351438507</v>
          </cell>
        </row>
        <row r="62">
          <cell r="H62">
            <v>0.1851884091768615</v>
          </cell>
        </row>
        <row r="63">
          <cell r="H63">
            <v>0.36392582072271995</v>
          </cell>
        </row>
        <row r="64">
          <cell r="H64">
            <v>0.21152377804875272</v>
          </cell>
        </row>
        <row r="65">
          <cell r="H65">
            <v>4.7930257626224437E-2</v>
          </cell>
        </row>
        <row r="66">
          <cell r="H66">
            <v>0.21333719949954633</v>
          </cell>
        </row>
        <row r="67">
          <cell r="H67">
            <v>0.20637910599390452</v>
          </cell>
        </row>
        <row r="68">
          <cell r="H68">
            <v>0.22915300501466254</v>
          </cell>
        </row>
        <row r="69">
          <cell r="H69">
            <v>0.19757046310467571</v>
          </cell>
        </row>
        <row r="70">
          <cell r="H70">
            <v>0.22725963477158823</v>
          </cell>
        </row>
        <row r="71">
          <cell r="H71">
            <v>0.16068891755321124</v>
          </cell>
        </row>
        <row r="72">
          <cell r="H72">
            <v>0.22942876172065518</v>
          </cell>
        </row>
        <row r="73">
          <cell r="H73">
            <v>0.23846504940779112</v>
          </cell>
        </row>
        <row r="74">
          <cell r="H74">
            <v>0.23751896645810627</v>
          </cell>
        </row>
        <row r="75">
          <cell r="H75">
            <v>0.27823001242262063</v>
          </cell>
        </row>
        <row r="76">
          <cell r="H76">
            <v>0.20606611899144384</v>
          </cell>
        </row>
        <row r="77">
          <cell r="H77">
            <v>0.15499468618569084</v>
          </cell>
        </row>
        <row r="78">
          <cell r="H78">
            <v>0.23766311439513196</v>
          </cell>
        </row>
        <row r="79">
          <cell r="H79">
            <v>0.34810339793832956</v>
          </cell>
        </row>
        <row r="80">
          <cell r="H80">
            <v>8.7395644777004372E-2</v>
          </cell>
        </row>
        <row r="81">
          <cell r="H81">
            <v>0.10509807157868395</v>
          </cell>
        </row>
        <row r="82">
          <cell r="H82">
            <v>0.19516554966489946</v>
          </cell>
        </row>
        <row r="83">
          <cell r="H83">
            <v>0.13138826276542734</v>
          </cell>
        </row>
        <row r="84">
          <cell r="H84">
            <v>0.16361513724405366</v>
          </cell>
        </row>
        <row r="85">
          <cell r="H85">
            <v>0.12059293202397502</v>
          </cell>
        </row>
        <row r="86">
          <cell r="H86">
            <v>0.10425074823487464</v>
          </cell>
        </row>
        <row r="87">
          <cell r="H87">
            <v>0.17547938410882577</v>
          </cell>
        </row>
        <row r="88">
          <cell r="H88">
            <v>0.15404468771821075</v>
          </cell>
        </row>
        <row r="89">
          <cell r="H89">
            <v>0.18553284632860273</v>
          </cell>
        </row>
        <row r="90">
          <cell r="H90">
            <v>0.23964023206568558</v>
          </cell>
        </row>
        <row r="91">
          <cell r="H91">
            <v>0.2453534284511191</v>
          </cell>
        </row>
        <row r="92">
          <cell r="H92">
            <v>0.23333591393258046</v>
          </cell>
        </row>
        <row r="93">
          <cell r="H93">
            <v>0.23139696548389047</v>
          </cell>
        </row>
        <row r="94">
          <cell r="H94">
            <v>0.23984931774165821</v>
          </cell>
        </row>
        <row r="95">
          <cell r="H95">
            <v>0.12102541076298808</v>
          </cell>
        </row>
        <row r="96">
          <cell r="H96">
            <v>0.1252597592182321</v>
          </cell>
        </row>
      </sheetData>
      <sheetData sheetId="34"/>
      <sheetData sheetId="35">
        <row r="3">
          <cell r="D3">
            <v>9.9356379180560861</v>
          </cell>
          <cell r="E3">
            <v>17.509963681747429</v>
          </cell>
        </row>
        <row r="4">
          <cell r="D4">
            <v>13.376345738965652</v>
          </cell>
          <cell r="E4">
            <v>22.26592317179729</v>
          </cell>
        </row>
        <row r="5">
          <cell r="D5">
            <v>17.604908023920153</v>
          </cell>
          <cell r="E5" t="str">
            <v>NA</v>
          </cell>
        </row>
        <row r="6">
          <cell r="D6">
            <v>9.4901459334871632</v>
          </cell>
          <cell r="E6">
            <v>14.165373946045277</v>
          </cell>
        </row>
        <row r="7">
          <cell r="D7">
            <v>39.073845798116508</v>
          </cell>
          <cell r="E7">
            <v>83.092255894251949</v>
          </cell>
        </row>
        <row r="8">
          <cell r="D8">
            <v>7.8623582653004522</v>
          </cell>
          <cell r="E8">
            <v>13.849958452633937</v>
          </cell>
        </row>
        <row r="9">
          <cell r="D9" t="str">
            <v>NA</v>
          </cell>
          <cell r="E9" t="str">
            <v>NA</v>
          </cell>
        </row>
        <row r="10">
          <cell r="D10" t="str">
            <v>NA</v>
          </cell>
          <cell r="E10" t="str">
            <v>NA</v>
          </cell>
        </row>
        <row r="11">
          <cell r="D11">
            <v>16.723865231429723</v>
          </cell>
          <cell r="E11">
            <v>20.701837283647773</v>
          </cell>
        </row>
        <row r="12">
          <cell r="D12">
            <v>20.001341149310033</v>
          </cell>
          <cell r="E12">
            <v>23.924774609521808</v>
          </cell>
        </row>
        <row r="13">
          <cell r="D13">
            <v>7.3297752369302351</v>
          </cell>
          <cell r="E13">
            <v>10.170887361670596</v>
          </cell>
        </row>
        <row r="14">
          <cell r="D14" t="str">
            <v>NA</v>
          </cell>
          <cell r="E14" t="str">
            <v>NA</v>
          </cell>
        </row>
        <row r="15">
          <cell r="D15">
            <v>13.673012507387574</v>
          </cell>
          <cell r="E15">
            <v>18.105169428272607</v>
          </cell>
        </row>
        <row r="16">
          <cell r="D16">
            <v>16.012508412938871</v>
          </cell>
          <cell r="E16">
            <v>26.6482712953209</v>
          </cell>
        </row>
        <row r="17">
          <cell r="D17">
            <v>10.178910697953286</v>
          </cell>
          <cell r="E17">
            <v>17.343578707291467</v>
          </cell>
        </row>
        <row r="18">
          <cell r="D18">
            <v>5.6189722304943039</v>
          </cell>
          <cell r="E18">
            <v>7.8750310925007438</v>
          </cell>
        </row>
        <row r="19">
          <cell r="D19">
            <v>8.6649133627807622</v>
          </cell>
          <cell r="E19">
            <v>13.787105606481424</v>
          </cell>
        </row>
        <row r="20">
          <cell r="D20">
            <v>15.407904263406223</v>
          </cell>
          <cell r="E20">
            <v>24.497025775348437</v>
          </cell>
        </row>
        <row r="21">
          <cell r="D21">
            <v>8.1776371340664404</v>
          </cell>
          <cell r="E21" t="str">
            <v>NA</v>
          </cell>
        </row>
        <row r="22">
          <cell r="D22">
            <v>11.967830624892715</v>
          </cell>
          <cell r="E22">
            <v>21.975677392392729</v>
          </cell>
        </row>
        <row r="23">
          <cell r="D23">
            <v>21.295026192846265</v>
          </cell>
          <cell r="E23">
            <v>25.45145802717278</v>
          </cell>
        </row>
        <row r="24">
          <cell r="D24">
            <v>14.2635557367547</v>
          </cell>
          <cell r="E24">
            <v>21.059728499239323</v>
          </cell>
        </row>
        <row r="25">
          <cell r="D25">
            <v>7.8938901936743706</v>
          </cell>
          <cell r="E25">
            <v>9.2777804235126897</v>
          </cell>
        </row>
        <row r="26">
          <cell r="D26">
            <v>11.293150084120308</v>
          </cell>
          <cell r="E26">
            <v>40.418232418491129</v>
          </cell>
        </row>
        <row r="27">
          <cell r="D27">
            <v>13.672559552950027</v>
          </cell>
          <cell r="E27">
            <v>20.676124610229575</v>
          </cell>
        </row>
        <row r="28">
          <cell r="D28">
            <v>12.339348139137961</v>
          </cell>
          <cell r="E28">
            <v>38.926289800982829</v>
          </cell>
        </row>
        <row r="29">
          <cell r="D29">
            <v>17.193823369165901</v>
          </cell>
          <cell r="E29">
            <v>28.244398665313884</v>
          </cell>
        </row>
        <row r="30">
          <cell r="D30">
            <v>18.949247606224333</v>
          </cell>
          <cell r="E30">
            <v>29.613941144772536</v>
          </cell>
        </row>
        <row r="31">
          <cell r="D31">
            <v>16.64522004277508</v>
          </cell>
          <cell r="E31">
            <v>26.428938020831584</v>
          </cell>
        </row>
        <row r="32">
          <cell r="D32">
            <v>12.631698455294885</v>
          </cell>
          <cell r="E32">
            <v>21.228405226776093</v>
          </cell>
        </row>
        <row r="33">
          <cell r="D33">
            <v>31.58189491543606</v>
          </cell>
          <cell r="E33">
            <v>70.464772437215231</v>
          </cell>
        </row>
        <row r="34">
          <cell r="D34">
            <v>15.965136171249092</v>
          </cell>
          <cell r="E34">
            <v>27.379811752489427</v>
          </cell>
        </row>
        <row r="35">
          <cell r="D35">
            <v>12.871909160740035</v>
          </cell>
          <cell r="E35">
            <v>16.353163936655104</v>
          </cell>
        </row>
        <row r="36">
          <cell r="D36">
            <v>104.28129306195417</v>
          </cell>
          <cell r="E36">
            <v>114.38578820382327</v>
          </cell>
        </row>
        <row r="37">
          <cell r="D37">
            <v>12.618122757041593</v>
          </cell>
          <cell r="E37">
            <v>16.229113561231109</v>
          </cell>
        </row>
        <row r="38">
          <cell r="D38">
            <v>14.687357753983225</v>
          </cell>
          <cell r="E38">
            <v>28.080734544224086</v>
          </cell>
        </row>
        <row r="39">
          <cell r="D39">
            <v>8.0790615203586551</v>
          </cell>
          <cell r="E39">
            <v>11.190823392767202</v>
          </cell>
        </row>
        <row r="40">
          <cell r="D40">
            <v>16.874056989697479</v>
          </cell>
          <cell r="E40">
            <v>40.448200748454667</v>
          </cell>
        </row>
        <row r="41">
          <cell r="D41">
            <v>24.161666076043847</v>
          </cell>
          <cell r="E41">
            <v>37.629027868540298</v>
          </cell>
        </row>
        <row r="42">
          <cell r="D42">
            <v>13.167750972214359</v>
          </cell>
          <cell r="E42">
            <v>18.112160731933205</v>
          </cell>
        </row>
        <row r="43">
          <cell r="D43">
            <v>25.599322950300721</v>
          </cell>
          <cell r="E43">
            <v>39.391873795065884</v>
          </cell>
        </row>
        <row r="44">
          <cell r="D44">
            <v>8.0408561316536495</v>
          </cell>
          <cell r="E44">
            <v>8.3868858991534445</v>
          </cell>
        </row>
        <row r="45">
          <cell r="D45">
            <v>8.7824036649541348</v>
          </cell>
          <cell r="E45">
            <v>13.434142877238942</v>
          </cell>
        </row>
        <row r="46">
          <cell r="D46">
            <v>27.817909541039356</v>
          </cell>
          <cell r="E46" t="str">
            <v>NA</v>
          </cell>
        </row>
        <row r="47">
          <cell r="D47">
            <v>18.883381007637499</v>
          </cell>
          <cell r="E47">
            <v>23.537855327728018</v>
          </cell>
        </row>
        <row r="48">
          <cell r="D48">
            <v>25.812774367871864</v>
          </cell>
          <cell r="E48">
            <v>35.189726767324224</v>
          </cell>
        </row>
        <row r="49">
          <cell r="D49">
            <v>10.001580151572469</v>
          </cell>
          <cell r="E49">
            <v>13.868877387151445</v>
          </cell>
        </row>
        <row r="50">
          <cell r="D50">
            <v>9.184415080779825</v>
          </cell>
          <cell r="E50">
            <v>10.586276647952527</v>
          </cell>
        </row>
        <row r="51">
          <cell r="D51">
            <v>7.0269000461212885</v>
          </cell>
          <cell r="E51">
            <v>8.240556369979922</v>
          </cell>
        </row>
        <row r="52">
          <cell r="D52">
            <v>22.257850547215998</v>
          </cell>
          <cell r="E52">
            <v>26.017937557967038</v>
          </cell>
        </row>
        <row r="53">
          <cell r="D53">
            <v>16.271364524750446</v>
          </cell>
          <cell r="E53">
            <v>21.653718371893085</v>
          </cell>
        </row>
        <row r="54">
          <cell r="D54">
            <v>7.6045410567135363</v>
          </cell>
          <cell r="E54">
            <v>9.980984227148662</v>
          </cell>
        </row>
        <row r="55">
          <cell r="D55">
            <v>11.573254454389193</v>
          </cell>
          <cell r="E55">
            <v>21.696395332139399</v>
          </cell>
        </row>
        <row r="56">
          <cell r="D56">
            <v>8.4156092934264581</v>
          </cell>
          <cell r="E56">
            <v>21.414311174536206</v>
          </cell>
        </row>
        <row r="57">
          <cell r="D57">
            <v>8.2784285892811127</v>
          </cell>
          <cell r="E57" t="str">
            <v>NA</v>
          </cell>
        </row>
        <row r="58">
          <cell r="D58">
            <v>13.048366999140045</v>
          </cell>
          <cell r="E58">
            <v>21.622008634786763</v>
          </cell>
        </row>
        <row r="59">
          <cell r="D59">
            <v>12.275052036190768</v>
          </cell>
          <cell r="E59">
            <v>51.63991412721672</v>
          </cell>
        </row>
        <row r="60">
          <cell r="D60">
            <v>10.228085886752773</v>
          </cell>
          <cell r="E60">
            <v>16.519183480110314</v>
          </cell>
        </row>
        <row r="61">
          <cell r="D61">
            <v>4.8289341051332526</v>
          </cell>
          <cell r="E61">
            <v>6.0654357945118749</v>
          </cell>
        </row>
        <row r="62">
          <cell r="D62">
            <v>12.364212573981037</v>
          </cell>
          <cell r="E62">
            <v>23.271194791256637</v>
          </cell>
        </row>
        <row r="63">
          <cell r="D63">
            <v>8.4778925238075242</v>
          </cell>
          <cell r="E63">
            <v>14.598203236142117</v>
          </cell>
        </row>
        <row r="64">
          <cell r="D64">
            <v>9.5732621953810355</v>
          </cell>
          <cell r="E64">
            <v>17.030570133812773</v>
          </cell>
        </row>
        <row r="65">
          <cell r="D65">
            <v>26.809893880742447</v>
          </cell>
          <cell r="E65">
            <v>64.774025705309413</v>
          </cell>
        </row>
        <row r="66">
          <cell r="D66">
            <v>26.837721323363908</v>
          </cell>
          <cell r="E66">
            <v>93.936759696315946</v>
          </cell>
        </row>
        <row r="67">
          <cell r="D67">
            <v>19.93412638096785</v>
          </cell>
          <cell r="E67">
            <v>32.231856879762837</v>
          </cell>
        </row>
        <row r="68">
          <cell r="D68">
            <v>20.84354465903348</v>
          </cell>
          <cell r="E68" t="str">
            <v>NA</v>
          </cell>
        </row>
        <row r="69">
          <cell r="D69">
            <v>13.320045031608801</v>
          </cell>
          <cell r="E69">
            <v>24.04757365523351</v>
          </cell>
        </row>
        <row r="70">
          <cell r="D70">
            <v>7.4805949672981802</v>
          </cell>
          <cell r="E70">
            <v>9.4393544654726984</v>
          </cell>
        </row>
        <row r="71">
          <cell r="D71">
            <v>19.324083244950906</v>
          </cell>
          <cell r="E71">
            <v>41.199465635000614</v>
          </cell>
        </row>
        <row r="72">
          <cell r="D72">
            <v>12.161277996339594</v>
          </cell>
          <cell r="E72">
            <v>18.423862512171258</v>
          </cell>
        </row>
        <row r="73">
          <cell r="D73">
            <v>14.867400765298026</v>
          </cell>
          <cell r="E73">
            <v>18.527716919840142</v>
          </cell>
        </row>
        <row r="74">
          <cell r="D74">
            <v>14.680028537845244</v>
          </cell>
          <cell r="E74">
            <v>18.75933428290752</v>
          </cell>
        </row>
        <row r="75">
          <cell r="D75">
            <v>11.843612233433941</v>
          </cell>
          <cell r="E75">
            <v>18.770871895768089</v>
          </cell>
        </row>
        <row r="76">
          <cell r="D76">
            <v>7.6033156983636676</v>
          </cell>
          <cell r="E76">
            <v>24.097484532089272</v>
          </cell>
        </row>
        <row r="77">
          <cell r="D77">
            <v>26.224685253974695</v>
          </cell>
          <cell r="E77">
            <v>66.033005921255679</v>
          </cell>
        </row>
        <row r="78">
          <cell r="D78">
            <v>8.4643430245304714</v>
          </cell>
          <cell r="E78">
            <v>16.203438357308254</v>
          </cell>
        </row>
        <row r="79">
          <cell r="D79">
            <v>7.2567774949174471</v>
          </cell>
          <cell r="E79">
            <v>15.318721893353992</v>
          </cell>
        </row>
        <row r="80">
          <cell r="D80">
            <v>21.2745940343858</v>
          </cell>
          <cell r="E80">
            <v>31.329896678224781</v>
          </cell>
        </row>
        <row r="81">
          <cell r="D81">
            <v>19.426049408600392</v>
          </cell>
          <cell r="E81">
            <v>22.314550076762597</v>
          </cell>
        </row>
        <row r="82">
          <cell r="D82">
            <v>6.4910449820632321</v>
          </cell>
          <cell r="E82">
            <v>9.4716971120211095</v>
          </cell>
        </row>
        <row r="83">
          <cell r="D83">
            <v>25.774537466961387</v>
          </cell>
          <cell r="E83">
            <v>31.322184924643818</v>
          </cell>
        </row>
        <row r="84">
          <cell r="D84">
            <v>20.512949920184127</v>
          </cell>
          <cell r="E84">
            <v>25.653863204839883</v>
          </cell>
        </row>
        <row r="85">
          <cell r="D85">
            <v>22.97813339989667</v>
          </cell>
          <cell r="E85" t="str">
            <v>NA</v>
          </cell>
        </row>
        <row r="86">
          <cell r="D86">
            <v>32.716680064633188</v>
          </cell>
          <cell r="E86">
            <v>46.507104968228958</v>
          </cell>
        </row>
        <row r="87">
          <cell r="D87">
            <v>4.4590876680940292</v>
          </cell>
          <cell r="E87">
            <v>5.4285566105696565</v>
          </cell>
        </row>
        <row r="88">
          <cell r="D88">
            <v>7.7854742682897822</v>
          </cell>
          <cell r="E88">
            <v>30.020555852632732</v>
          </cell>
        </row>
        <row r="89">
          <cell r="D89">
            <v>18.159138065315329</v>
          </cell>
          <cell r="E89">
            <v>23.515672335831848</v>
          </cell>
        </row>
        <row r="90">
          <cell r="D90">
            <v>6.6061914621324309</v>
          </cell>
          <cell r="E90">
            <v>11.715013345691034</v>
          </cell>
        </row>
        <row r="91">
          <cell r="D91">
            <v>10.695601691884987</v>
          </cell>
          <cell r="E91">
            <v>11.373264886385954</v>
          </cell>
        </row>
        <row r="92">
          <cell r="D92">
            <v>11.416477749433529</v>
          </cell>
          <cell r="E92">
            <v>18.737926513227354</v>
          </cell>
        </row>
        <row r="93">
          <cell r="D93">
            <v>15.869353454684745</v>
          </cell>
          <cell r="E93">
            <v>20.579513818159775</v>
          </cell>
        </row>
        <row r="94">
          <cell r="D94">
            <v>9.9329540188337173</v>
          </cell>
          <cell r="E94">
            <v>31.303922870410435</v>
          </cell>
        </row>
        <row r="95">
          <cell r="D95">
            <v>14.297505883621557</v>
          </cell>
          <cell r="E95">
            <v>25.377856467784756</v>
          </cell>
        </row>
        <row r="96">
          <cell r="D96">
            <v>22.421981690615254</v>
          </cell>
          <cell r="E96">
            <v>34.621265391362179</v>
          </cell>
        </row>
      </sheetData>
      <sheetData sheetId="36">
        <row r="13">
          <cell r="D13">
            <v>7.1933872572239765E-2</v>
          </cell>
          <cell r="G13">
            <v>3.5780000000000006E-2</v>
          </cell>
          <cell r="K13">
            <v>5.6366538537239191E-2</v>
          </cell>
        </row>
        <row r="14">
          <cell r="D14">
            <v>6.9416450816390363E-2</v>
          </cell>
          <cell r="G14">
            <v>3.1600000000000003E-2</v>
          </cell>
          <cell r="K14">
            <v>5.8871737979129618E-2</v>
          </cell>
        </row>
        <row r="15">
          <cell r="D15">
            <v>8.2215282496765268E-2</v>
          </cell>
          <cell r="G15">
            <v>3.5780000000000006E-2</v>
          </cell>
          <cell r="K15">
            <v>4.8262693067997582E-2</v>
          </cell>
        </row>
        <row r="16">
          <cell r="D16">
            <v>6.7107101076331138E-2</v>
          </cell>
          <cell r="G16">
            <v>3.5780000000000006E-2</v>
          </cell>
          <cell r="K16">
            <v>5.7265960408243756E-2</v>
          </cell>
        </row>
        <row r="17">
          <cell r="D17">
            <v>6.2982588043295318E-2</v>
          </cell>
          <cell r="G17">
            <v>3.5780000000000006E-2</v>
          </cell>
          <cell r="K17">
            <v>5.6874174806221603E-2</v>
          </cell>
        </row>
        <row r="18">
          <cell r="D18">
            <v>7.4378120712634138E-2</v>
          </cell>
          <cell r="G18">
            <v>3.1600000000000003E-2</v>
          </cell>
          <cell r="K18">
            <v>6.2034766589507927E-2</v>
          </cell>
        </row>
        <row r="19">
          <cell r="D19">
            <v>6.2469881650590663E-2</v>
          </cell>
          <cell r="G19">
            <v>2.5000000000000001E-2</v>
          </cell>
          <cell r="K19">
            <v>3.4603872905991151E-2</v>
          </cell>
        </row>
        <row r="20">
          <cell r="D20">
            <v>4.4694696265474308E-2</v>
          </cell>
          <cell r="G20">
            <v>2.5000000000000001E-2</v>
          </cell>
          <cell r="K20">
            <v>3.790061687450369E-2</v>
          </cell>
        </row>
        <row r="21">
          <cell r="D21">
            <v>4.9841060948547823E-2</v>
          </cell>
          <cell r="G21">
            <v>3.1600000000000003E-2</v>
          </cell>
          <cell r="K21">
            <v>4.511867587286382E-2</v>
          </cell>
        </row>
        <row r="22">
          <cell r="D22">
            <v>6.6645109123231364E-2</v>
          </cell>
          <cell r="G22">
            <v>3.5780000000000006E-2</v>
          </cell>
          <cell r="K22">
            <v>6.0861545624775498E-2</v>
          </cell>
        </row>
        <row r="23">
          <cell r="D23">
            <v>7.2428840166542399E-2</v>
          </cell>
          <cell r="G23">
            <v>3.5780000000000006E-2</v>
          </cell>
          <cell r="K23">
            <v>4.7477649119314222E-2</v>
          </cell>
        </row>
        <row r="24">
          <cell r="D24">
            <v>6.4919206097425783E-2</v>
          </cell>
          <cell r="G24">
            <v>3.1600000000000003E-2</v>
          </cell>
          <cell r="K24">
            <v>3.7883459949202863E-2</v>
          </cell>
        </row>
        <row r="25">
          <cell r="D25">
            <v>6.5434492832930791E-2</v>
          </cell>
          <cell r="G25">
            <v>3.1600000000000003E-2</v>
          </cell>
          <cell r="K25">
            <v>5.8746009097019908E-2</v>
          </cell>
        </row>
        <row r="26">
          <cell r="D26">
            <v>6.1281838462320493E-2</v>
          </cell>
          <cell r="G26">
            <v>3.5780000000000006E-2</v>
          </cell>
          <cell r="K26">
            <v>5.4849046386817785E-2</v>
          </cell>
        </row>
        <row r="27">
          <cell r="D27">
            <v>5.4707058683306442E-2</v>
          </cell>
          <cell r="G27">
            <v>2.5000000000000001E-2</v>
          </cell>
          <cell r="K27">
            <v>4.1019261139634375E-2</v>
          </cell>
        </row>
        <row r="28">
          <cell r="D28">
            <v>6.4386796036576294E-2</v>
          </cell>
          <cell r="G28">
            <v>3.5780000000000006E-2</v>
          </cell>
          <cell r="K28">
            <v>5.2555030108924469E-2</v>
          </cell>
        </row>
        <row r="29">
          <cell r="D29">
            <v>7.8819585154052865E-2</v>
          </cell>
          <cell r="G29">
            <v>3.1600000000000003E-2</v>
          </cell>
          <cell r="K29">
            <v>6.0891835366263421E-2</v>
          </cell>
        </row>
        <row r="30">
          <cell r="D30">
            <v>6.1856457359192894E-2</v>
          </cell>
          <cell r="G30">
            <v>3.5780000000000006E-2</v>
          </cell>
          <cell r="K30">
            <v>5.6032898047455933E-2</v>
          </cell>
        </row>
        <row r="31">
          <cell r="D31">
            <v>5.3922653374138374E-2</v>
          </cell>
          <cell r="G31">
            <v>3.5780000000000006E-2</v>
          </cell>
          <cell r="K31">
            <v>4.5747733435203664E-2</v>
          </cell>
        </row>
        <row r="32">
          <cell r="D32">
            <v>6.5930083313482227E-2</v>
          </cell>
          <cell r="G32">
            <v>3.5780000000000006E-2</v>
          </cell>
          <cell r="K32">
            <v>5.7481046393863963E-2</v>
          </cell>
        </row>
        <row r="33">
          <cell r="D33">
            <v>6.9658078394552139E-2</v>
          </cell>
          <cell r="G33">
            <v>3.5780000000000006E-2</v>
          </cell>
          <cell r="K33">
            <v>6.6591680894756589E-2</v>
          </cell>
        </row>
        <row r="34">
          <cell r="D34">
            <v>6.2103585983590996E-2</v>
          </cell>
          <cell r="G34">
            <v>3.5780000000000006E-2</v>
          </cell>
          <cell r="K34">
            <v>5.4244849057565131E-2</v>
          </cell>
        </row>
        <row r="35">
          <cell r="D35">
            <v>4.7086071722376534E-2</v>
          </cell>
          <cell r="G35">
            <v>3.1600000000000003E-2</v>
          </cell>
          <cell r="K35">
            <v>4.2655242293447769E-2</v>
          </cell>
        </row>
        <row r="36">
          <cell r="D36">
            <v>5.7201038755831123E-2</v>
          </cell>
          <cell r="G36">
            <v>3.5780000000000006E-2</v>
          </cell>
          <cell r="K36">
            <v>5.3076710513010092E-2</v>
          </cell>
        </row>
        <row r="37">
          <cell r="D37">
            <v>6.0734945935946173E-2</v>
          </cell>
          <cell r="G37">
            <v>3.5780000000000006E-2</v>
          </cell>
          <cell r="K37">
            <v>5.6301092179203226E-2</v>
          </cell>
        </row>
        <row r="38">
          <cell r="D38">
            <v>6.2845751048943549E-2</v>
          </cell>
          <cell r="G38">
            <v>3.5780000000000006E-2</v>
          </cell>
          <cell r="K38">
            <v>5.5336020705136255E-2</v>
          </cell>
        </row>
        <row r="39">
          <cell r="D39">
            <v>6.790519202915811E-2</v>
          </cell>
          <cell r="G39">
            <v>3.5780000000000006E-2</v>
          </cell>
          <cell r="K39">
            <v>6.2873099829157411E-2</v>
          </cell>
        </row>
        <row r="40">
          <cell r="D40">
            <v>5.6481194990661981E-2</v>
          </cell>
          <cell r="G40">
            <v>3.5780000000000006E-2</v>
          </cell>
          <cell r="K40">
            <v>5.433250166039829E-2</v>
          </cell>
        </row>
        <row r="41">
          <cell r="D41">
            <v>6.1115929939196359E-2</v>
          </cell>
          <cell r="G41">
            <v>3.5780000000000006E-2</v>
          </cell>
          <cell r="K41">
            <v>5.7158317722211451E-2</v>
          </cell>
        </row>
        <row r="42">
          <cell r="D42">
            <v>5.9962965562640774E-2</v>
          </cell>
          <cell r="G42">
            <v>3.1600000000000003E-2</v>
          </cell>
          <cell r="K42">
            <v>5.2444600864399032E-2</v>
          </cell>
        </row>
        <row r="43">
          <cell r="D43">
            <v>5.8020770799228259E-2</v>
          </cell>
          <cell r="G43">
            <v>3.5780000000000006E-2</v>
          </cell>
          <cell r="K43">
            <v>5.3803566349380272E-2</v>
          </cell>
        </row>
        <row r="44">
          <cell r="D44">
            <v>6.7690152063924744E-2</v>
          </cell>
          <cell r="G44">
            <v>3.5780000000000006E-2</v>
          </cell>
          <cell r="K44">
            <v>6.0513759345098055E-2</v>
          </cell>
        </row>
        <row r="45">
          <cell r="D45">
            <v>5.8785455009667427E-2</v>
          </cell>
          <cell r="G45">
            <v>3.5780000000000006E-2</v>
          </cell>
          <cell r="K45">
            <v>4.9994719757936026E-2</v>
          </cell>
        </row>
        <row r="46">
          <cell r="D46">
            <v>5.4414608368355072E-2</v>
          </cell>
          <cell r="G46">
            <v>3.1600000000000003E-2</v>
          </cell>
          <cell r="K46">
            <v>2.6861276351468628E-2</v>
          </cell>
        </row>
        <row r="47">
          <cell r="D47">
            <v>4.6937120592756634E-2</v>
          </cell>
          <cell r="G47">
            <v>3.1600000000000003E-2</v>
          </cell>
          <cell r="K47">
            <v>4.1355978284921567E-2</v>
          </cell>
        </row>
        <row r="48">
          <cell r="D48">
            <v>7.4526137646847554E-2</v>
          </cell>
          <cell r="G48">
            <v>3.5780000000000006E-2</v>
          </cell>
          <cell r="K48">
            <v>5.9066132353249368E-2</v>
          </cell>
        </row>
        <row r="49">
          <cell r="D49">
            <v>6.2113181432293205E-2</v>
          </cell>
          <cell r="G49">
            <v>3.5780000000000006E-2</v>
          </cell>
          <cell r="K49">
            <v>5.4097218339764927E-2</v>
          </cell>
        </row>
        <row r="50">
          <cell r="D50">
            <v>8.2436030501596355E-2</v>
          </cell>
          <cell r="G50">
            <v>8.1225000000000006E-2</v>
          </cell>
          <cell r="K50">
            <v>7.3182644519899684E-2</v>
          </cell>
        </row>
        <row r="51">
          <cell r="D51">
            <v>5.4876632177866452E-2</v>
          </cell>
          <cell r="G51">
            <v>3.5780000000000006E-2</v>
          </cell>
          <cell r="K51">
            <v>5.2595714523014883E-2</v>
          </cell>
        </row>
        <row r="52">
          <cell r="D52">
            <v>5.9952333197505168E-2</v>
          </cell>
          <cell r="G52">
            <v>3.5780000000000006E-2</v>
          </cell>
          <cell r="K52">
            <v>5.3283336559016507E-2</v>
          </cell>
        </row>
        <row r="53">
          <cell r="D53">
            <v>5.5027320715107714E-2</v>
          </cell>
          <cell r="G53">
            <v>3.5780000000000006E-2</v>
          </cell>
          <cell r="K53">
            <v>5.24648965092799E-2</v>
          </cell>
        </row>
        <row r="54">
          <cell r="D54">
            <v>8.6553017309016447E-2</v>
          </cell>
          <cell r="G54">
            <v>3.1600000000000003E-2</v>
          </cell>
          <cell r="K54">
            <v>7.5117279574364537E-2</v>
          </cell>
        </row>
        <row r="55">
          <cell r="D55">
            <v>7.5033393145821095E-2</v>
          </cell>
          <cell r="G55">
            <v>3.5780000000000006E-2</v>
          </cell>
          <cell r="K55">
            <v>5.4728189321666794E-2</v>
          </cell>
        </row>
        <row r="56">
          <cell r="D56">
            <v>9.1182859694205295E-2</v>
          </cell>
          <cell r="G56">
            <v>3.5780000000000006E-2</v>
          </cell>
          <cell r="K56">
            <v>7.06801374459715E-2</v>
          </cell>
        </row>
        <row r="57">
          <cell r="D57">
            <v>5.663647095586432E-2</v>
          </cell>
          <cell r="G57">
            <v>3.5780000000000006E-2</v>
          </cell>
          <cell r="K57">
            <v>5.3226003684061649E-2</v>
          </cell>
        </row>
        <row r="58">
          <cell r="D58">
            <v>6.8121591780846244E-2</v>
          </cell>
          <cell r="G58">
            <v>3.5780000000000006E-2</v>
          </cell>
          <cell r="K58">
            <v>6.4175212501501086E-2</v>
          </cell>
        </row>
        <row r="59">
          <cell r="D59">
            <v>5.4199734975770096E-2</v>
          </cell>
          <cell r="G59">
            <v>3.1600000000000003E-2</v>
          </cell>
          <cell r="K59">
            <v>4.7650577233646157E-2</v>
          </cell>
        </row>
        <row r="60">
          <cell r="D60">
            <v>6.7011711136472307E-2</v>
          </cell>
          <cell r="G60">
            <v>3.1600000000000003E-2</v>
          </cell>
          <cell r="K60">
            <v>4.5884118463918058E-2</v>
          </cell>
        </row>
        <row r="61">
          <cell r="D61">
            <v>5.1624133982242026E-2</v>
          </cell>
          <cell r="G61">
            <v>3.1600000000000003E-2</v>
          </cell>
          <cell r="K61">
            <v>4.6194791704083846E-2</v>
          </cell>
        </row>
        <row r="62">
          <cell r="D62">
            <v>5.9549252021174524E-2</v>
          </cell>
          <cell r="G62">
            <v>3.1600000000000003E-2</v>
          </cell>
          <cell r="K62">
            <v>5.1584041734548107E-2</v>
          </cell>
        </row>
        <row r="63">
          <cell r="D63">
            <v>6.797811699671924E-2</v>
          </cell>
          <cell r="G63">
            <v>3.1600000000000003E-2</v>
          </cell>
          <cell r="K63">
            <v>6.2423223673217315E-2</v>
          </cell>
        </row>
        <row r="64">
          <cell r="D64">
            <v>6.4832156527842064E-2</v>
          </cell>
          <cell r="G64">
            <v>4.6725000000000003E-2</v>
          </cell>
          <cell r="K64">
            <v>6.0107703848497757E-2</v>
          </cell>
        </row>
        <row r="65">
          <cell r="D65">
            <v>7.3752485240649035E-2</v>
          </cell>
          <cell r="G65">
            <v>3.1600000000000003E-2</v>
          </cell>
          <cell r="K65">
            <v>5.7255045516102984E-2</v>
          </cell>
        </row>
        <row r="66">
          <cell r="D66">
            <v>7.7232852896709697E-2</v>
          </cell>
          <cell r="G66">
            <v>3.1600000000000003E-2</v>
          </cell>
          <cell r="K66">
            <v>6.5808193800639292E-2</v>
          </cell>
        </row>
        <row r="67">
          <cell r="D67">
            <v>7.105640549576378E-2</v>
          </cell>
          <cell r="G67">
            <v>3.5780000000000006E-2</v>
          </cell>
          <cell r="K67">
            <v>6.0389374484439894E-2</v>
          </cell>
        </row>
        <row r="68">
          <cell r="D68">
            <v>7.4274469386450423E-2</v>
          </cell>
          <cell r="G68">
            <v>3.5780000000000006E-2</v>
          </cell>
          <cell r="K68">
            <v>5.1849291044056611E-2</v>
          </cell>
        </row>
        <row r="69">
          <cell r="D69">
            <v>7.8521942425217067E-2</v>
          </cell>
          <cell r="G69">
            <v>3.5780000000000006E-2</v>
          </cell>
          <cell r="K69">
            <v>6.0119023054590257E-2</v>
          </cell>
        </row>
        <row r="70">
          <cell r="D70">
            <v>5.7911501789829609E-2</v>
          </cell>
          <cell r="G70">
            <v>3.1600000000000003E-2</v>
          </cell>
          <cell r="K70">
            <v>4.6345897430433672E-2</v>
          </cell>
        </row>
        <row r="71">
          <cell r="D71">
            <v>6.6553065002110695E-2</v>
          </cell>
          <cell r="G71">
            <v>3.1600000000000003E-2</v>
          </cell>
          <cell r="K71">
            <v>5.3837979516013573E-2</v>
          </cell>
        </row>
        <row r="72">
          <cell r="D72">
            <v>5.0422274824633309E-2</v>
          </cell>
          <cell r="G72">
            <v>2.5000000000000001E-2</v>
          </cell>
          <cell r="K72">
            <v>3.7005415582432963E-2</v>
          </cell>
        </row>
        <row r="73">
          <cell r="D73">
            <v>5.7052772937294619E-2</v>
          </cell>
          <cell r="G73">
            <v>3.5780000000000006E-2</v>
          </cell>
          <cell r="K73">
            <v>5.3736583979147795E-2</v>
          </cell>
        </row>
        <row r="74">
          <cell r="D74">
            <v>8.6913777528559527E-2</v>
          </cell>
          <cell r="G74">
            <v>3.1600000000000003E-2</v>
          </cell>
          <cell r="K74">
            <v>6.9736640809809097E-2</v>
          </cell>
        </row>
        <row r="75">
          <cell r="D75">
            <v>7.2286710730401799E-2</v>
          </cell>
          <cell r="G75">
            <v>3.1600000000000003E-2</v>
          </cell>
          <cell r="K75">
            <v>5.5069855145032279E-2</v>
          </cell>
        </row>
        <row r="76">
          <cell r="D76">
            <v>6.0151813643759162E-2</v>
          </cell>
          <cell r="G76">
            <v>3.5780000000000006E-2</v>
          </cell>
          <cell r="K76">
            <v>4.5032780657681945E-2</v>
          </cell>
        </row>
        <row r="77">
          <cell r="D77">
            <v>5.3532926135385135E-2</v>
          </cell>
          <cell r="G77">
            <v>3.1600000000000003E-2</v>
          </cell>
          <cell r="K77">
            <v>4.716870240774336E-2</v>
          </cell>
        </row>
        <row r="78">
          <cell r="D78">
            <v>6.3662360371474727E-2</v>
          </cell>
          <cell r="G78">
            <v>3.5780000000000006E-2</v>
          </cell>
          <cell r="K78">
            <v>5.0129277845920403E-2</v>
          </cell>
        </row>
        <row r="79">
          <cell r="D79">
            <v>6.7149821882358823E-2</v>
          </cell>
          <cell r="G79">
            <v>3.5780000000000006E-2</v>
          </cell>
          <cell r="K79">
            <v>5.7783872459789824E-2</v>
          </cell>
        </row>
        <row r="80">
          <cell r="D80">
            <v>7.3241715713737179E-2</v>
          </cell>
          <cell r="G80">
            <v>3.1600000000000003E-2</v>
          </cell>
          <cell r="K80">
            <v>5.9203248594156349E-2</v>
          </cell>
        </row>
        <row r="81">
          <cell r="D81">
            <v>8.1133296689683124E-2</v>
          </cell>
          <cell r="G81">
            <v>3.5780000000000006E-2</v>
          </cell>
          <cell r="K81">
            <v>6.9319509160263568E-2</v>
          </cell>
        </row>
        <row r="82">
          <cell r="D82">
            <v>7.4376593382715614E-2</v>
          </cell>
          <cell r="G82">
            <v>3.5780000000000006E-2</v>
          </cell>
          <cell r="K82">
            <v>6.0936413600929579E-2</v>
          </cell>
        </row>
        <row r="83">
          <cell r="D83">
            <v>7.9744382265866387E-2</v>
          </cell>
          <cell r="G83">
            <v>3.5780000000000006E-2</v>
          </cell>
          <cell r="K83">
            <v>7.3389473301563687E-2</v>
          </cell>
        </row>
        <row r="84">
          <cell r="D84">
            <v>6.9417647372264593E-2</v>
          </cell>
          <cell r="G84">
            <v>3.5780000000000006E-2</v>
          </cell>
          <cell r="K84">
            <v>5.8826800562383916E-2</v>
          </cell>
        </row>
        <row r="85">
          <cell r="D85">
            <v>6.2399289648952472E-2</v>
          </cell>
          <cell r="G85">
            <v>3.1600000000000003E-2</v>
          </cell>
          <cell r="K85">
            <v>5.6960929082395799E-2</v>
          </cell>
        </row>
        <row r="86">
          <cell r="D86">
            <v>2.780624845601723E-2</v>
          </cell>
          <cell r="G86">
            <v>3.1600000000000003E-2</v>
          </cell>
          <cell r="K86">
            <v>2.5884295188558597E-2</v>
          </cell>
        </row>
        <row r="87">
          <cell r="D87">
            <v>6.190148102223602E-2</v>
          </cell>
          <cell r="G87">
            <v>3.5780000000000006E-2</v>
          </cell>
          <cell r="K87">
            <v>5.9202287727458787E-2</v>
          </cell>
        </row>
        <row r="88">
          <cell r="D88">
            <v>7.6299853903212131E-2</v>
          </cell>
          <cell r="G88">
            <v>3.5780000000000006E-2</v>
          </cell>
          <cell r="K88">
            <v>6.3357783525221548E-2</v>
          </cell>
        </row>
        <row r="89">
          <cell r="D89">
            <v>6.4135833971027997E-2</v>
          </cell>
          <cell r="G89">
            <v>3.5780000000000006E-2</v>
          </cell>
          <cell r="K89">
            <v>4.1053926712169383E-2</v>
          </cell>
        </row>
        <row r="90">
          <cell r="D90">
            <v>6.4388069943040221E-2</v>
          </cell>
          <cell r="G90">
            <v>3.1600000000000003E-2</v>
          </cell>
          <cell r="K90">
            <v>6.1765636704057353E-2</v>
          </cell>
        </row>
        <row r="91">
          <cell r="D91">
            <v>7.1875227751208734E-2</v>
          </cell>
          <cell r="G91">
            <v>3.1600000000000003E-2</v>
          </cell>
          <cell r="K91">
            <v>6.9533543809326442E-2</v>
          </cell>
        </row>
        <row r="92">
          <cell r="D92">
            <v>5.7122578065549025E-2</v>
          </cell>
          <cell r="G92">
            <v>3.5780000000000006E-2</v>
          </cell>
          <cell r="K92">
            <v>4.859134460947992E-2</v>
          </cell>
        </row>
        <row r="93">
          <cell r="D93">
            <v>6.5378816569830106E-2</v>
          </cell>
          <cell r="G93">
            <v>3.1600000000000003E-2</v>
          </cell>
          <cell r="K93">
            <v>6.3068099633494967E-2</v>
          </cell>
        </row>
        <row r="94">
          <cell r="D94">
            <v>6.6150359327184258E-2</v>
          </cell>
          <cell r="G94">
            <v>3.5780000000000006E-2</v>
          </cell>
          <cell r="K94">
            <v>6.5350562412153965E-2</v>
          </cell>
        </row>
        <row r="95">
          <cell r="D95">
            <v>5.7685698183344632E-2</v>
          </cell>
          <cell r="G95">
            <v>3.1600000000000003E-2</v>
          </cell>
          <cell r="K95">
            <v>5.5218252984877626E-2</v>
          </cell>
        </row>
        <row r="96">
          <cell r="D96">
            <v>6.3497976262374856E-2</v>
          </cell>
          <cell r="G96">
            <v>3.5780000000000006E-2</v>
          </cell>
          <cell r="K96">
            <v>6.1489569931495326E-2</v>
          </cell>
        </row>
        <row r="97">
          <cell r="D97">
            <v>6.3146384868080482E-2</v>
          </cell>
          <cell r="G97">
            <v>3.1600000000000003E-2</v>
          </cell>
          <cell r="K97">
            <v>5.3231405094573442E-2</v>
          </cell>
        </row>
        <row r="98">
          <cell r="D98">
            <v>5.600587584055311E-2</v>
          </cell>
          <cell r="G98">
            <v>3.5780000000000006E-2</v>
          </cell>
          <cell r="K98">
            <v>4.2880590052889918E-2</v>
          </cell>
        </row>
        <row r="99">
          <cell r="D99">
            <v>6.1025347228416509E-2</v>
          </cell>
          <cell r="G99">
            <v>3.5780000000000006E-2</v>
          </cell>
          <cell r="K99">
            <v>5.822211533158371E-2</v>
          </cell>
        </row>
        <row r="100">
          <cell r="D100">
            <v>5.0971182394465901E-2</v>
          </cell>
          <cell r="G100">
            <v>3.1600000000000003E-2</v>
          </cell>
          <cell r="K100">
            <v>3.6985968501071068E-2</v>
          </cell>
        </row>
        <row r="101">
          <cell r="D101">
            <v>5.7387750238035641E-2</v>
          </cell>
          <cell r="G101">
            <v>2.5000000000000001E-2</v>
          </cell>
          <cell r="K101">
            <v>4.9316304174947617E-2</v>
          </cell>
        </row>
        <row r="102">
          <cell r="D102">
            <v>4.8641699353011304E-2</v>
          </cell>
          <cell r="G102">
            <v>3.1600000000000003E-2</v>
          </cell>
          <cell r="K102">
            <v>4.3876951947038993E-2</v>
          </cell>
        </row>
        <row r="103">
          <cell r="D103">
            <v>4.6155751164799308E-2</v>
          </cell>
          <cell r="G103">
            <v>2.5000000000000001E-2</v>
          </cell>
          <cell r="K103">
            <v>4.1516926500884475E-2</v>
          </cell>
        </row>
        <row r="104">
          <cell r="D104">
            <v>7.6101570126199322E-2</v>
          </cell>
          <cell r="G104">
            <v>3.1600000000000003E-2</v>
          </cell>
          <cell r="K104">
            <v>6.5072225021509639E-2</v>
          </cell>
        </row>
        <row r="105">
          <cell r="D105">
            <v>5.2912090831544335E-2</v>
          </cell>
          <cell r="G105">
            <v>2.5000000000000001E-2</v>
          </cell>
          <cell r="K105">
            <v>3.8733845915169936E-2</v>
          </cell>
        </row>
        <row r="106">
          <cell r="D106">
            <v>4.754893358172875E-2</v>
          </cell>
          <cell r="G106">
            <v>3.1600000000000003E-2</v>
          </cell>
          <cell r="K106">
            <v>4.1290918141301244E-2</v>
          </cell>
        </row>
      </sheetData>
      <sheetData sheetId="37"/>
      <sheetData sheetId="38">
        <row r="2">
          <cell r="F2">
            <v>-4.4080690853570657E-3</v>
          </cell>
        </row>
        <row r="3">
          <cell r="F3">
            <v>0.46613429860031075</v>
          </cell>
        </row>
        <row r="4">
          <cell r="F4">
            <v>9.4688652098567708E-3</v>
          </cell>
        </row>
        <row r="5">
          <cell r="F5">
            <v>0.20286650055579827</v>
          </cell>
        </row>
        <row r="6">
          <cell r="F6">
            <v>-4.7094559114762548E-2</v>
          </cell>
        </row>
        <row r="7">
          <cell r="F7">
            <v>0.13666514334421828</v>
          </cell>
        </row>
        <row r="8">
          <cell r="F8" t="str">
            <v>NA</v>
          </cell>
        </row>
        <row r="9">
          <cell r="F9" t="str">
            <v>NA</v>
          </cell>
        </row>
        <row r="10">
          <cell r="F10">
            <v>0.1487764864622183</v>
          </cell>
        </row>
        <row r="11">
          <cell r="F11">
            <v>-7.8165390267786461E-2</v>
          </cell>
        </row>
        <row r="12">
          <cell r="F12">
            <v>0.11276833142182242</v>
          </cell>
        </row>
        <row r="13">
          <cell r="F13" t="str">
            <v>NA</v>
          </cell>
        </row>
        <row r="14">
          <cell r="F14">
            <v>0.17512196676518457</v>
          </cell>
        </row>
        <row r="15">
          <cell r="F15">
            <v>0.12710742811353765</v>
          </cell>
        </row>
        <row r="16">
          <cell r="F16">
            <v>-7.6309365633594039E-3</v>
          </cell>
        </row>
        <row r="17">
          <cell r="F17">
            <v>0.15229823650034821</v>
          </cell>
        </row>
        <row r="18">
          <cell r="F18">
            <v>0.18703207273546354</v>
          </cell>
        </row>
        <row r="19">
          <cell r="F19">
            <v>0.20557489156449735</v>
          </cell>
        </row>
        <row r="20">
          <cell r="F20">
            <v>5.8455018984481466E-2</v>
          </cell>
        </row>
        <row r="21">
          <cell r="F21">
            <v>0.16066190211478987</v>
          </cell>
        </row>
        <row r="22">
          <cell r="F22">
            <v>-7.5542571721053012E-2</v>
          </cell>
        </row>
        <row r="23">
          <cell r="F23">
            <v>0.19356390786933003</v>
          </cell>
        </row>
        <row r="24">
          <cell r="F24">
            <v>5.2770977965869902E-2</v>
          </cell>
        </row>
        <row r="25">
          <cell r="F25">
            <v>0.12788535492021938</v>
          </cell>
        </row>
        <row r="26">
          <cell r="F26">
            <v>0.18446278001920222</v>
          </cell>
        </row>
        <row r="27">
          <cell r="F27">
            <v>4.2063716616127581E-2</v>
          </cell>
        </row>
        <row r="28">
          <cell r="F28">
            <v>0.2249749336089813</v>
          </cell>
        </row>
        <row r="29">
          <cell r="F29">
            <v>9.3768119576836464E-2</v>
          </cell>
        </row>
        <row r="30">
          <cell r="F30">
            <v>0.21186088358680161</v>
          </cell>
        </row>
        <row r="31">
          <cell r="F31">
            <v>0.19557836366077502</v>
          </cell>
        </row>
        <row r="32">
          <cell r="F32">
            <v>-1.0437623411786413E-3</v>
          </cell>
        </row>
        <row r="33">
          <cell r="F33">
            <v>9.747515801266976E-2</v>
          </cell>
        </row>
        <row r="34">
          <cell r="F34">
            <v>0.12366355936114337</v>
          </cell>
        </row>
        <row r="35">
          <cell r="F35" t="str">
            <v>NA</v>
          </cell>
        </row>
        <row r="36">
          <cell r="F36">
            <v>5.9225871163481256E-2</v>
          </cell>
        </row>
        <row r="37">
          <cell r="F37">
            <v>6.5673674753774169E-2</v>
          </cell>
        </row>
        <row r="38">
          <cell r="F38">
            <v>0.12819913163119592</v>
          </cell>
        </row>
        <row r="39">
          <cell r="F39">
            <v>-1.2668996311661838</v>
          </cell>
        </row>
        <row r="40">
          <cell r="F40">
            <v>0.23334871096534543</v>
          </cell>
        </row>
        <row r="41">
          <cell r="F41">
            <v>-6.3871999968903248E-2</v>
          </cell>
        </row>
        <row r="42">
          <cell r="F42">
            <v>0.19542863466893334</v>
          </cell>
        </row>
        <row r="43">
          <cell r="F43">
            <v>0.62016124077086143</v>
          </cell>
        </row>
        <row r="44">
          <cell r="F44">
            <v>0.10918971893307193</v>
          </cell>
        </row>
        <row r="45">
          <cell r="F45">
            <v>0.14373173398286457</v>
          </cell>
        </row>
        <row r="46">
          <cell r="F46">
            <v>7.0655270187496469E-2</v>
          </cell>
        </row>
        <row r="47">
          <cell r="F47">
            <v>6.7896426312716696E-2</v>
          </cell>
        </row>
        <row r="48">
          <cell r="F48">
            <v>-6.9606810913155778E-2</v>
          </cell>
        </row>
        <row r="49">
          <cell r="F49">
            <v>6.7974181962140126E-2</v>
          </cell>
        </row>
        <row r="50">
          <cell r="F50">
            <v>-0.49026007767884655</v>
          </cell>
        </row>
        <row r="51">
          <cell r="F51" t="str">
            <v>NA</v>
          </cell>
        </row>
        <row r="52">
          <cell r="F52">
            <v>0.22637981205379162</v>
          </cell>
        </row>
        <row r="53">
          <cell r="F53">
            <v>0.11587453327097946</v>
          </cell>
        </row>
        <row r="54">
          <cell r="F54">
            <v>6.6671915555716943E-2</v>
          </cell>
        </row>
        <row r="55">
          <cell r="F55">
            <v>3.5524484064293857E-2</v>
          </cell>
        </row>
        <row r="56">
          <cell r="F56">
            <v>-0.11171523275829755</v>
          </cell>
        </row>
        <row r="57">
          <cell r="F57">
            <v>2.5768320305095335E-2</v>
          </cell>
        </row>
        <row r="58">
          <cell r="F58">
            <v>7.3674567261527296E-2</v>
          </cell>
        </row>
        <row r="59">
          <cell r="F59">
            <v>0.10550237246639352</v>
          </cell>
        </row>
        <row r="60">
          <cell r="F60">
            <v>0.11341339725169991</v>
          </cell>
        </row>
        <row r="61">
          <cell r="F61">
            <v>3.6381447289186096E-2</v>
          </cell>
        </row>
        <row r="62">
          <cell r="F62">
            <v>0.1186354688634729</v>
          </cell>
        </row>
        <row r="63">
          <cell r="F63">
            <v>0.11861199635602303</v>
          </cell>
        </row>
        <row r="64">
          <cell r="F64">
            <v>1.0709228623626357</v>
          </cell>
        </row>
        <row r="65">
          <cell r="F65">
            <v>-0.1066466991434878</v>
          </cell>
        </row>
        <row r="66">
          <cell r="F66">
            <v>2.5099044205495828</v>
          </cell>
        </row>
        <row r="67">
          <cell r="F67">
            <v>0.26835142725330152</v>
          </cell>
        </row>
        <row r="68">
          <cell r="F68">
            <v>0.16206636067950578</v>
          </cell>
        </row>
        <row r="69">
          <cell r="F69">
            <v>2.0911209017732094E-2</v>
          </cell>
        </row>
        <row r="70">
          <cell r="F70">
            <v>2.3108168412183327E-3</v>
          </cell>
        </row>
        <row r="71">
          <cell r="F71">
            <v>8.2745302422708139E-2</v>
          </cell>
        </row>
        <row r="72">
          <cell r="F72">
            <v>6.5703142192090183E-2</v>
          </cell>
        </row>
        <row r="73">
          <cell r="F73">
            <v>0.1561475449878216</v>
          </cell>
        </row>
        <row r="74">
          <cell r="F74">
            <v>9.9032418616356241E-3</v>
          </cell>
        </row>
        <row r="75">
          <cell r="F75">
            <v>-8.7562591365475447E-3</v>
          </cell>
        </row>
        <row r="76">
          <cell r="F76">
            <v>-3.1134353140477813E-2</v>
          </cell>
        </row>
        <row r="77">
          <cell r="F77">
            <v>5.6680951833675525E-2</v>
          </cell>
        </row>
        <row r="78">
          <cell r="F78">
            <v>0.11811390712337612</v>
          </cell>
        </row>
        <row r="79">
          <cell r="F79">
            <v>0.17451531687405758</v>
          </cell>
        </row>
        <row r="80">
          <cell r="F80">
            <v>0.28907000576666675</v>
          </cell>
        </row>
        <row r="81">
          <cell r="F81">
            <v>8.7563314614949275E-2</v>
          </cell>
        </row>
        <row r="82">
          <cell r="F82">
            <v>0.17191541209389335</v>
          </cell>
        </row>
        <row r="83">
          <cell r="F83">
            <v>6.1095097152198255E-2</v>
          </cell>
        </row>
        <row r="84">
          <cell r="F84">
            <v>0.10676151361370956</v>
          </cell>
        </row>
        <row r="85">
          <cell r="F85">
            <v>0.12052602384179791</v>
          </cell>
        </row>
        <row r="86">
          <cell r="F86">
            <v>0.23135438391227187</v>
          </cell>
        </row>
        <row r="87">
          <cell r="F87">
            <v>8.2667344800385123E-2</v>
          </cell>
        </row>
        <row r="88">
          <cell r="F88">
            <v>0.19257244032670351</v>
          </cell>
        </row>
        <row r="89">
          <cell r="F89">
            <v>-1.5800372747383547E-2</v>
          </cell>
        </row>
        <row r="90">
          <cell r="F90">
            <v>0.13378097798462144</v>
          </cell>
        </row>
        <row r="91">
          <cell r="F91">
            <v>8.2121945924141432E-2</v>
          </cell>
        </row>
        <row r="92">
          <cell r="F92">
            <v>2.7707694056142745E-2</v>
          </cell>
        </row>
        <row r="93">
          <cell r="F93">
            <v>4.9552868599793083E-2</v>
          </cell>
        </row>
        <row r="94">
          <cell r="F94">
            <v>0.11402470883100328</v>
          </cell>
        </row>
        <row r="95">
          <cell r="F95">
            <v>0.18222728690486034</v>
          </cell>
        </row>
      </sheetData>
      <sheetData sheetId="39">
        <row r="2">
          <cell r="B2">
            <v>49</v>
          </cell>
        </row>
      </sheetData>
      <sheetData sheetId="40">
        <row r="11">
          <cell r="C11">
            <v>7.1315789473684194E-2</v>
          </cell>
          <cell r="G11">
            <v>1.6525994972820882E-2</v>
          </cell>
        </row>
        <row r="12">
          <cell r="G12">
            <v>2.5872731465647145E-2</v>
          </cell>
        </row>
        <row r="13">
          <cell r="G13">
            <v>7.1421249505014925E-2</v>
          </cell>
        </row>
        <row r="14">
          <cell r="G14">
            <v>1.8049570245464497E-2</v>
          </cell>
        </row>
        <row r="15">
          <cell r="G15">
            <v>0.13119006034535458</v>
          </cell>
        </row>
        <row r="16">
          <cell r="G16">
            <v>3.1972644557618765E-2</v>
          </cell>
        </row>
        <row r="17">
          <cell r="G17">
            <v>9.9076686406888957E-3</v>
          </cell>
        </row>
        <row r="18">
          <cell r="G18">
            <v>2.497621320413447E-2</v>
          </cell>
        </row>
        <row r="19">
          <cell r="G19">
            <v>6.8054596129592235E-2</v>
          </cell>
        </row>
        <row r="20">
          <cell r="G20">
            <v>4.5300039482290631E-2</v>
          </cell>
        </row>
        <row r="21">
          <cell r="G21">
            <v>2.4094366684897308E-2</v>
          </cell>
        </row>
        <row r="22">
          <cell r="G22">
            <v>3.8112277747799385E-2</v>
          </cell>
        </row>
        <row r="23">
          <cell r="G23">
            <v>2.4103210810340659E-2</v>
          </cell>
        </row>
        <row r="24">
          <cell r="G24">
            <v>2.4060396840853298E-2</v>
          </cell>
        </row>
        <row r="25">
          <cell r="G25">
            <v>9.9397085523217216E-2</v>
          </cell>
        </row>
        <row r="26">
          <cell r="G26">
            <v>5.0830603724921188E-2</v>
          </cell>
        </row>
        <row r="27">
          <cell r="G27">
            <v>4.2436343260443064E-2</v>
          </cell>
        </row>
        <row r="28">
          <cell r="G28">
            <v>6.696281964489563E-2</v>
          </cell>
        </row>
        <row r="29">
          <cell r="G29">
            <v>0.1068849104002576</v>
          </cell>
        </row>
        <row r="30">
          <cell r="G30">
            <v>1.7184136898245467E-2</v>
          </cell>
        </row>
        <row r="31">
          <cell r="G31">
            <v>2.9913219162746994E-2</v>
          </cell>
        </row>
        <row r="32">
          <cell r="G32">
            <v>4.8365069241166979E-2</v>
          </cell>
        </row>
        <row r="33">
          <cell r="G33">
            <v>4.1839327443146751E-2</v>
          </cell>
        </row>
        <row r="34">
          <cell r="G34">
            <v>3.6157216789992369E-2</v>
          </cell>
        </row>
        <row r="35">
          <cell r="G35">
            <v>4.8924332510238082E-2</v>
          </cell>
        </row>
        <row r="36">
          <cell r="G36">
            <v>4.9275089116899796E-2</v>
          </cell>
        </row>
        <row r="37">
          <cell r="G37">
            <v>4.7906583117685954E-2</v>
          </cell>
        </row>
        <row r="38">
          <cell r="G38">
            <v>1.1915250710209461E-2</v>
          </cell>
        </row>
        <row r="39">
          <cell r="G39">
            <v>3.8825554760998554E-2</v>
          </cell>
        </row>
        <row r="40">
          <cell r="G40">
            <v>2.1909562621428239E-2</v>
          </cell>
        </row>
        <row r="41">
          <cell r="G41">
            <v>3.9602982623345377E-2</v>
          </cell>
        </row>
        <row r="42">
          <cell r="G42">
            <v>6.5461932196304681E-2</v>
          </cell>
        </row>
        <row r="43">
          <cell r="G43">
            <v>2.6120157469541789E-2</v>
          </cell>
        </row>
        <row r="44">
          <cell r="G44">
            <v>5.4590386762171712E-2</v>
          </cell>
        </row>
        <row r="45">
          <cell r="G45">
            <v>3.5079292802459923E-2</v>
          </cell>
        </row>
        <row r="46">
          <cell r="G46">
            <v>8.1174064532075867E-3</v>
          </cell>
        </row>
        <row r="47">
          <cell r="G47">
            <v>2.8194236674076181E-2</v>
          </cell>
        </row>
        <row r="48">
          <cell r="G48">
            <v>0.37295556639465399</v>
          </cell>
        </row>
        <row r="49">
          <cell r="G49">
            <v>5.0739365672599096E-2</v>
          </cell>
        </row>
        <row r="50">
          <cell r="G50">
            <v>7.4561010297650434E-3</v>
          </cell>
        </row>
        <row r="51">
          <cell r="G51">
            <v>4.5414138715966668E-2</v>
          </cell>
        </row>
        <row r="52">
          <cell r="G52">
            <v>5.4424478259469094E-3</v>
          </cell>
        </row>
        <row r="53">
          <cell r="G53">
            <v>4.9159224300767489E-2</v>
          </cell>
        </row>
        <row r="54">
          <cell r="G54">
            <v>8.4123485012875102E-2</v>
          </cell>
        </row>
        <row r="55">
          <cell r="G55">
            <v>3.6891698471944435E-2</v>
          </cell>
        </row>
        <row r="56">
          <cell r="G56">
            <v>2.747666218049083E-2</v>
          </cell>
        </row>
        <row r="57">
          <cell r="G57">
            <v>9.8302896667698658E-3</v>
          </cell>
        </row>
        <row r="58">
          <cell r="G58">
            <v>1.6103371021444662E-3</v>
          </cell>
        </row>
        <row r="59">
          <cell r="G59">
            <v>6.9149544608067262E-3</v>
          </cell>
        </row>
        <row r="60">
          <cell r="G60">
            <v>1.8627144735889573E-2</v>
          </cell>
        </row>
        <row r="61">
          <cell r="G61">
            <v>2.1347513091821868E-2</v>
          </cell>
        </row>
        <row r="62">
          <cell r="G62">
            <v>6.6034361084774479E-2</v>
          </cell>
        </row>
        <row r="63">
          <cell r="G63">
            <v>2.7098901948020775E-2</v>
          </cell>
        </row>
        <row r="64">
          <cell r="G64">
            <v>5.4312103659352927E-2</v>
          </cell>
        </row>
        <row r="65">
          <cell r="G65">
            <v>0.2016833547637718</v>
          </cell>
        </row>
        <row r="66">
          <cell r="G66">
            <v>9.6837712214490473E-2</v>
          </cell>
        </row>
        <row r="67">
          <cell r="G67">
            <v>2.4153192708063643E-2</v>
          </cell>
        </row>
        <row r="68">
          <cell r="G68">
            <v>5.4787519267344008E-2</v>
          </cell>
        </row>
        <row r="69">
          <cell r="G69">
            <v>2.8734885771999202E-2</v>
          </cell>
        </row>
        <row r="70">
          <cell r="G70">
            <v>0.33224701860246092</v>
          </cell>
        </row>
        <row r="71">
          <cell r="G71">
            <v>0.1736881191825983</v>
          </cell>
        </row>
        <row r="72">
          <cell r="G72">
            <v>2.7567837107832949E-2</v>
          </cell>
        </row>
        <row r="73">
          <cell r="G73">
            <v>2.8416951317659932E-2</v>
          </cell>
        </row>
        <row r="74">
          <cell r="G74">
            <v>5.8050697327131102E-3</v>
          </cell>
        </row>
        <row r="75">
          <cell r="G75">
            <v>1.7342239600304118E-2</v>
          </cell>
        </row>
        <row r="76">
          <cell r="G76">
            <v>1.4301572009245509E-2</v>
          </cell>
        </row>
        <row r="77">
          <cell r="G77">
            <v>4.6035370211971405E-2</v>
          </cell>
        </row>
        <row r="78">
          <cell r="G78">
            <v>2.9468763836165289E-3</v>
          </cell>
        </row>
        <row r="79">
          <cell r="G79">
            <v>4.9711665524406388E-2</v>
          </cell>
        </row>
        <row r="80">
          <cell r="G80">
            <v>1.6909138169052797E-2</v>
          </cell>
        </row>
        <row r="81">
          <cell r="G81">
            <v>2.1266104052204037E-2</v>
          </cell>
        </row>
        <row r="82">
          <cell r="G82">
            <v>5.6668559074883884E-2</v>
          </cell>
        </row>
        <row r="83">
          <cell r="G83">
            <v>2.2549481917834926E-2</v>
          </cell>
        </row>
        <row r="84">
          <cell r="G84">
            <v>2.3529162451911827E-2</v>
          </cell>
        </row>
        <row r="85">
          <cell r="G85">
            <v>0.10895888508287478</v>
          </cell>
        </row>
        <row r="86">
          <cell r="G86">
            <v>1.8074175275059456E-2</v>
          </cell>
        </row>
        <row r="87">
          <cell r="G87">
            <v>5.1360722054607934E-2</v>
          </cell>
        </row>
        <row r="88">
          <cell r="G88">
            <v>0.13019113289859427</v>
          </cell>
        </row>
        <row r="89">
          <cell r="G89">
            <v>4.2781267662427222E-2</v>
          </cell>
        </row>
        <row r="90">
          <cell r="G90">
            <v>0.1161159187587144</v>
          </cell>
        </row>
        <row r="91">
          <cell r="G91">
            <v>7.770862732132921E-3</v>
          </cell>
        </row>
        <row r="92">
          <cell r="G92">
            <v>0.11283252834027467</v>
          </cell>
        </row>
        <row r="93">
          <cell r="G93">
            <v>6.5392737234733683E-2</v>
          </cell>
        </row>
        <row r="94">
          <cell r="G94">
            <v>7.0697396782164496E-2</v>
          </cell>
        </row>
        <row r="95">
          <cell r="G95">
            <v>4.0338381952751134E-2</v>
          </cell>
        </row>
        <row r="96">
          <cell r="G96">
            <v>0.16927541140577165</v>
          </cell>
        </row>
        <row r="97">
          <cell r="G97">
            <v>2.5295616037249054E-2</v>
          </cell>
        </row>
        <row r="98">
          <cell r="G98">
            <v>0.11306108828261063</v>
          </cell>
        </row>
        <row r="99">
          <cell r="G99">
            <v>1.526218997876465E-2</v>
          </cell>
        </row>
        <row r="100">
          <cell r="G100">
            <v>5.221796197279413E-2</v>
          </cell>
        </row>
        <row r="101">
          <cell r="G101">
            <v>0.12912831003523129</v>
          </cell>
        </row>
        <row r="102">
          <cell r="G102">
            <v>0.12060656769514498</v>
          </cell>
        </row>
        <row r="103">
          <cell r="G103">
            <v>0.3444300807544618</v>
          </cell>
        </row>
        <row r="104">
          <cell r="G104">
            <v>0.44612832016881676</v>
          </cell>
        </row>
      </sheetData>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
      <sheetName val="Intermediate Worksheet"/>
      <sheetName val="Acc Pay"/>
      <sheetName val="Beta"/>
      <sheetName val="Acc Rec"/>
      <sheetName val="Cap Ex"/>
      <sheetName val="Cash"/>
      <sheetName val="cfbasics"/>
      <sheetName val="COVID Effects"/>
      <sheetName val="Debt details"/>
      <sheetName val="Debt fundamentals"/>
      <sheetName val="Div &amp; FCFE"/>
      <sheetName val="Dividend fundamentals"/>
      <sheetName val="$ Values"/>
      <sheetName val="Excess Returns&amp; Val added"/>
      <sheetName val="Financing Flows"/>
      <sheetName val="Fundgr"/>
      <sheetName val="fundgrEB"/>
      <sheetName val="Goodwill &amp; Impairments"/>
      <sheetName val="Hist Growth"/>
      <sheetName val="Indiv Regression Stats"/>
      <sheetName val="Insider &amp; inst holdings"/>
      <sheetName val="Lease effect"/>
      <sheetName val="Margins"/>
      <sheetName val="mgnroc"/>
      <sheetName val="oifcff"/>
      <sheetName val="optvar"/>
      <sheetName val="PBV"/>
      <sheetName val="PE"/>
      <sheetName val="PS"/>
      <sheetName val="R&amp;D Details"/>
      <sheetName val="ROE"/>
      <sheetName val="Return on capital"/>
      <sheetName val="Tax rates"/>
      <sheetName val="Total Beta"/>
      <sheetName val="EVEBITDA"/>
      <sheetName val="WACC"/>
      <sheetName val="WACC Pass-through"/>
      <sheetName val="Working capital"/>
      <sheetName val="Summary Sheet for valn"/>
      <sheetName val="Summary sheet uValue"/>
      <sheetName val="Summary for ginzu sheets"/>
      <sheetName val="Sheet1"/>
      <sheetName val="Sheet2"/>
    </sheetNames>
    <sheetDataSet>
      <sheetData sheetId="0">
        <row r="3">
          <cell r="A3" t="str">
            <v>Aerospace/Defense</v>
          </cell>
          <cell r="B3">
            <v>272</v>
          </cell>
        </row>
        <row r="4">
          <cell r="A4" t="str">
            <v>Air Transport</v>
          </cell>
          <cell r="B4">
            <v>151</v>
          </cell>
        </row>
        <row r="5">
          <cell r="A5" t="str">
            <v>Apparel</v>
          </cell>
          <cell r="B5">
            <v>1170</v>
          </cell>
        </row>
        <row r="6">
          <cell r="A6" t="str">
            <v>Auto &amp; Truck</v>
          </cell>
          <cell r="B6">
            <v>152</v>
          </cell>
        </row>
        <row r="7">
          <cell r="A7" t="str">
            <v>Auto Parts</v>
          </cell>
          <cell r="B7">
            <v>728</v>
          </cell>
        </row>
        <row r="8">
          <cell r="A8" t="str">
            <v>Bank (Money Center)</v>
          </cell>
          <cell r="B8">
            <v>610</v>
          </cell>
        </row>
        <row r="9">
          <cell r="A9" t="str">
            <v>Banks (Regional)</v>
          </cell>
          <cell r="B9">
            <v>816</v>
          </cell>
        </row>
        <row r="10">
          <cell r="A10" t="str">
            <v>Beverage (Alcoholic)</v>
          </cell>
          <cell r="B10">
            <v>219</v>
          </cell>
        </row>
        <row r="11">
          <cell r="A11" t="str">
            <v>Beverage (Soft)</v>
          </cell>
          <cell r="B11">
            <v>100</v>
          </cell>
        </row>
        <row r="12">
          <cell r="A12" t="str">
            <v>Broadcasting</v>
          </cell>
          <cell r="B12">
            <v>139</v>
          </cell>
        </row>
        <row r="13">
          <cell r="A13" t="str">
            <v>Brokerage &amp; Investment Banking</v>
          </cell>
          <cell r="B13">
            <v>599</v>
          </cell>
        </row>
        <row r="14">
          <cell r="A14" t="str">
            <v>Building Materials</v>
          </cell>
          <cell r="B14">
            <v>449</v>
          </cell>
        </row>
        <row r="15">
          <cell r="A15" t="str">
            <v>Business &amp; Consumer Services</v>
          </cell>
          <cell r="B15">
            <v>948</v>
          </cell>
        </row>
        <row r="16">
          <cell r="A16" t="str">
            <v>Cable TV</v>
          </cell>
          <cell r="B16">
            <v>54</v>
          </cell>
        </row>
        <row r="17">
          <cell r="A17" t="str">
            <v>Chemical (Basic)</v>
          </cell>
          <cell r="B17">
            <v>854</v>
          </cell>
        </row>
        <row r="18">
          <cell r="A18" t="str">
            <v>Chemical (Diversified)</v>
          </cell>
          <cell r="B18">
            <v>71</v>
          </cell>
        </row>
        <row r="19">
          <cell r="A19" t="str">
            <v>Chemical (Specialty)</v>
          </cell>
          <cell r="B19">
            <v>898</v>
          </cell>
        </row>
        <row r="20">
          <cell r="A20" t="str">
            <v>Coal &amp; Related Energy</v>
          </cell>
          <cell r="B20">
            <v>206</v>
          </cell>
        </row>
        <row r="21">
          <cell r="A21" t="str">
            <v>Computer Services</v>
          </cell>
          <cell r="B21">
            <v>1040</v>
          </cell>
        </row>
        <row r="22">
          <cell r="A22" t="str">
            <v>Computers/Peripherals</v>
          </cell>
          <cell r="B22">
            <v>336</v>
          </cell>
        </row>
        <row r="23">
          <cell r="A23" t="str">
            <v>Construction Supplies</v>
          </cell>
          <cell r="B23">
            <v>784</v>
          </cell>
        </row>
        <row r="24">
          <cell r="A24" t="str">
            <v>Diversified</v>
          </cell>
          <cell r="B24">
            <v>318</v>
          </cell>
        </row>
        <row r="25">
          <cell r="A25" t="str">
            <v>Drugs (Biotechnology)</v>
          </cell>
          <cell r="B25">
            <v>1223</v>
          </cell>
        </row>
        <row r="26">
          <cell r="A26" t="str">
            <v>Drugs (Pharmaceutical)</v>
          </cell>
          <cell r="B26">
            <v>1371</v>
          </cell>
        </row>
        <row r="27">
          <cell r="A27" t="str">
            <v>Education</v>
          </cell>
          <cell r="B27">
            <v>244</v>
          </cell>
        </row>
        <row r="28">
          <cell r="A28" t="str">
            <v>Electrical Equipment</v>
          </cell>
          <cell r="B28">
            <v>999</v>
          </cell>
        </row>
        <row r="29">
          <cell r="A29" t="str">
            <v>Electronics (Consumer &amp; Office)</v>
          </cell>
          <cell r="B29">
            <v>138</v>
          </cell>
        </row>
        <row r="30">
          <cell r="A30" t="str">
            <v>Electronics (General)</v>
          </cell>
          <cell r="B30">
            <v>1425</v>
          </cell>
        </row>
        <row r="31">
          <cell r="A31" t="str">
            <v>Engineering/Construction</v>
          </cell>
          <cell r="B31">
            <v>1267</v>
          </cell>
        </row>
        <row r="32">
          <cell r="A32" t="str">
            <v>Entertainment</v>
          </cell>
          <cell r="B32">
            <v>734</v>
          </cell>
        </row>
        <row r="33">
          <cell r="A33" t="str">
            <v>Environmental &amp; Waste Services</v>
          </cell>
          <cell r="B33">
            <v>353</v>
          </cell>
        </row>
        <row r="34">
          <cell r="A34" t="str">
            <v>Farming/Agriculture</v>
          </cell>
          <cell r="B34">
            <v>417</v>
          </cell>
        </row>
        <row r="35">
          <cell r="A35" t="str">
            <v>Financial Svcs. (Non-bank &amp; Insurance)</v>
          </cell>
          <cell r="B35">
            <v>1102</v>
          </cell>
        </row>
        <row r="36">
          <cell r="A36" t="str">
            <v>Food Processing</v>
          </cell>
          <cell r="B36">
            <v>1377</v>
          </cell>
        </row>
        <row r="37">
          <cell r="A37" t="str">
            <v>Food Wholesalers</v>
          </cell>
          <cell r="B37">
            <v>160</v>
          </cell>
        </row>
        <row r="38">
          <cell r="A38" t="str">
            <v>Furn/Home Furnishings</v>
          </cell>
          <cell r="B38">
            <v>359</v>
          </cell>
        </row>
        <row r="39">
          <cell r="A39" t="str">
            <v>Green &amp; Renewable Energy</v>
          </cell>
          <cell r="B39">
            <v>239</v>
          </cell>
        </row>
        <row r="40">
          <cell r="A40" t="str">
            <v>Healthcare Products</v>
          </cell>
          <cell r="B40">
            <v>852</v>
          </cell>
        </row>
        <row r="41">
          <cell r="A41" t="str">
            <v>Healthcare Support Services</v>
          </cell>
          <cell r="B41">
            <v>445</v>
          </cell>
        </row>
        <row r="42">
          <cell r="A42" t="str">
            <v>Heathcare Information and Technology</v>
          </cell>
          <cell r="B42">
            <v>455</v>
          </cell>
        </row>
        <row r="43">
          <cell r="A43" t="str">
            <v>Homebuilding</v>
          </cell>
          <cell r="B43">
            <v>168</v>
          </cell>
        </row>
        <row r="44">
          <cell r="A44" t="str">
            <v>Hospitals/Healthcare Facilities</v>
          </cell>
          <cell r="B44">
            <v>223</v>
          </cell>
        </row>
        <row r="45">
          <cell r="A45" t="str">
            <v>Hotel/Gaming</v>
          </cell>
          <cell r="B45">
            <v>654</v>
          </cell>
        </row>
        <row r="46">
          <cell r="A46" t="str">
            <v>Household Products</v>
          </cell>
          <cell r="B46">
            <v>575</v>
          </cell>
        </row>
        <row r="47">
          <cell r="A47" t="str">
            <v>Information Services</v>
          </cell>
          <cell r="B47">
            <v>266</v>
          </cell>
        </row>
        <row r="48">
          <cell r="A48" t="str">
            <v>Insurance (General)</v>
          </cell>
          <cell r="B48">
            <v>215</v>
          </cell>
        </row>
        <row r="49">
          <cell r="A49" t="str">
            <v>Insurance (Life)</v>
          </cell>
          <cell r="B49">
            <v>142</v>
          </cell>
        </row>
        <row r="50">
          <cell r="A50" t="str">
            <v>Insurance (Prop/Cas.)</v>
          </cell>
          <cell r="B50">
            <v>231</v>
          </cell>
        </row>
        <row r="51">
          <cell r="A51" t="str">
            <v>Investments &amp; Asset Management</v>
          </cell>
          <cell r="B51">
            <v>1706</v>
          </cell>
        </row>
        <row r="52">
          <cell r="A52" t="str">
            <v>Machinery</v>
          </cell>
          <cell r="B52">
            <v>1421</v>
          </cell>
        </row>
        <row r="53">
          <cell r="A53" t="str">
            <v>Metals &amp; Mining</v>
          </cell>
          <cell r="B53">
            <v>1706</v>
          </cell>
        </row>
        <row r="54">
          <cell r="A54" t="str">
            <v>Office Equipment &amp; Services</v>
          </cell>
          <cell r="B54">
            <v>145</v>
          </cell>
        </row>
        <row r="55">
          <cell r="A55" t="str">
            <v>Oil/Gas (Integrated)</v>
          </cell>
          <cell r="B55">
            <v>46</v>
          </cell>
        </row>
        <row r="56">
          <cell r="A56" t="str">
            <v>Oil/Gas (Production and Exploration)</v>
          </cell>
          <cell r="B56">
            <v>642</v>
          </cell>
        </row>
        <row r="57">
          <cell r="A57" t="str">
            <v>Oil/Gas Distribution</v>
          </cell>
          <cell r="B57">
            <v>165</v>
          </cell>
        </row>
        <row r="58">
          <cell r="A58" t="str">
            <v>Oilfield Svcs/Equip.</v>
          </cell>
          <cell r="B58">
            <v>457</v>
          </cell>
        </row>
        <row r="59">
          <cell r="A59" t="str">
            <v>Packaging &amp; Container</v>
          </cell>
          <cell r="B59">
            <v>414</v>
          </cell>
        </row>
        <row r="60">
          <cell r="A60" t="str">
            <v>Paper/Forest Products</v>
          </cell>
          <cell r="B60">
            <v>272</v>
          </cell>
        </row>
        <row r="61">
          <cell r="A61" t="str">
            <v>Power</v>
          </cell>
          <cell r="B61">
            <v>541</v>
          </cell>
        </row>
        <row r="62">
          <cell r="A62" t="str">
            <v>Precious Metals</v>
          </cell>
          <cell r="B62">
            <v>947</v>
          </cell>
        </row>
        <row r="63">
          <cell r="A63" t="str">
            <v>Publishing &amp; Newspapers</v>
          </cell>
          <cell r="B63">
            <v>337</v>
          </cell>
        </row>
        <row r="64">
          <cell r="A64" t="str">
            <v>R.E.I.T.</v>
          </cell>
          <cell r="B64">
            <v>812</v>
          </cell>
        </row>
        <row r="65">
          <cell r="A65" t="str">
            <v>Real Estate (Development)</v>
          </cell>
          <cell r="B65">
            <v>893</v>
          </cell>
        </row>
        <row r="66">
          <cell r="A66" t="str">
            <v>Real Estate (General/Diversified)</v>
          </cell>
          <cell r="B66">
            <v>344</v>
          </cell>
        </row>
        <row r="67">
          <cell r="A67" t="str">
            <v>Real Estate (Operations &amp; Services)</v>
          </cell>
          <cell r="B67">
            <v>739</v>
          </cell>
        </row>
        <row r="68">
          <cell r="A68" t="str">
            <v>Recreation</v>
          </cell>
          <cell r="B68">
            <v>324</v>
          </cell>
        </row>
        <row r="69">
          <cell r="A69" t="str">
            <v>Reinsurance</v>
          </cell>
          <cell r="B69">
            <v>38</v>
          </cell>
        </row>
        <row r="70">
          <cell r="A70" t="str">
            <v>Restaurant/Dining</v>
          </cell>
          <cell r="B70">
            <v>385</v>
          </cell>
        </row>
        <row r="71">
          <cell r="A71" t="str">
            <v>Retail (Automotive)</v>
          </cell>
          <cell r="B71">
            <v>196</v>
          </cell>
        </row>
        <row r="72">
          <cell r="A72" t="str">
            <v>Retail (Building Supply)</v>
          </cell>
          <cell r="B72">
            <v>98</v>
          </cell>
        </row>
        <row r="73">
          <cell r="A73" t="str">
            <v>Retail (Distributors)</v>
          </cell>
          <cell r="B73">
            <v>1002</v>
          </cell>
        </row>
        <row r="74">
          <cell r="A74" t="str">
            <v>Retail (General)</v>
          </cell>
          <cell r="B74">
            <v>204</v>
          </cell>
        </row>
        <row r="75">
          <cell r="A75" t="str">
            <v>Retail (Grocery and Food)</v>
          </cell>
          <cell r="B75">
            <v>184</v>
          </cell>
        </row>
        <row r="76">
          <cell r="A76" t="str">
            <v>Retail (Online)</v>
          </cell>
          <cell r="B76">
            <v>353</v>
          </cell>
        </row>
        <row r="77">
          <cell r="A77" t="str">
            <v>Retail (Special Lines)</v>
          </cell>
          <cell r="B77">
            <v>479</v>
          </cell>
        </row>
        <row r="78">
          <cell r="A78" t="str">
            <v>Rubber&amp; Tires</v>
          </cell>
          <cell r="B78">
            <v>90</v>
          </cell>
        </row>
        <row r="79">
          <cell r="A79" t="str">
            <v>Semiconductor</v>
          </cell>
          <cell r="B79">
            <v>581</v>
          </cell>
        </row>
        <row r="80">
          <cell r="A80" t="str">
            <v>Semiconductor Equip</v>
          </cell>
          <cell r="B80">
            <v>324</v>
          </cell>
        </row>
        <row r="81">
          <cell r="A81" t="str">
            <v>Shipbuilding &amp; Marine</v>
          </cell>
          <cell r="B81">
            <v>348</v>
          </cell>
        </row>
        <row r="82">
          <cell r="A82" t="str">
            <v>Shoe</v>
          </cell>
          <cell r="B82">
            <v>84</v>
          </cell>
        </row>
        <row r="83">
          <cell r="A83" t="str">
            <v>Software (Entertainment)</v>
          </cell>
          <cell r="B83">
            <v>317</v>
          </cell>
        </row>
        <row r="84">
          <cell r="A84" t="str">
            <v>Software (Internet)</v>
          </cell>
          <cell r="B84">
            <v>151</v>
          </cell>
        </row>
        <row r="85">
          <cell r="A85" t="str">
            <v>Software (System &amp; Application)</v>
          </cell>
          <cell r="B85">
            <v>1603</v>
          </cell>
        </row>
        <row r="86">
          <cell r="A86" t="str">
            <v>Steel</v>
          </cell>
          <cell r="B86">
            <v>709</v>
          </cell>
        </row>
        <row r="87">
          <cell r="A87" t="str">
            <v>Telecom (Wireless)</v>
          </cell>
          <cell r="B87">
            <v>101</v>
          </cell>
        </row>
        <row r="88">
          <cell r="A88" t="str">
            <v>Telecom. Equipment</v>
          </cell>
          <cell r="B88">
            <v>465</v>
          </cell>
        </row>
        <row r="89">
          <cell r="A89" t="str">
            <v>Telecom. Services</v>
          </cell>
          <cell r="B89">
            <v>296</v>
          </cell>
        </row>
        <row r="90">
          <cell r="A90" t="str">
            <v>Tobacco</v>
          </cell>
          <cell r="B90">
            <v>55</v>
          </cell>
        </row>
        <row r="91">
          <cell r="A91" t="str">
            <v>Transportation</v>
          </cell>
          <cell r="B91">
            <v>295</v>
          </cell>
        </row>
        <row r="92">
          <cell r="A92" t="str">
            <v>Transportation (Railroads)</v>
          </cell>
          <cell r="B92">
            <v>51</v>
          </cell>
        </row>
        <row r="93">
          <cell r="A93" t="str">
            <v>Trucking</v>
          </cell>
          <cell r="B93">
            <v>232</v>
          </cell>
        </row>
        <row r="94">
          <cell r="A94" t="str">
            <v>Utility (General)</v>
          </cell>
          <cell r="B94">
            <v>54</v>
          </cell>
        </row>
        <row r="95">
          <cell r="A95" t="str">
            <v>Utility (Water)</v>
          </cell>
          <cell r="B95">
            <v>104</v>
          </cell>
        </row>
      </sheetData>
      <sheetData sheetId="1"/>
      <sheetData sheetId="2"/>
      <sheetData sheetId="3">
        <row r="5">
          <cell r="C5">
            <v>1.2920214899611719</v>
          </cell>
          <cell r="H5">
            <v>1.1846627950549029</v>
          </cell>
        </row>
        <row r="6">
          <cell r="C6">
            <v>1.2231440544338203</v>
          </cell>
          <cell r="H6">
            <v>1.1116864156748973</v>
          </cell>
        </row>
        <row r="7">
          <cell r="C7">
            <v>1.5924295331769072</v>
          </cell>
          <cell r="H7">
            <v>0.93954659070741131</v>
          </cell>
        </row>
        <row r="8">
          <cell r="C8">
            <v>0.95434110854960208</v>
          </cell>
          <cell r="H8">
            <v>0.90334410020822542</v>
          </cell>
        </row>
        <row r="9">
          <cell r="C9">
            <v>1.3542108327743885</v>
          </cell>
          <cell r="H9">
            <v>1.1105973232557309</v>
          </cell>
        </row>
        <row r="10">
          <cell r="C10">
            <v>1.526205558396474</v>
          </cell>
          <cell r="H10">
            <v>1.4360496102184261</v>
          </cell>
        </row>
        <row r="11">
          <cell r="C11">
            <v>1.0325221935011708</v>
          </cell>
          <cell r="H11">
            <v>0.59060387039135132</v>
          </cell>
        </row>
        <row r="12">
          <cell r="C12">
            <v>0.7372332048488982</v>
          </cell>
          <cell r="H12">
            <v>0.66676960190822621</v>
          </cell>
        </row>
        <row r="13">
          <cell r="C13">
            <v>0.92090243003027572</v>
          </cell>
          <cell r="H13">
            <v>0.86018320494677103</v>
          </cell>
        </row>
        <row r="14">
          <cell r="C14">
            <v>0.8838214934890084</v>
          </cell>
          <cell r="H14">
            <v>0.81590433902085402</v>
          </cell>
        </row>
        <row r="15">
          <cell r="C15">
            <v>1.0940244505371257</v>
          </cell>
          <cell r="H15">
            <v>0.81220301000216433</v>
          </cell>
        </row>
        <row r="16">
          <cell r="C16">
            <v>0.91644923419476632</v>
          </cell>
          <cell r="H16">
            <v>0.45383438531295534</v>
          </cell>
        </row>
        <row r="17">
          <cell r="C17">
            <v>1.118843607970198</v>
          </cell>
          <cell r="H17">
            <v>1.0533687030919148</v>
          </cell>
        </row>
        <row r="18">
          <cell r="C18">
            <v>1.1058963659887098</v>
          </cell>
          <cell r="H18">
            <v>1.0366605291428443</v>
          </cell>
        </row>
        <row r="19">
          <cell r="C19">
            <v>0.99186346090864785</v>
          </cell>
          <cell r="H19">
            <v>0.71520894978392191</v>
          </cell>
        </row>
        <row r="20">
          <cell r="C20">
            <v>1.1361222166300649</v>
          </cell>
          <cell r="H20">
            <v>1.0219877158206196</v>
          </cell>
        </row>
        <row r="21">
          <cell r="C21">
            <v>1.4031540999878529</v>
          </cell>
          <cell r="H21">
            <v>1.1476290063670667</v>
          </cell>
        </row>
        <row r="22">
          <cell r="C22">
            <v>1.106939031227731</v>
          </cell>
          <cell r="H22">
            <v>1.0394823310715897</v>
          </cell>
        </row>
        <row r="23">
          <cell r="C23">
            <v>1.1269458657734746</v>
          </cell>
          <cell r="H23">
            <v>1.0910424717421947</v>
          </cell>
        </row>
        <row r="24">
          <cell r="C24">
            <v>1.1194804007685029</v>
          </cell>
          <cell r="H24">
            <v>1.0872547993735642</v>
          </cell>
        </row>
        <row r="25">
          <cell r="C25">
            <v>1.3545573197237926</v>
          </cell>
          <cell r="H25">
            <v>1.3273913361115275</v>
          </cell>
        </row>
        <row r="26">
          <cell r="C26">
            <v>1.1571894446027715</v>
          </cell>
          <cell r="H26">
            <v>1.021934901271395</v>
          </cell>
        </row>
        <row r="27">
          <cell r="C27">
            <v>1.0538717452295296</v>
          </cell>
          <cell r="H27">
            <v>0.81945247458655002</v>
          </cell>
        </row>
        <row r="28">
          <cell r="C28">
            <v>1.1044876675583117</v>
          </cell>
          <cell r="H28">
            <v>1.1008038836104794</v>
          </cell>
        </row>
        <row r="29">
          <cell r="C29">
            <v>1.0775601817466782</v>
          </cell>
          <cell r="H29">
            <v>1.0195095362001769</v>
          </cell>
        </row>
        <row r="30">
          <cell r="C30">
            <v>1.0631824876684701</v>
          </cell>
          <cell r="H30">
            <v>0.997308360259894</v>
          </cell>
        </row>
        <row r="31">
          <cell r="C31">
            <v>1.0963399350526222</v>
          </cell>
          <cell r="H31">
            <v>1.0807004988556506</v>
          </cell>
        </row>
        <row r="32">
          <cell r="C32">
            <v>1.2907351864587455</v>
          </cell>
          <cell r="H32">
            <v>1.1868264404863169</v>
          </cell>
        </row>
        <row r="33">
          <cell r="C33">
            <v>1.3003336732122071</v>
          </cell>
          <cell r="H33">
            <v>1.3115844334733844</v>
          </cell>
        </row>
        <row r="34">
          <cell r="C34">
            <v>1.1234164907248396</v>
          </cell>
          <cell r="H34">
            <v>0.84475981999221106</v>
          </cell>
        </row>
        <row r="35">
          <cell r="C35">
            <v>1.1419146387042676</v>
          </cell>
          <cell r="H35">
            <v>1.1070010153253311</v>
          </cell>
        </row>
        <row r="36">
          <cell r="C36">
            <v>1.0444451868918649</v>
          </cell>
          <cell r="H36">
            <v>0.89597184861401302</v>
          </cell>
        </row>
        <row r="37">
          <cell r="C37">
            <v>0.94901152521243715</v>
          </cell>
          <cell r="H37">
            <v>0.76762586516426345</v>
          </cell>
        </row>
        <row r="38">
          <cell r="C38">
            <v>0.88726391660950987</v>
          </cell>
          <cell r="H38">
            <v>0.19582219262776895</v>
          </cell>
        </row>
        <row r="39">
          <cell r="C39">
            <v>0.85901175886229297</v>
          </cell>
          <cell r="H39">
            <v>0.76854528552256474</v>
          </cell>
        </row>
        <row r="40">
          <cell r="C40">
            <v>0.86239015780395523</v>
          </cell>
          <cell r="H40">
            <v>0.60329665941670996</v>
          </cell>
        </row>
        <row r="41">
          <cell r="C41">
            <v>1.1395130724062112</v>
          </cell>
          <cell r="H41">
            <v>1.1457281960478736</v>
          </cell>
        </row>
        <row r="42">
          <cell r="C42">
            <v>1.0068129993888768</v>
          </cell>
          <cell r="H42">
            <v>0.75935312277806988</v>
          </cell>
        </row>
        <row r="43">
          <cell r="C43">
            <v>1.0301404336488462</v>
          </cell>
          <cell r="H43">
            <v>1.0051575839883573</v>
          </cell>
        </row>
        <row r="44">
          <cell r="C44">
            <v>0.95979934346112317</v>
          </cell>
          <cell r="H44">
            <v>0.85329632981670023</v>
          </cell>
        </row>
        <row r="45">
          <cell r="C45">
            <v>1.0555863294466588</v>
          </cell>
          <cell r="H45">
            <v>1.0306863148100875</v>
          </cell>
        </row>
        <row r="46">
          <cell r="C46">
            <v>1.476145403262775</v>
          </cell>
          <cell r="H46">
            <v>1.368027254719254</v>
          </cell>
        </row>
        <row r="47">
          <cell r="C47">
            <v>0.96212156591146858</v>
          </cell>
          <cell r="H47">
            <v>0.73665306606193837</v>
          </cell>
        </row>
        <row r="48">
          <cell r="C48">
            <v>1.1943470018727957</v>
          </cell>
          <cell r="H48">
            <v>0.94951878748207741</v>
          </cell>
        </row>
        <row r="49">
          <cell r="C49">
            <v>1.0408450273415879</v>
          </cell>
          <cell r="H49">
            <v>0.99751608543687065</v>
          </cell>
        </row>
        <row r="50">
          <cell r="C50">
            <v>1.2675474876977695</v>
          </cell>
          <cell r="H50">
            <v>1.2268646174350117</v>
          </cell>
        </row>
        <row r="51">
          <cell r="C51">
            <v>0.78420994564249957</v>
          </cell>
          <cell r="H51">
            <v>0.71775891829904104</v>
          </cell>
        </row>
        <row r="52">
          <cell r="C52">
            <v>1.0769915100844529</v>
          </cell>
          <cell r="H52">
            <v>0.99672750508697006</v>
          </cell>
        </row>
        <row r="53">
          <cell r="C53">
            <v>0.88373759372019134</v>
          </cell>
          <cell r="H53">
            <v>0.81830940837933286</v>
          </cell>
        </row>
        <row r="54">
          <cell r="C54">
            <v>0.86162621585031596</v>
          </cell>
          <cell r="H54">
            <v>0.71913991757515294</v>
          </cell>
        </row>
        <row r="55">
          <cell r="C55">
            <v>1.1436622839472304</v>
          </cell>
          <cell r="H55">
            <v>1.1250479153986082</v>
          </cell>
        </row>
        <row r="56">
          <cell r="C56">
            <v>1.0975394120110467</v>
          </cell>
          <cell r="H56">
            <v>1.0120404370223572</v>
          </cell>
        </row>
        <row r="57">
          <cell r="C57">
            <v>1.1005990216004515</v>
          </cell>
          <cell r="H57">
            <v>1.0516179146449982</v>
          </cell>
        </row>
        <row r="58">
          <cell r="C58">
            <v>1.2788238428533345</v>
          </cell>
          <cell r="H58">
            <v>1.1489503678115061</v>
          </cell>
        </row>
        <row r="59">
          <cell r="C59">
            <v>1.4593032274293294</v>
          </cell>
          <cell r="H59">
            <v>1.2087657244069641</v>
          </cell>
        </row>
        <row r="60">
          <cell r="C60">
            <v>1.164684008834235</v>
          </cell>
          <cell r="H60">
            <v>0.74526901774865839</v>
          </cell>
        </row>
        <row r="61">
          <cell r="C61">
            <v>1.3590834026487482</v>
          </cell>
          <cell r="H61">
            <v>1.05969409099153</v>
          </cell>
        </row>
        <row r="62">
          <cell r="C62">
            <v>0.96137733867948505</v>
          </cell>
          <cell r="H62">
            <v>0.80319522259662202</v>
          </cell>
        </row>
        <row r="63">
          <cell r="C63">
            <v>1.1206472813656296</v>
          </cell>
          <cell r="H63">
            <v>0.89464643637643149</v>
          </cell>
        </row>
        <row r="64">
          <cell r="C64">
            <v>0.85057057788650969</v>
          </cell>
          <cell r="H64">
            <v>0.53924169597642513</v>
          </cell>
        </row>
        <row r="65">
          <cell r="C65">
            <v>0.9980982211172692</v>
          </cell>
          <cell r="H65">
            <v>0.98817293843464626</v>
          </cell>
        </row>
        <row r="66">
          <cell r="C66">
            <v>0.93265741787579681</v>
          </cell>
          <cell r="H66">
            <v>0.94029537835203902</v>
          </cell>
        </row>
        <row r="67">
          <cell r="C67">
            <v>1.0655405607637354</v>
          </cell>
          <cell r="H67">
            <v>0.76675846611750464</v>
          </cell>
        </row>
        <row r="68">
          <cell r="C68">
            <v>0.99962799907070832</v>
          </cell>
          <cell r="H68">
            <v>0.51619803539888998</v>
          </cell>
        </row>
        <row r="69">
          <cell r="C69">
            <v>1.030256203698114</v>
          </cell>
          <cell r="H69">
            <v>0.6141206252318322</v>
          </cell>
        </row>
        <row r="70">
          <cell r="C70">
            <v>0.89802623507809409</v>
          </cell>
          <cell r="H70">
            <v>0.62550201655477744</v>
          </cell>
        </row>
        <row r="71">
          <cell r="C71">
            <v>1.1026570575415011</v>
          </cell>
          <cell r="H71">
            <v>1.0236926192328399</v>
          </cell>
        </row>
        <row r="72">
          <cell r="C72">
            <v>1.4801313849019009</v>
          </cell>
          <cell r="H72">
            <v>1.4408384721850078</v>
          </cell>
        </row>
        <row r="73">
          <cell r="C73">
            <v>1.1922172742947497</v>
          </cell>
          <cell r="H73">
            <v>1.0103617059741818</v>
          </cell>
        </row>
        <row r="74">
          <cell r="C74">
            <v>1.0960129143055957</v>
          </cell>
          <cell r="H74">
            <v>0.88667994236322001</v>
          </cell>
        </row>
        <row r="75">
          <cell r="C75">
            <v>1.1996449547792511</v>
          </cell>
          <cell r="H75">
            <v>1.1054564123787107</v>
          </cell>
        </row>
        <row r="76">
          <cell r="C76">
            <v>0.87060033611657495</v>
          </cell>
          <cell r="H76">
            <v>0.64648782920437775</v>
          </cell>
        </row>
        <row r="77">
          <cell r="C77">
            <v>1.0186306423304552</v>
          </cell>
          <cell r="H77">
            <v>0.86812200658308269</v>
          </cell>
        </row>
        <row r="78">
          <cell r="C78">
            <v>0.68885348820722192</v>
          </cell>
          <cell r="H78">
            <v>0.53466394846871457</v>
          </cell>
        </row>
        <row r="79">
          <cell r="C79">
            <v>1.4316167197186636</v>
          </cell>
          <cell r="H79">
            <v>1.404881197430484</v>
          </cell>
        </row>
        <row r="80">
          <cell r="C80">
            <v>1.2079379977370139</v>
          </cell>
          <cell r="H80">
            <v>1.0862145397901581</v>
          </cell>
        </row>
        <row r="81">
          <cell r="C81">
            <v>1.2588029541998951</v>
          </cell>
          <cell r="H81">
            <v>1.0977626001146414</v>
          </cell>
        </row>
        <row r="82">
          <cell r="C82">
            <v>1.5666378029133892</v>
          </cell>
          <cell r="H82">
            <v>1.5530936635261203</v>
          </cell>
        </row>
        <row r="83">
          <cell r="C83">
            <v>1.913872580558768</v>
          </cell>
          <cell r="H83">
            <v>1.9337186879458486</v>
          </cell>
        </row>
        <row r="84">
          <cell r="C84">
            <v>1.1235447323872723</v>
          </cell>
          <cell r="H84">
            <v>0.98601703944955343</v>
          </cell>
        </row>
        <row r="85">
          <cell r="C85">
            <v>1.1373530584187677</v>
          </cell>
          <cell r="H85">
            <v>1.1294736492366366</v>
          </cell>
        </row>
        <row r="86">
          <cell r="C86">
            <v>1.2783239533700639</v>
          </cell>
          <cell r="H86">
            <v>1.2797793146309626</v>
          </cell>
        </row>
        <row r="87">
          <cell r="C87">
            <v>1.1294721270398735</v>
          </cell>
          <cell r="H87">
            <v>1.108445828620835</v>
          </cell>
        </row>
        <row r="88">
          <cell r="C88">
            <v>1.2143044372125289</v>
          </cell>
          <cell r="H88">
            <v>1.2008396816037168</v>
          </cell>
        </row>
        <row r="89">
          <cell r="C89">
            <v>1.2533331552197386</v>
          </cell>
          <cell r="H89">
            <v>1.0675797577799606</v>
          </cell>
        </row>
        <row r="90">
          <cell r="C90">
            <v>1.0024897354072293</v>
          </cell>
          <cell r="H90">
            <v>0.71759349908522774</v>
          </cell>
        </row>
        <row r="91">
          <cell r="C91">
            <v>1.1712700535217679</v>
          </cell>
          <cell r="H91">
            <v>1.1673203453641146</v>
          </cell>
        </row>
        <row r="92">
          <cell r="C92">
            <v>0.8558553061197619</v>
          </cell>
          <cell r="H92">
            <v>0.57643806683631016</v>
          </cell>
        </row>
        <row r="93">
          <cell r="C93">
            <v>0.85479331897830202</v>
          </cell>
          <cell r="H93">
            <v>0.72892871601322584</v>
          </cell>
        </row>
        <row r="94">
          <cell r="C94">
            <v>1.0144295016900287</v>
          </cell>
          <cell r="H94">
            <v>0.85293795255937865</v>
          </cell>
        </row>
        <row r="95">
          <cell r="C95">
            <v>0.82573690152955981</v>
          </cell>
          <cell r="H95">
            <v>0.6675122176931948</v>
          </cell>
        </row>
        <row r="96">
          <cell r="C96">
            <v>1.1301992175741524</v>
          </cell>
          <cell r="H96">
            <v>0.92080912704016238</v>
          </cell>
        </row>
        <row r="97">
          <cell r="C97">
            <v>0.80364818176933617</v>
          </cell>
          <cell r="H97">
            <v>0.52165090340310738</v>
          </cell>
        </row>
        <row r="98">
          <cell r="C98">
            <v>0.72895941806314868</v>
          </cell>
          <cell r="H98">
            <v>0.51446481307844327</v>
          </cell>
        </row>
      </sheetData>
      <sheetData sheetId="4"/>
      <sheetData sheetId="5">
        <row r="2">
          <cell r="H2">
            <v>-8.9523825484201739E-3</v>
          </cell>
          <cell r="J2">
            <v>2.7953022987689566</v>
          </cell>
        </row>
        <row r="3">
          <cell r="H3">
            <v>1.2612646382451399E-2</v>
          </cell>
          <cell r="J3">
            <v>1.8431906216043816</v>
          </cell>
        </row>
        <row r="4">
          <cell r="H4">
            <v>-2.1550757358998661E-2</v>
          </cell>
          <cell r="J4">
            <v>0.52042457558651478</v>
          </cell>
        </row>
        <row r="5">
          <cell r="H5">
            <v>6.7615443487588939E-2</v>
          </cell>
          <cell r="J5">
            <v>1.4629072003367607</v>
          </cell>
        </row>
        <row r="6">
          <cell r="H6">
            <v>3.0356457541861143E-2</v>
          </cell>
          <cell r="J6">
            <v>1.0329652431485967</v>
          </cell>
        </row>
        <row r="7">
          <cell r="H7">
            <v>2.6259069392558291E-2</v>
          </cell>
          <cell r="J7">
            <v>1.6424210993270012</v>
          </cell>
        </row>
        <row r="8">
          <cell r="H8">
            <v>3.1613624335839467E-2</v>
          </cell>
          <cell r="J8">
            <v>0.14974045836073357</v>
          </cell>
        </row>
        <row r="9">
          <cell r="H9">
            <v>7.984463977211817E-2</v>
          </cell>
          <cell r="J9">
            <v>0.22938959797579286</v>
          </cell>
        </row>
        <row r="10">
          <cell r="H10">
            <v>3.8145715766077009E-3</v>
          </cell>
          <cell r="J10">
            <v>0.72317532053776501</v>
          </cell>
        </row>
        <row r="11">
          <cell r="H11">
            <v>4.1359988705378374E-2</v>
          </cell>
          <cell r="J11">
            <v>1.4547388292735512</v>
          </cell>
        </row>
        <row r="12">
          <cell r="H12">
            <v>1.536153808767424E-2</v>
          </cell>
          <cell r="J12">
            <v>1.1393690544768109</v>
          </cell>
        </row>
        <row r="13">
          <cell r="H13">
            <v>-2.3799526575878373E-3</v>
          </cell>
          <cell r="J13">
            <v>0.21945659992468944</v>
          </cell>
        </row>
        <row r="14">
          <cell r="H14">
            <v>3.2959674260180927E-2</v>
          </cell>
          <cell r="J14">
            <v>1.9207262185722309</v>
          </cell>
        </row>
        <row r="15">
          <cell r="H15">
            <v>1.8732578896551822E-2</v>
          </cell>
          <cell r="J15">
            <v>2.7155500036360642</v>
          </cell>
        </row>
        <row r="16">
          <cell r="H16">
            <v>-1.1778116070334552E-2</v>
          </cell>
          <cell r="J16">
            <v>0.80491089853914344</v>
          </cell>
        </row>
        <row r="17">
          <cell r="H17">
            <v>5.9890191714082858E-2</v>
          </cell>
          <cell r="J17">
            <v>1.276877647002252</v>
          </cell>
        </row>
        <row r="18">
          <cell r="H18">
            <v>2.3175042368213269E-2</v>
          </cell>
          <cell r="J18">
            <v>1.1928368145194908</v>
          </cell>
        </row>
        <row r="19">
          <cell r="H19">
            <v>4.6584219137677074E-2</v>
          </cell>
          <cell r="J19">
            <v>1.2522363682932998</v>
          </cell>
        </row>
        <row r="20">
          <cell r="H20">
            <v>3.7949460245922946E-2</v>
          </cell>
          <cell r="J20">
            <v>1.1248637774971952</v>
          </cell>
        </row>
        <row r="21">
          <cell r="H21">
            <v>1.2408356424096047E-2</v>
          </cell>
          <cell r="J21">
            <v>3.4445685929185372</v>
          </cell>
        </row>
        <row r="22">
          <cell r="H22">
            <v>3.2827286518238762E-2</v>
          </cell>
          <cell r="J22">
            <v>1.8795730347568325</v>
          </cell>
        </row>
        <row r="23">
          <cell r="H23">
            <v>3.5796678594107754E-2</v>
          </cell>
          <cell r="J23">
            <v>1.1877188506102832</v>
          </cell>
        </row>
        <row r="24">
          <cell r="H24">
            <v>3.5727032438049547E-2</v>
          </cell>
          <cell r="J24">
            <v>0.85005852741487009</v>
          </cell>
        </row>
        <row r="25">
          <cell r="H25">
            <v>0.13788348638401227</v>
          </cell>
          <cell r="J25">
            <v>0.49198829684546491</v>
          </cell>
        </row>
        <row r="26">
          <cell r="H26">
            <v>5.7433549769644821E-2</v>
          </cell>
          <cell r="J26">
            <v>0.72372750503909877</v>
          </cell>
        </row>
        <row r="27">
          <cell r="H27">
            <v>0.15324854351350051</v>
          </cell>
          <cell r="J27">
            <v>0.95105794527488585</v>
          </cell>
        </row>
        <row r="28">
          <cell r="H28">
            <v>6.3184219099487335E-2</v>
          </cell>
          <cell r="J28">
            <v>1.7049714240582912</v>
          </cell>
        </row>
        <row r="29">
          <cell r="H29">
            <v>6.5461285299230287E-2</v>
          </cell>
          <cell r="J29">
            <v>1.6809375717987154</v>
          </cell>
        </row>
        <row r="30">
          <cell r="H30">
            <v>6.341272234412805E-2</v>
          </cell>
          <cell r="J30">
            <v>1.5764726495723238</v>
          </cell>
        </row>
        <row r="31">
          <cell r="H31">
            <v>2.6091027382896672E-2</v>
          </cell>
          <cell r="J31">
            <v>2.1078254150031008</v>
          </cell>
        </row>
        <row r="32">
          <cell r="H32">
            <v>2.7075856672277476E-2</v>
          </cell>
          <cell r="J32">
            <v>1.1845128712913422</v>
          </cell>
        </row>
        <row r="33">
          <cell r="H33">
            <v>0.10751660160840347</v>
          </cell>
          <cell r="J33">
            <v>1.2850256670890909</v>
          </cell>
        </row>
        <row r="34">
          <cell r="H34">
            <v>3.2607347700619203E-2</v>
          </cell>
          <cell r="J34">
            <v>1.5270189959091154</v>
          </cell>
        </row>
        <row r="35">
          <cell r="H35">
            <v>6.6354678402591447E-2</v>
          </cell>
          <cell r="J35">
            <v>7.508175306627532E-2</v>
          </cell>
        </row>
        <row r="36">
          <cell r="H36">
            <v>3.9433834241671337E-2</v>
          </cell>
          <cell r="J36">
            <v>1.7623802707398435</v>
          </cell>
        </row>
        <row r="37">
          <cell r="H37">
            <v>1.2407395934016071E-2</v>
          </cell>
          <cell r="J37">
            <v>5.0516689569151323</v>
          </cell>
        </row>
        <row r="38">
          <cell r="H38">
            <v>2.4921896152994241E-2</v>
          </cell>
          <cell r="J38">
            <v>2.7324434819828336</v>
          </cell>
        </row>
        <row r="39">
          <cell r="H39">
            <v>0.25434296265623013</v>
          </cell>
          <cell r="J39">
            <v>0.26623388747483401</v>
          </cell>
        </row>
        <row r="40">
          <cell r="H40">
            <v>9.7684912210769165E-2</v>
          </cell>
          <cell r="J40">
            <v>1.045846161111043</v>
          </cell>
        </row>
        <row r="41">
          <cell r="H41">
            <v>1.5410618551876044E-2</v>
          </cell>
          <cell r="J41">
            <v>6.6359755423643216</v>
          </cell>
        </row>
        <row r="42">
          <cell r="H42">
            <v>0.18777212825730508</v>
          </cell>
          <cell r="J42">
            <v>1.205045287274372</v>
          </cell>
        </row>
        <row r="43">
          <cell r="H43">
            <v>5.5436818757800353E-3</v>
          </cell>
          <cell r="J43">
            <v>1.460552948962565</v>
          </cell>
        </row>
        <row r="44">
          <cell r="H44">
            <v>3.7465617423834127E-2</v>
          </cell>
          <cell r="J44">
            <v>1.3074735160759832</v>
          </cell>
        </row>
        <row r="45">
          <cell r="H45">
            <v>8.1575691891312072E-3</v>
          </cell>
          <cell r="J45">
            <v>0.3889305155506233</v>
          </cell>
        </row>
        <row r="46">
          <cell r="H46">
            <v>2.1690463776742441E-2</v>
          </cell>
          <cell r="J46">
            <v>1.8031128111662535</v>
          </cell>
        </row>
        <row r="47">
          <cell r="H47">
            <v>4.094854330100154E-2</v>
          </cell>
          <cell r="J47">
            <v>1.4718132745855532</v>
          </cell>
        </row>
        <row r="48">
          <cell r="H48">
            <v>1.2234780105357555E-3</v>
          </cell>
          <cell r="J48">
            <v>1.6084188204332122</v>
          </cell>
        </row>
        <row r="49">
          <cell r="H49">
            <v>6.0496076868057202E-3</v>
          </cell>
          <cell r="J49">
            <v>1.2610123544542804</v>
          </cell>
        </row>
        <row r="50">
          <cell r="H50">
            <v>1.293375445952712E-2</v>
          </cell>
          <cell r="J50">
            <v>1.3627114561854952</v>
          </cell>
        </row>
        <row r="51">
          <cell r="H51">
            <v>4.1675217813524415E-2</v>
          </cell>
          <cell r="J51">
            <v>0.52387912099900935</v>
          </cell>
        </row>
        <row r="52">
          <cell r="H52">
            <v>3.0665116726434054E-2</v>
          </cell>
          <cell r="J52">
            <v>1.524790725080347</v>
          </cell>
        </row>
        <row r="53">
          <cell r="H53">
            <v>3.024735011445874E-2</v>
          </cell>
          <cell r="J53">
            <v>1.4040887692825965</v>
          </cell>
        </row>
        <row r="54">
          <cell r="H54">
            <v>4.9158187660709347E-2</v>
          </cell>
          <cell r="J54">
            <v>1.9370323805362779</v>
          </cell>
        </row>
        <row r="55">
          <cell r="H55">
            <v>-9.8096557657455698E-3</v>
          </cell>
          <cell r="J55">
            <v>1.1364481392207744</v>
          </cell>
        </row>
        <row r="56">
          <cell r="H56">
            <v>4.4157296385609144E-3</v>
          </cell>
          <cell r="J56">
            <v>0.53034482048687825</v>
          </cell>
        </row>
        <row r="57">
          <cell r="H57">
            <v>3.6244249060791482E-2</v>
          </cell>
          <cell r="J57">
            <v>0.57370184591945661</v>
          </cell>
        </row>
        <row r="58">
          <cell r="H58">
            <v>1.1806387985840473E-2</v>
          </cell>
          <cell r="J58">
            <v>1.8488813865813059</v>
          </cell>
        </row>
        <row r="59">
          <cell r="H59">
            <v>4.1475264956616818E-2</v>
          </cell>
          <cell r="J59">
            <v>1.5870351531847779</v>
          </cell>
        </row>
        <row r="60">
          <cell r="H60">
            <v>3.6077619245513594E-2</v>
          </cell>
          <cell r="J60">
            <v>1.0149034896974758</v>
          </cell>
        </row>
        <row r="61">
          <cell r="H61">
            <v>8.65556336773117E-2</v>
          </cell>
          <cell r="J61">
            <v>0.60976190171467592</v>
          </cell>
        </row>
        <row r="62">
          <cell r="H62">
            <v>0.1009003571940405</v>
          </cell>
          <cell r="J62">
            <v>0.95262202852854316</v>
          </cell>
        </row>
        <row r="63">
          <cell r="H63">
            <v>2.9516992667007955E-2</v>
          </cell>
          <cell r="J63">
            <v>1.4490359302598788</v>
          </cell>
        </row>
        <row r="64">
          <cell r="H64">
            <v>0.10141562264381192</v>
          </cell>
          <cell r="J64">
            <v>0.12173637222858757</v>
          </cell>
        </row>
        <row r="65">
          <cell r="H65">
            <v>2.4398704395905024E-2</v>
          </cell>
          <cell r="J65">
            <v>0.6675600575005235</v>
          </cell>
        </row>
        <row r="66">
          <cell r="H66">
            <v>6.8333546742019136E-2</v>
          </cell>
          <cell r="J66">
            <v>0.28909840491012018</v>
          </cell>
        </row>
        <row r="67">
          <cell r="H67">
            <v>7.1596634293824346E-2</v>
          </cell>
          <cell r="J67">
            <v>0.23668772237183774</v>
          </cell>
        </row>
        <row r="68">
          <cell r="H68">
            <v>3.2231860470796538E-3</v>
          </cell>
          <cell r="J68">
            <v>1.110859067737719</v>
          </cell>
        </row>
        <row r="69">
          <cell r="H69">
            <v>8.3789699118327569E-3</v>
          </cell>
          <cell r="J69">
            <v>1.6664825605594367</v>
          </cell>
        </row>
        <row r="70">
          <cell r="H70">
            <v>1.7103545883623797E-3</v>
          </cell>
          <cell r="J70">
            <v>1.4104478023262235</v>
          </cell>
        </row>
        <row r="71">
          <cell r="H71">
            <v>2.1151850997237289E-2</v>
          </cell>
          <cell r="J71">
            <v>3.0992071740252993</v>
          </cell>
        </row>
        <row r="72">
          <cell r="H72">
            <v>2.4358239196111704E-2</v>
          </cell>
          <cell r="J72">
            <v>3.3519985827505754</v>
          </cell>
        </row>
        <row r="73">
          <cell r="H73">
            <v>2.3832681878767144E-2</v>
          </cell>
          <cell r="J73">
            <v>2.031812284146679</v>
          </cell>
        </row>
        <row r="74">
          <cell r="H74">
            <v>3.8148259971067088E-3</v>
          </cell>
          <cell r="J74">
            <v>2.9540157175171817</v>
          </cell>
        </row>
        <row r="75">
          <cell r="H75">
            <v>2.5860874767432901E-2</v>
          </cell>
          <cell r="J75">
            <v>3.2757020803860475</v>
          </cell>
        </row>
        <row r="76">
          <cell r="H76">
            <v>7.9897119747193407E-2</v>
          </cell>
          <cell r="J76">
            <v>1.7082627677067752</v>
          </cell>
        </row>
        <row r="77">
          <cell r="H77">
            <v>5.4898945547292711E-4</v>
          </cell>
          <cell r="J77">
            <v>2.599077759078094</v>
          </cell>
        </row>
        <row r="78">
          <cell r="H78">
            <v>2.9239237779639861E-2</v>
          </cell>
          <cell r="J78">
            <v>1.1577591039831234</v>
          </cell>
        </row>
        <row r="79">
          <cell r="H79">
            <v>9.4756741586764795E-2</v>
          </cell>
          <cell r="J79">
            <v>0.87954200985772624</v>
          </cell>
        </row>
        <row r="80">
          <cell r="H80">
            <v>5.0545201595371E-2</v>
          </cell>
          <cell r="J80">
            <v>1.1965887929674528</v>
          </cell>
        </row>
        <row r="81">
          <cell r="H81">
            <v>3.9902396104123709E-2</v>
          </cell>
          <cell r="J81">
            <v>0.95161003718361947</v>
          </cell>
        </row>
        <row r="82">
          <cell r="H82">
            <v>-1.4156320428161111E-3</v>
          </cell>
          <cell r="J82">
            <v>1.9767105151872286</v>
          </cell>
        </row>
        <row r="83">
          <cell r="H83">
            <v>7.6924430416947298E-2</v>
          </cell>
          <cell r="J83">
            <v>0.81428082736565555</v>
          </cell>
        </row>
        <row r="84">
          <cell r="H84">
            <v>9.6402675767557552E-2</v>
          </cell>
          <cell r="J84">
            <v>1.1704491266049009</v>
          </cell>
        </row>
        <row r="85">
          <cell r="H85">
            <v>0.15468778387373933</v>
          </cell>
          <cell r="J85">
            <v>1.0378903576603373</v>
          </cell>
        </row>
        <row r="86">
          <cell r="H86">
            <v>3.1576044068549095E-2</v>
          </cell>
          <cell r="J86">
            <v>1.622404331728357</v>
          </cell>
        </row>
        <row r="87">
          <cell r="H87">
            <v>-4.8848706537620171E-3</v>
          </cell>
          <cell r="J87">
            <v>0.7348459816646089</v>
          </cell>
        </row>
        <row r="88">
          <cell r="H88">
            <v>5.5885499621082552E-2</v>
          </cell>
          <cell r="J88">
            <v>1.2798897510527911</v>
          </cell>
        </row>
        <row r="89">
          <cell r="H89">
            <v>-6.0283538442271873E-4</v>
          </cell>
          <cell r="J89">
            <v>0.78395632169669449</v>
          </cell>
        </row>
        <row r="90">
          <cell r="H90">
            <v>-3.9573561387867613E-2</v>
          </cell>
          <cell r="J90">
            <v>0.7771146190511381</v>
          </cell>
        </row>
        <row r="91">
          <cell r="H91">
            <v>1.2482659556912757E-2</v>
          </cell>
          <cell r="J91">
            <v>1.8543244903854654</v>
          </cell>
        </row>
        <row r="92">
          <cell r="H92">
            <v>0.1203793615216346</v>
          </cell>
          <cell r="J92">
            <v>0.36118073689358499</v>
          </cell>
        </row>
        <row r="93">
          <cell r="H93">
            <v>4.1274743550647898E-2</v>
          </cell>
          <cell r="J93">
            <v>1.1962485881187215</v>
          </cell>
        </row>
        <row r="94">
          <cell r="H94">
            <v>9.3012239371143265E-2</v>
          </cell>
          <cell r="J94">
            <v>0.68444706503076624</v>
          </cell>
        </row>
        <row r="95">
          <cell r="H95">
            <v>0.14186564829322693</v>
          </cell>
          <cell r="J95">
            <v>0.34422174025219388</v>
          </cell>
        </row>
      </sheetData>
      <sheetData sheetId="6"/>
      <sheetData sheetId="7"/>
      <sheetData sheetId="8"/>
      <sheetData sheetId="9"/>
      <sheetData sheetId="10">
        <row r="2">
          <cell r="F2">
            <v>0.24555203666377023</v>
          </cell>
        </row>
        <row r="3">
          <cell r="F3">
            <v>0.20608557334061123</v>
          </cell>
        </row>
        <row r="4">
          <cell r="F4">
            <v>0.55822719310873492</v>
          </cell>
        </row>
        <row r="5">
          <cell r="F5">
            <v>0.14029831728344888</v>
          </cell>
        </row>
        <row r="6">
          <cell r="F6">
            <v>0.3236961084525225</v>
          </cell>
        </row>
        <row r="7">
          <cell r="F7">
            <v>0.21800615312817079</v>
          </cell>
        </row>
        <row r="8">
          <cell r="F8">
            <v>0.73091664044997162</v>
          </cell>
        </row>
        <row r="9">
          <cell r="F9">
            <v>0.63959448420053988</v>
          </cell>
        </row>
        <row r="10">
          <cell r="F10">
            <v>0.12924031417486145</v>
          </cell>
        </row>
        <row r="11">
          <cell r="F11">
            <v>0.14281839695018891</v>
          </cell>
        </row>
        <row r="12">
          <cell r="F12">
            <v>0.40355659638413288</v>
          </cell>
        </row>
        <row r="13">
          <cell r="F13">
            <v>0.66354770858050638</v>
          </cell>
        </row>
        <row r="14">
          <cell r="F14">
            <v>0.15146564753406297</v>
          </cell>
        </row>
        <row r="15">
          <cell r="F15">
            <v>0.15501805706750268</v>
          </cell>
        </row>
        <row r="16">
          <cell r="F16">
            <v>0.36871437739759638</v>
          </cell>
        </row>
        <row r="17">
          <cell r="F17">
            <v>0.22347788057332674</v>
          </cell>
        </row>
        <row r="18">
          <cell r="F18">
            <v>0.30619471112751695</v>
          </cell>
        </row>
        <row r="19">
          <cell r="F19">
            <v>0.13717913174815943</v>
          </cell>
        </row>
        <row r="20">
          <cell r="F20">
            <v>0.29163516474050882</v>
          </cell>
        </row>
        <row r="21">
          <cell r="F21">
            <v>0.11071567434317883</v>
          </cell>
        </row>
        <row r="22">
          <cell r="F22">
            <v>8.4819040314930094E-2</v>
          </cell>
        </row>
        <row r="23">
          <cell r="F23">
            <v>0.26554309882822053</v>
          </cell>
        </row>
        <row r="24">
          <cell r="F24">
            <v>0.36232884846159458</v>
          </cell>
        </row>
        <row r="25">
          <cell r="F25">
            <v>0.10482815596938155</v>
          </cell>
        </row>
        <row r="26">
          <cell r="F26">
            <v>0.12882992669944857</v>
          </cell>
        </row>
        <row r="27">
          <cell r="F27">
            <v>0.23534608860623782</v>
          </cell>
        </row>
        <row r="28">
          <cell r="F28">
            <v>0.10922733916095732</v>
          </cell>
        </row>
        <row r="29">
          <cell r="F29">
            <v>0.23238187034529176</v>
          </cell>
        </row>
        <row r="30">
          <cell r="F30">
            <v>0.11550999089770773</v>
          </cell>
        </row>
        <row r="31">
          <cell r="F31">
            <v>0.46619138819066736</v>
          </cell>
        </row>
        <row r="32">
          <cell r="F32">
            <v>0.13299828243979833</v>
          </cell>
        </row>
        <row r="33">
          <cell r="F33">
            <v>0.23374943853477836</v>
          </cell>
        </row>
        <row r="34">
          <cell r="F34">
            <v>0.3005691320308172</v>
          </cell>
        </row>
        <row r="35">
          <cell r="F35">
            <v>0.84185510916957851</v>
          </cell>
        </row>
        <row r="36">
          <cell r="F36">
            <v>0.19755666465757807</v>
          </cell>
        </row>
        <row r="37">
          <cell r="F37">
            <v>0.42988528840047413</v>
          </cell>
        </row>
        <row r="38">
          <cell r="F38">
            <v>0.15642372662573115</v>
          </cell>
        </row>
        <row r="39">
          <cell r="F39">
            <v>0.34120318264076577</v>
          </cell>
        </row>
        <row r="40">
          <cell r="F40">
            <v>8.1902119474818916E-2</v>
          </cell>
        </row>
        <row r="41">
          <cell r="F41">
            <v>0.21566846091516509</v>
          </cell>
        </row>
        <row r="42">
          <cell r="F42">
            <v>7.4148996004438195E-2</v>
          </cell>
        </row>
        <row r="43">
          <cell r="F43">
            <v>0.24711971203415931</v>
          </cell>
        </row>
        <row r="44">
          <cell r="F44">
            <v>0.32765209380750854</v>
          </cell>
        </row>
        <row r="45">
          <cell r="F45">
            <v>0.32894124607864822</v>
          </cell>
        </row>
        <row r="46">
          <cell r="F46">
            <v>9.9509529044573511E-2</v>
          </cell>
        </row>
        <row r="47">
          <cell r="F47">
            <v>9.7074352439888809E-2</v>
          </cell>
        </row>
        <row r="48">
          <cell r="F48">
            <v>0.28118959524670251</v>
          </cell>
        </row>
        <row r="49">
          <cell r="F49">
            <v>0.51902905276253319</v>
          </cell>
        </row>
        <row r="50">
          <cell r="F50">
            <v>0.21902306388736686</v>
          </cell>
        </row>
        <row r="51">
          <cell r="F51">
            <v>0.31163526323852414</v>
          </cell>
        </row>
        <row r="52">
          <cell r="F52">
            <v>0.11763369801992109</v>
          </cell>
        </row>
        <row r="53">
          <cell r="F53">
            <v>0.20623066927888656</v>
          </cell>
        </row>
        <row r="54">
          <cell r="F54">
            <v>0.21084330428256209</v>
          </cell>
        </row>
        <row r="55">
          <cell r="F55">
            <v>0.21141520243342549</v>
          </cell>
        </row>
        <row r="56">
          <cell r="F56">
            <v>0.27934371191618795</v>
          </cell>
        </row>
        <row r="57">
          <cell r="F57">
            <v>0.45189137008229102</v>
          </cell>
        </row>
        <row r="58">
          <cell r="F58">
            <v>0.34863094715876269</v>
          </cell>
        </row>
        <row r="59">
          <cell r="F59">
            <v>0.26610220298790277</v>
          </cell>
        </row>
        <row r="60">
          <cell r="F60">
            <v>0.33667454003593794</v>
          </cell>
        </row>
        <row r="61">
          <cell r="F61">
            <v>0.47125737580749977</v>
          </cell>
        </row>
        <row r="62">
          <cell r="F62">
            <v>0.12800822175373266</v>
          </cell>
        </row>
        <row r="63">
          <cell r="F63">
            <v>0.20641169071155921</v>
          </cell>
        </row>
        <row r="64">
          <cell r="F64">
            <v>0.36355830313820703</v>
          </cell>
        </row>
        <row r="65">
          <cell r="F65">
            <v>0.67231315173264061</v>
          </cell>
        </row>
        <row r="66">
          <cell r="F66">
            <v>0.53276499850842007</v>
          </cell>
        </row>
        <row r="67">
          <cell r="F67">
            <v>0.42204572533912404</v>
          </cell>
        </row>
        <row r="68">
          <cell r="F68">
            <v>0.19785653987639573</v>
          </cell>
        </row>
        <row r="69">
          <cell r="F69">
            <v>0.24410252987292733</v>
          </cell>
        </row>
        <row r="70">
          <cell r="F70">
            <v>0.24117773192847775</v>
          </cell>
        </row>
        <row r="71">
          <cell r="F71">
            <v>0.29472215166337895</v>
          </cell>
        </row>
        <row r="72">
          <cell r="F72">
            <v>0.13867834864294046</v>
          </cell>
        </row>
        <row r="73">
          <cell r="F73">
            <v>0.39198495581480319</v>
          </cell>
        </row>
        <row r="74">
          <cell r="F74">
            <v>0.25060880033563432</v>
          </cell>
        </row>
        <row r="75">
          <cell r="F75">
            <v>0.34859286084122793</v>
          </cell>
        </row>
        <row r="76">
          <cell r="F76">
            <v>8.5126389408453337E-2</v>
          </cell>
        </row>
        <row r="77">
          <cell r="F77">
            <v>0.22794139189461252</v>
          </cell>
        </row>
        <row r="78">
          <cell r="F78">
            <v>0.28118528694520339</v>
          </cell>
        </row>
        <row r="79">
          <cell r="F79">
            <v>6.6598638330346419E-2</v>
          </cell>
        </row>
        <row r="80">
          <cell r="F80">
            <v>3.9271042827220777E-2</v>
          </cell>
        </row>
        <row r="81">
          <cell r="F81">
            <v>0.29122993438649519</v>
          </cell>
        </row>
        <row r="82">
          <cell r="F82">
            <v>7.6069436057585413E-2</v>
          </cell>
        </row>
        <row r="83">
          <cell r="F83">
            <v>3.517976424472375E-2</v>
          </cell>
        </row>
        <row r="84">
          <cell r="F84">
            <v>6.3411030290334278E-2</v>
          </cell>
        </row>
        <row r="85">
          <cell r="F85">
            <v>5.4353741967815263E-2</v>
          </cell>
        </row>
        <row r="86">
          <cell r="F86">
            <v>0.30823016607963638</v>
          </cell>
        </row>
        <row r="87">
          <cell r="F87">
            <v>0.42624417123529412</v>
          </cell>
        </row>
        <row r="88">
          <cell r="F88">
            <v>9.5674298758699525E-2</v>
          </cell>
        </row>
        <row r="89">
          <cell r="F89">
            <v>0.43580939640883859</v>
          </cell>
        </row>
        <row r="90">
          <cell r="F90">
            <v>0.23076224490538635</v>
          </cell>
        </row>
        <row r="91">
          <cell r="F91">
            <v>0.28564055207233141</v>
          </cell>
        </row>
        <row r="92">
          <cell r="F92">
            <v>0.28103472382481087</v>
          </cell>
        </row>
        <row r="93">
          <cell r="F93">
            <v>0.30300807087509513</v>
          </cell>
        </row>
        <row r="94">
          <cell r="F94">
            <v>0.45339836098770919</v>
          </cell>
        </row>
        <row r="95">
          <cell r="F95">
            <v>0.40535398995697081</v>
          </cell>
        </row>
      </sheetData>
      <sheetData sheetId="11"/>
      <sheetData sheetId="12">
        <row r="2">
          <cell r="E2">
            <v>0.73983027279387559</v>
          </cell>
        </row>
        <row r="3">
          <cell r="E3">
            <v>0.44794410996649281</v>
          </cell>
        </row>
        <row r="4">
          <cell r="E4">
            <v>3.5324529286747254E-3</v>
          </cell>
        </row>
        <row r="5">
          <cell r="E5">
            <v>0.3581338121940682</v>
          </cell>
        </row>
        <row r="6">
          <cell r="E6">
            <v>0.18454035954098272</v>
          </cell>
        </row>
        <row r="7">
          <cell r="E7">
            <v>0.30966197453943284</v>
          </cell>
        </row>
        <row r="8">
          <cell r="E8">
            <v>0.27349123608217429</v>
          </cell>
        </row>
        <row r="9">
          <cell r="E9">
            <v>0.26641100825320135</v>
          </cell>
        </row>
        <row r="10">
          <cell r="E10">
            <v>0.43890122855911506</v>
          </cell>
        </row>
        <row r="11">
          <cell r="E11">
            <v>0.75415189854831</v>
          </cell>
        </row>
        <row r="12">
          <cell r="E12">
            <v>0.25046767216384253</v>
          </cell>
        </row>
        <row r="13">
          <cell r="E13">
            <v>0.36975144322577064</v>
          </cell>
        </row>
        <row r="14">
          <cell r="E14">
            <v>0.27340547096016066</v>
          </cell>
        </row>
        <row r="15">
          <cell r="E15">
            <v>0.39715129561444124</v>
          </cell>
        </row>
        <row r="16">
          <cell r="E16">
            <v>0.25204662726783561</v>
          </cell>
        </row>
        <row r="17">
          <cell r="E17">
            <v>0.29407301643677597</v>
          </cell>
        </row>
        <row r="18">
          <cell r="E18">
            <v>0.36879123823642057</v>
          </cell>
        </row>
        <row r="19">
          <cell r="E19">
            <v>0.33472651529688596</v>
          </cell>
        </row>
        <row r="20">
          <cell r="E20">
            <v>0.63438373208153398</v>
          </cell>
        </row>
        <row r="21">
          <cell r="E21">
            <v>0.45350477108677362</v>
          </cell>
        </row>
        <row r="22">
          <cell r="E22">
            <v>0.25742826139615732</v>
          </cell>
        </row>
        <row r="23">
          <cell r="E23">
            <v>0.4872110658449082</v>
          </cell>
        </row>
        <row r="24">
          <cell r="E24">
            <v>0.14003089806773888</v>
          </cell>
        </row>
        <row r="25">
          <cell r="E25">
            <v>1.7469244414724792E-3</v>
          </cell>
        </row>
        <row r="26">
          <cell r="E26">
            <v>0.74314367916302693</v>
          </cell>
        </row>
        <row r="27">
          <cell r="E27">
            <v>0.80901117116635013</v>
          </cell>
        </row>
        <row r="28">
          <cell r="E28">
            <v>0.50806228697477906</v>
          </cell>
        </row>
        <row r="29">
          <cell r="E29">
            <v>0.22192502231623787</v>
          </cell>
        </row>
        <row r="30">
          <cell r="E30">
            <v>0.3186359885929218</v>
          </cell>
        </row>
        <row r="31">
          <cell r="E31">
            <v>0.57166614498010748</v>
          </cell>
        </row>
        <row r="32">
          <cell r="E32">
            <v>0.54562946162858716</v>
          </cell>
        </row>
        <row r="33">
          <cell r="E33">
            <v>0.60842907953920744</v>
          </cell>
        </row>
        <row r="34">
          <cell r="E34">
            <v>0.33410327576209758</v>
          </cell>
        </row>
        <row r="35">
          <cell r="E35">
            <v>0.18374390748001143</v>
          </cell>
        </row>
        <row r="36">
          <cell r="E36">
            <v>0.52014418377656468</v>
          </cell>
        </row>
        <row r="37">
          <cell r="E37">
            <v>0.90786632704102799</v>
          </cell>
        </row>
        <row r="38">
          <cell r="E38">
            <v>0.46212509143471969</v>
          </cell>
        </row>
        <row r="39">
          <cell r="E39">
            <v>0.85600493602504069</v>
          </cell>
        </row>
        <row r="40">
          <cell r="E40">
            <v>0.30021478945389152</v>
          </cell>
        </row>
        <row r="41">
          <cell r="E41">
            <v>0.30618596123649655</v>
          </cell>
        </row>
        <row r="42">
          <cell r="E42">
            <v>9.0694295153718699E-2</v>
          </cell>
        </row>
        <row r="43">
          <cell r="E43">
            <v>0.19560066340798207</v>
          </cell>
        </row>
        <row r="44">
          <cell r="E44">
            <v>0.24127923443314667</v>
          </cell>
        </row>
        <row r="45">
          <cell r="E45">
            <v>5.8710508421209884E-3</v>
          </cell>
        </row>
        <row r="46">
          <cell r="E46">
            <v>0.74614160062357071</v>
          </cell>
        </row>
        <row r="47">
          <cell r="E47">
            <v>0.29262517863539789</v>
          </cell>
        </row>
        <row r="48">
          <cell r="E48">
            <v>0.40784743274681523</v>
          </cell>
        </row>
        <row r="49">
          <cell r="E49">
            <v>0.29022699897688342</v>
          </cell>
        </row>
        <row r="50">
          <cell r="E50">
            <v>0.30526631824349082</v>
          </cell>
        </row>
        <row r="51">
          <cell r="E51">
            <v>0.30443650417525275</v>
          </cell>
        </row>
        <row r="52">
          <cell r="E52">
            <v>0.39592990663064265</v>
          </cell>
        </row>
        <row r="53">
          <cell r="E53">
            <v>0.3950228602817954</v>
          </cell>
        </row>
        <row r="54">
          <cell r="E54">
            <v>0.4429911308130256</v>
          </cell>
        </row>
        <row r="55">
          <cell r="E55">
            <v>0.69692922706317206</v>
          </cell>
        </row>
        <row r="56">
          <cell r="E56">
            <v>0.70085734940279798</v>
          </cell>
        </row>
        <row r="57">
          <cell r="E57">
            <v>1.4067639393776585</v>
          </cell>
        </row>
        <row r="58">
          <cell r="E58">
            <v>0.39823515641359525</v>
          </cell>
        </row>
        <row r="59">
          <cell r="E59">
            <v>0.3639300485856623</v>
          </cell>
        </row>
        <row r="60">
          <cell r="E60">
            <v>0.23768514175138236</v>
          </cell>
        </row>
        <row r="61">
          <cell r="E61">
            <v>0.8213074291657263</v>
          </cell>
        </row>
        <row r="62">
          <cell r="E62">
            <v>0.36612808841204303</v>
          </cell>
        </row>
        <row r="63">
          <cell r="E63">
            <v>0.18780256734148806</v>
          </cell>
        </row>
        <row r="64">
          <cell r="E64">
            <v>0.94918744565646374</v>
          </cell>
        </row>
        <row r="65">
          <cell r="E65">
            <v>0.59686960153778446</v>
          </cell>
        </row>
        <row r="66">
          <cell r="E66">
            <v>0.76577486034031972</v>
          </cell>
        </row>
        <row r="67">
          <cell r="E67">
            <v>0.32099479844976109</v>
          </cell>
        </row>
        <row r="68">
          <cell r="E68">
            <v>0.59893620917777546</v>
          </cell>
        </row>
        <row r="69">
          <cell r="E69">
            <v>0.47509234315152815</v>
          </cell>
        </row>
        <row r="70">
          <cell r="E70">
            <v>0.61279307780549308</v>
          </cell>
        </row>
        <row r="71">
          <cell r="E71">
            <v>0.25739307550109952</v>
          </cell>
        </row>
        <row r="72">
          <cell r="E72">
            <v>0.3258790441526907</v>
          </cell>
        </row>
        <row r="73">
          <cell r="E73">
            <v>0.37294360587113945</v>
          </cell>
        </row>
        <row r="74">
          <cell r="E74">
            <v>0.41566751468435842</v>
          </cell>
        </row>
        <row r="75">
          <cell r="E75">
            <v>0.36045746802246409</v>
          </cell>
        </row>
        <row r="76">
          <cell r="E76">
            <v>3.2522516000533179E-2</v>
          </cell>
        </row>
        <row r="77">
          <cell r="E77">
            <v>0.32442417082421332</v>
          </cell>
        </row>
        <row r="78">
          <cell r="E78">
            <v>0.3154235870296408</v>
          </cell>
        </row>
        <row r="79">
          <cell r="E79">
            <v>0.31311330359466727</v>
          </cell>
        </row>
        <row r="80">
          <cell r="E80">
            <v>0.21743547220113429</v>
          </cell>
        </row>
        <row r="81">
          <cell r="E81">
            <v>0.14030288293761758</v>
          </cell>
        </row>
        <row r="82">
          <cell r="E82">
            <v>0.28473849776799265</v>
          </cell>
        </row>
        <row r="83">
          <cell r="E83">
            <v>2.5829951723873982E-2</v>
          </cell>
        </row>
        <row r="84">
          <cell r="E84">
            <v>0.29678036980519584</v>
          </cell>
        </row>
        <row r="85">
          <cell r="E85">
            <v>0.35855950564067901</v>
          </cell>
        </row>
        <row r="86">
          <cell r="E86">
            <v>0.30290003687577099</v>
          </cell>
        </row>
        <row r="87">
          <cell r="E87">
            <v>0.39808806446161527</v>
          </cell>
        </row>
        <row r="88">
          <cell r="E88">
            <v>0.59371650369716222</v>
          </cell>
        </row>
        <row r="89">
          <cell r="E89">
            <v>0.57234395372017866</v>
          </cell>
        </row>
        <row r="90">
          <cell r="E90">
            <v>0.86301971684579082</v>
          </cell>
        </row>
        <row r="91">
          <cell r="E91">
            <v>0.37026126547486032</v>
          </cell>
        </row>
        <row r="92">
          <cell r="E92">
            <v>0.69453417954896512</v>
          </cell>
        </row>
        <row r="93">
          <cell r="E93">
            <v>0.22542757183194814</v>
          </cell>
        </row>
        <row r="94">
          <cell r="E94">
            <v>0.67109303037221346</v>
          </cell>
        </row>
        <row r="95">
          <cell r="E95">
            <v>0.83928095175014172</v>
          </cell>
        </row>
      </sheetData>
      <sheetData sheetId="13"/>
      <sheetData sheetId="14"/>
      <sheetData sheetId="15"/>
      <sheetData sheetId="16">
        <row r="2">
          <cell r="C2">
            <v>5.6334524668553806E-2</v>
          </cell>
          <cell r="D2">
            <v>0.26016972720612441</v>
          </cell>
        </row>
        <row r="3">
          <cell r="C3">
            <v>0.14422294145208617</v>
          </cell>
          <cell r="D3">
            <v>0.55205589003350719</v>
          </cell>
        </row>
        <row r="4">
          <cell r="C4">
            <v>-0.36718258170208184</v>
          </cell>
          <cell r="D4">
            <v>0.99646754707132523</v>
          </cell>
        </row>
        <row r="5">
          <cell r="C5">
            <v>0.16730567243824646</v>
          </cell>
          <cell r="D5">
            <v>0.64186618780593174</v>
          </cell>
        </row>
        <row r="6">
          <cell r="C6">
            <v>0.1284901839770943</v>
          </cell>
          <cell r="D6">
            <v>0.81545964045901731</v>
          </cell>
        </row>
        <row r="7">
          <cell r="C7">
            <v>9.1165324018322391E-2</v>
          </cell>
          <cell r="D7">
            <v>0.69033802546056711</v>
          </cell>
        </row>
        <row r="8">
          <cell r="C8">
            <v>0.11242346507589568</v>
          </cell>
          <cell r="D8">
            <v>0.72650876391782571</v>
          </cell>
        </row>
        <row r="9">
          <cell r="C9">
            <v>9.7813108396503909E-2</v>
          </cell>
          <cell r="D9">
            <v>0.73358899174679859</v>
          </cell>
        </row>
        <row r="10">
          <cell r="C10">
            <v>0.14566001091751701</v>
          </cell>
          <cell r="D10">
            <v>0.56109877144088494</v>
          </cell>
        </row>
        <row r="11">
          <cell r="C11">
            <v>0.24731986590461932</v>
          </cell>
          <cell r="D11">
            <v>0.24584810145169</v>
          </cell>
        </row>
        <row r="12">
          <cell r="C12">
            <v>0.13346324081446648</v>
          </cell>
          <cell r="D12">
            <v>0.74953232783615742</v>
          </cell>
        </row>
        <row r="13">
          <cell r="C13">
            <v>0.14708442590964979</v>
          </cell>
          <cell r="D13">
            <v>0.63024855677422931</v>
          </cell>
        </row>
        <row r="14">
          <cell r="C14">
            <v>0.1698539227799756</v>
          </cell>
          <cell r="D14">
            <v>0.72659452903983934</v>
          </cell>
        </row>
        <row r="15">
          <cell r="C15">
            <v>0.15401079666199044</v>
          </cell>
          <cell r="D15">
            <v>0.60284870438555882</v>
          </cell>
        </row>
        <row r="16">
          <cell r="C16">
            <v>0.15219360765722542</v>
          </cell>
          <cell r="D16">
            <v>0.74795337273216433</v>
          </cell>
        </row>
        <row r="17">
          <cell r="C17">
            <v>0.17904217450125054</v>
          </cell>
          <cell r="D17">
            <v>0.70592698356322403</v>
          </cell>
        </row>
        <row r="18">
          <cell r="C18">
            <v>0.13399234336985921</v>
          </cell>
          <cell r="D18">
            <v>0.63120876176357943</v>
          </cell>
        </row>
        <row r="19">
          <cell r="C19">
            <v>0.15459574781393212</v>
          </cell>
          <cell r="D19">
            <v>0.66527348470311409</v>
          </cell>
        </row>
        <row r="20">
          <cell r="C20">
            <v>0.1346193475163229</v>
          </cell>
          <cell r="D20">
            <v>0.36561626791846602</v>
          </cell>
        </row>
        <row r="21">
          <cell r="C21">
            <v>0.16203687158794108</v>
          </cell>
          <cell r="D21">
            <v>0.54649522891322633</v>
          </cell>
        </row>
        <row r="22">
          <cell r="C22">
            <v>0.34074969243364617</v>
          </cell>
          <cell r="D22">
            <v>0.74257173860384262</v>
          </cell>
        </row>
        <row r="23">
          <cell r="C23">
            <v>0.11261441512209489</v>
          </cell>
          <cell r="D23">
            <v>0.51278893415509175</v>
          </cell>
        </row>
        <row r="24">
          <cell r="C24">
            <v>0.15311078720268695</v>
          </cell>
          <cell r="D24">
            <v>0.85996910193226106</v>
          </cell>
        </row>
        <row r="25">
          <cell r="C25">
            <v>-1.265233660853342E-2</v>
          </cell>
          <cell r="D25">
            <v>0.99825307555852749</v>
          </cell>
        </row>
        <row r="26">
          <cell r="C26">
            <v>0.12595871454134275</v>
          </cell>
          <cell r="D26">
            <v>0.25685632083697307</v>
          </cell>
        </row>
        <row r="27">
          <cell r="C27">
            <v>3.5086827411427837E-2</v>
          </cell>
          <cell r="D27">
            <v>0.19098882883364987</v>
          </cell>
        </row>
        <row r="28">
          <cell r="C28">
            <v>9.5887128097968344E-2</v>
          </cell>
          <cell r="D28">
            <v>0.49193771302522094</v>
          </cell>
        </row>
        <row r="29">
          <cell r="C29">
            <v>0.14649401337524795</v>
          </cell>
          <cell r="D29">
            <v>0.7780749776837621</v>
          </cell>
        </row>
        <row r="30">
          <cell r="C30">
            <v>0.13300111722461752</v>
          </cell>
          <cell r="D30">
            <v>0.68136401140707825</v>
          </cell>
        </row>
        <row r="31">
          <cell r="C31">
            <v>0.1044615500795243</v>
          </cell>
          <cell r="D31">
            <v>0.42833385501989252</v>
          </cell>
        </row>
        <row r="32">
          <cell r="C32">
            <v>4.7601360391532309E-2</v>
          </cell>
          <cell r="D32">
            <v>0.45437053837141284</v>
          </cell>
        </row>
        <row r="33">
          <cell r="C33">
            <v>9.4771173784805332E-2</v>
          </cell>
          <cell r="D33">
            <v>0.39157092046079256</v>
          </cell>
        </row>
        <row r="34">
          <cell r="C34">
            <v>0.14075971437753482</v>
          </cell>
          <cell r="D34">
            <v>0.66589672423790236</v>
          </cell>
        </row>
        <row r="35">
          <cell r="C35">
            <v>0.25274874530024904</v>
          </cell>
          <cell r="D35">
            <v>0.81625609251998854</v>
          </cell>
        </row>
        <row r="36">
          <cell r="C36">
            <v>0.13577258792645006</v>
          </cell>
          <cell r="D36">
            <v>0.47985581622343532</v>
          </cell>
        </row>
        <row r="37">
          <cell r="C37">
            <v>6.4923842770230944E-2</v>
          </cell>
          <cell r="D37">
            <v>9.2133672958972013E-2</v>
          </cell>
        </row>
        <row r="38">
          <cell r="C38">
            <v>0.20629354221873236</v>
          </cell>
          <cell r="D38">
            <v>0.53787490856528031</v>
          </cell>
        </row>
        <row r="39">
          <cell r="C39">
            <v>0.10262739570706697</v>
          </cell>
          <cell r="D39">
            <v>0.14399506397495931</v>
          </cell>
        </row>
        <row r="40">
          <cell r="C40">
            <v>0.16348558040316163</v>
          </cell>
          <cell r="D40">
            <v>0.69978521054610843</v>
          </cell>
        </row>
        <row r="41">
          <cell r="C41">
            <v>0.13342208845949446</v>
          </cell>
          <cell r="D41">
            <v>0.69381403876350345</v>
          </cell>
        </row>
        <row r="42">
          <cell r="C42">
            <v>0.17999214051230031</v>
          </cell>
          <cell r="D42">
            <v>0.90930570484628126</v>
          </cell>
        </row>
        <row r="43">
          <cell r="C43">
            <v>0.19815443637580782</v>
          </cell>
          <cell r="D43">
            <v>0.8043993365920179</v>
          </cell>
        </row>
        <row r="44">
          <cell r="C44">
            <v>0.21110755217561589</v>
          </cell>
          <cell r="D44">
            <v>0.75872076556685331</v>
          </cell>
        </row>
        <row r="45">
          <cell r="C45">
            <v>-0.16374474417089072</v>
          </cell>
          <cell r="D45">
            <v>0.99412894915787897</v>
          </cell>
        </row>
        <row r="46">
          <cell r="C46">
            <v>0.19055253540112985</v>
          </cell>
          <cell r="D46">
            <v>0.25385839937642929</v>
          </cell>
        </row>
        <row r="47">
          <cell r="C47">
            <v>0.15923208270441835</v>
          </cell>
          <cell r="D47">
            <v>0.70737482136460206</v>
          </cell>
        </row>
        <row r="48">
          <cell r="C48">
            <v>0.121914624481884</v>
          </cell>
          <cell r="D48">
            <v>0.59215256725318477</v>
          </cell>
        </row>
        <row r="49">
          <cell r="C49">
            <v>0.10046975837541092</v>
          </cell>
          <cell r="D49">
            <v>0.70977300102311658</v>
          </cell>
        </row>
        <row r="50">
          <cell r="C50">
            <v>0.12910710761410696</v>
          </cell>
          <cell r="D50">
            <v>0.69473368175650918</v>
          </cell>
        </row>
        <row r="51">
          <cell r="C51">
            <v>0.19669362681068706</v>
          </cell>
          <cell r="D51">
            <v>0.69556349582474719</v>
          </cell>
        </row>
        <row r="52">
          <cell r="C52">
            <v>0.12508112494594351</v>
          </cell>
          <cell r="D52">
            <v>0.60407009336935735</v>
          </cell>
        </row>
        <row r="53">
          <cell r="C53">
            <v>0.18898914435652781</v>
          </cell>
          <cell r="D53">
            <v>0.60497713971820466</v>
          </cell>
        </row>
        <row r="54">
          <cell r="C54">
            <v>8.2903470480953631E-2</v>
          </cell>
          <cell r="D54">
            <v>0.55700886918697434</v>
          </cell>
        </row>
        <row r="55">
          <cell r="C55">
            <v>0.11643379661884692</v>
          </cell>
          <cell r="D55">
            <v>0.30307077293682794</v>
          </cell>
        </row>
        <row r="56">
          <cell r="C56">
            <v>6.110660102629234E-2</v>
          </cell>
          <cell r="D56">
            <v>0.29914265059720202</v>
          </cell>
        </row>
        <row r="57">
          <cell r="C57">
            <v>6.9106612594938582E-2</v>
          </cell>
          <cell r="D57">
            <v>-0.40676393937765853</v>
          </cell>
        </row>
        <row r="58">
          <cell r="C58">
            <v>8.8136677099855093E-2</v>
          </cell>
          <cell r="D58">
            <v>0.6017648435864047</v>
          </cell>
        </row>
        <row r="59">
          <cell r="C59">
            <v>0.1442633020178167</v>
          </cell>
          <cell r="D59">
            <v>0.63606995141433775</v>
          </cell>
        </row>
        <row r="60">
          <cell r="C60">
            <v>0.16841966723729962</v>
          </cell>
          <cell r="D60">
            <v>0.76231485824861767</v>
          </cell>
        </row>
        <row r="61">
          <cell r="C61">
            <v>7.8603598106160993E-2</v>
          </cell>
          <cell r="D61">
            <v>0.1786925708342737</v>
          </cell>
        </row>
        <row r="62">
          <cell r="C62">
            <v>0.17037403464684808</v>
          </cell>
          <cell r="D62">
            <v>0.63387191158795697</v>
          </cell>
        </row>
        <row r="63">
          <cell r="C63">
            <v>0.16256326716511255</v>
          </cell>
          <cell r="D63">
            <v>0.81219743265851196</v>
          </cell>
        </row>
        <row r="64">
          <cell r="C64">
            <v>6.8193071154629525E-2</v>
          </cell>
          <cell r="D64">
            <v>5.0812554343536265E-2</v>
          </cell>
        </row>
        <row r="65">
          <cell r="C65">
            <v>0.11851272667617617</v>
          </cell>
          <cell r="D65">
            <v>0.40313039846221554</v>
          </cell>
        </row>
        <row r="66">
          <cell r="C66">
            <v>3.829819330350042E-2</v>
          </cell>
          <cell r="D66">
            <v>0.23422513965968028</v>
          </cell>
        </row>
        <row r="67">
          <cell r="C67">
            <v>7.3275206837733878E-2</v>
          </cell>
          <cell r="D67">
            <v>0.67900520155023891</v>
          </cell>
        </row>
        <row r="68">
          <cell r="C68">
            <v>9.6111659540272759E-2</v>
          </cell>
          <cell r="D68">
            <v>0.40106379082222454</v>
          </cell>
        </row>
        <row r="69">
          <cell r="C69">
            <v>7.3200548690673856E-2</v>
          </cell>
          <cell r="D69">
            <v>0.52490765684847185</v>
          </cell>
        </row>
        <row r="70">
          <cell r="C70">
            <v>0.45895223265992258</v>
          </cell>
          <cell r="D70">
            <v>0.38720692219450692</v>
          </cell>
        </row>
        <row r="71">
          <cell r="C71">
            <v>0.24494728006344124</v>
          </cell>
          <cell r="D71">
            <v>0.74260692449890042</v>
          </cell>
        </row>
        <row r="72">
          <cell r="C72">
            <v>0.64974135808072853</v>
          </cell>
          <cell r="D72">
            <v>0.67412095584730936</v>
          </cell>
        </row>
        <row r="73">
          <cell r="C73">
            <v>0.12644830240753238</v>
          </cell>
          <cell r="D73">
            <v>0.62705639412886049</v>
          </cell>
        </row>
        <row r="74">
          <cell r="C74">
            <v>0.12899801857561807</v>
          </cell>
          <cell r="D74">
            <v>0.58433248531564153</v>
          </cell>
        </row>
        <row r="75">
          <cell r="C75">
            <v>0.16067738837881854</v>
          </cell>
          <cell r="D75">
            <v>0.63954253197753586</v>
          </cell>
        </row>
        <row r="76">
          <cell r="C76">
            <v>0.26676580054911231</v>
          </cell>
          <cell r="D76">
            <v>0.96747748399946687</v>
          </cell>
        </row>
        <row r="77">
          <cell r="C77">
            <v>0.15794563940814463</v>
          </cell>
          <cell r="D77">
            <v>0.67557582917578674</v>
          </cell>
        </row>
        <row r="78">
          <cell r="C78">
            <v>0.13245205972686916</v>
          </cell>
          <cell r="D78">
            <v>0.6845764129703592</v>
          </cell>
        </row>
        <row r="79">
          <cell r="C79">
            <v>0.24746319903471461</v>
          </cell>
          <cell r="D79">
            <v>0.68688669640533273</v>
          </cell>
        </row>
        <row r="80">
          <cell r="C80">
            <v>0.30344710979365302</v>
          </cell>
          <cell r="D80">
            <v>0.78256452779886576</v>
          </cell>
        </row>
        <row r="81">
          <cell r="C81">
            <v>0.35377869526900318</v>
          </cell>
          <cell r="D81">
            <v>0.85969711706238239</v>
          </cell>
        </row>
        <row r="82">
          <cell r="C82">
            <v>0.24505029663138542</v>
          </cell>
          <cell r="D82">
            <v>0.71526150223200735</v>
          </cell>
        </row>
        <row r="83">
          <cell r="C83">
            <v>0.31973169493381992</v>
          </cell>
          <cell r="D83">
            <v>0.97417004827612597</v>
          </cell>
        </row>
        <row r="84">
          <cell r="C84">
            <v>4.2542409840140287E-2</v>
          </cell>
          <cell r="D84">
            <v>0.70321963019480416</v>
          </cell>
        </row>
        <row r="85">
          <cell r="C85">
            <v>0.20467745730681164</v>
          </cell>
          <cell r="D85">
            <v>0.64144049435932105</v>
          </cell>
        </row>
        <row r="86">
          <cell r="C86">
            <v>0.25574593205064644</v>
          </cell>
          <cell r="D86">
            <v>0.69709996312422895</v>
          </cell>
        </row>
        <row r="87">
          <cell r="C87">
            <v>0.13991216312529939</v>
          </cell>
          <cell r="D87">
            <v>0.60191193553838473</v>
          </cell>
        </row>
        <row r="88">
          <cell r="C88">
            <v>0.1137364459095792</v>
          </cell>
          <cell r="D88">
            <v>0.40628349630283778</v>
          </cell>
        </row>
        <row r="89">
          <cell r="C89">
            <v>0.12857456387641686</v>
          </cell>
          <cell r="D89">
            <v>0.42765604627982134</v>
          </cell>
        </row>
        <row r="90">
          <cell r="C90">
            <v>0.26171041088121882</v>
          </cell>
          <cell r="D90">
            <v>0.13698028315420918</v>
          </cell>
        </row>
        <row r="91">
          <cell r="C91">
            <v>0.17899732437239302</v>
          </cell>
          <cell r="D91">
            <v>0.62973873452513973</v>
          </cell>
        </row>
        <row r="92">
          <cell r="C92">
            <v>6.2059002699599582E-2</v>
          </cell>
          <cell r="D92">
            <v>0.30546582045103488</v>
          </cell>
        </row>
        <row r="93">
          <cell r="C93">
            <v>8.2152365739250041E-2</v>
          </cell>
          <cell r="D93">
            <v>0.77457242816805183</v>
          </cell>
        </row>
        <row r="94">
          <cell r="C94">
            <v>9.5275107751281632E-2</v>
          </cell>
          <cell r="D94">
            <v>0.32890696962778654</v>
          </cell>
        </row>
        <row r="95">
          <cell r="C95">
            <v>0.13217374847617697</v>
          </cell>
          <cell r="D95">
            <v>0.61399458380706351</v>
          </cell>
        </row>
      </sheetData>
      <sheetData sheetId="17">
        <row r="2">
          <cell r="D2">
            <v>-0.31313698055209749</v>
          </cell>
        </row>
        <row r="3">
          <cell r="D3">
            <v>0.58754651208492248</v>
          </cell>
        </row>
        <row r="4">
          <cell r="D4" t="str">
            <v>NA</v>
          </cell>
        </row>
        <row r="5">
          <cell r="D5">
            <v>0.56891468169475412</v>
          </cell>
        </row>
        <row r="6">
          <cell r="D6">
            <v>0.63730019540503957</v>
          </cell>
        </row>
        <row r="7">
          <cell r="D7">
            <v>0.83229043102503319</v>
          </cell>
        </row>
        <row r="8">
          <cell r="D8">
            <v>20.91188464781732</v>
          </cell>
        </row>
        <row r="9">
          <cell r="D9" t="str">
            <v>NA</v>
          </cell>
        </row>
        <row r="10">
          <cell r="D10">
            <v>6.1904632235447888E-4</v>
          </cell>
        </row>
        <row r="11">
          <cell r="D11">
            <v>0.2864594920560114</v>
          </cell>
        </row>
        <row r="12">
          <cell r="D12">
            <v>0.72883101237152792</v>
          </cell>
        </row>
        <row r="13">
          <cell r="D13">
            <v>-10.368075570850641</v>
          </cell>
        </row>
        <row r="14">
          <cell r="D14">
            <v>0.49692437860489486</v>
          </cell>
        </row>
        <row r="15">
          <cell r="D15">
            <v>0.41381989227101956</v>
          </cell>
        </row>
        <row r="16">
          <cell r="D16">
            <v>-5.6067087549653533E-2</v>
          </cell>
        </row>
        <row r="17">
          <cell r="D17">
            <v>0.86074387613751724</v>
          </cell>
        </row>
        <row r="18">
          <cell r="D18">
            <v>0.44861305514442557</v>
          </cell>
        </row>
        <row r="19">
          <cell r="D19">
            <v>0.56317247030465956</v>
          </cell>
        </row>
        <row r="20">
          <cell r="D20">
            <v>0.26446122755836421</v>
          </cell>
        </row>
        <row r="21">
          <cell r="D21">
            <v>0.34247507974849473</v>
          </cell>
        </row>
        <row r="22">
          <cell r="D22">
            <v>0.37029589006892605</v>
          </cell>
        </row>
        <row r="23">
          <cell r="D23">
            <v>0.63503321477779107</v>
          </cell>
        </row>
        <row r="24">
          <cell r="D24">
            <v>0.29352196818304338</v>
          </cell>
        </row>
        <row r="25">
          <cell r="D25">
            <v>2.4381763078636784</v>
          </cell>
        </row>
        <row r="26">
          <cell r="D26">
            <v>0.39181138458615739</v>
          </cell>
        </row>
        <row r="27">
          <cell r="D27">
            <v>2.0812911399498266</v>
          </cell>
        </row>
        <row r="28">
          <cell r="D28">
            <v>1.4178635843466945</v>
          </cell>
        </row>
        <row r="29">
          <cell r="D29">
            <v>1.4955966665729838</v>
          </cell>
        </row>
        <row r="30">
          <cell r="D30">
            <v>1.2898308301471106</v>
          </cell>
        </row>
        <row r="31">
          <cell r="D31">
            <v>1.1246550909575368</v>
          </cell>
        </row>
        <row r="32">
          <cell r="D32">
            <v>0.40921640343168736</v>
          </cell>
        </row>
        <row r="33">
          <cell r="D33">
            <v>1.6700786092131257</v>
          </cell>
        </row>
        <row r="34">
          <cell r="D34">
            <v>1.2140898629975267</v>
          </cell>
        </row>
        <row r="35">
          <cell r="D35">
            <v>0.86419036444801578</v>
          </cell>
        </row>
        <row r="36">
          <cell r="D36">
            <v>0.71164607179454664</v>
          </cell>
        </row>
        <row r="37">
          <cell r="D37">
            <v>1.0920850974540295</v>
          </cell>
        </row>
        <row r="38">
          <cell r="D38">
            <v>0.50491064562710208</v>
          </cell>
        </row>
        <row r="39">
          <cell r="D39">
            <v>1.0930763760367519</v>
          </cell>
        </row>
        <row r="40">
          <cell r="D40">
            <v>0.67700659651902129</v>
          </cell>
        </row>
        <row r="41">
          <cell r="D41">
            <v>0.55202368639829058</v>
          </cell>
        </row>
        <row r="42">
          <cell r="D42">
            <v>1.5091689507753934</v>
          </cell>
        </row>
        <row r="43">
          <cell r="D43">
            <v>0.34344940757981385</v>
          </cell>
        </row>
        <row r="44">
          <cell r="D44">
            <v>0.579658672600458</v>
          </cell>
        </row>
        <row r="45">
          <cell r="D45" t="str">
            <v>NA</v>
          </cell>
        </row>
        <row r="46">
          <cell r="D46">
            <v>0.18817924644022216</v>
          </cell>
        </row>
        <row r="47">
          <cell r="D47">
            <v>0.38855400092192804</v>
          </cell>
        </row>
        <row r="48">
          <cell r="D48">
            <v>-1.7377549196865977E-2</v>
          </cell>
        </row>
        <row r="49">
          <cell r="D49">
            <v>8.542668537774542E-2</v>
          </cell>
        </row>
        <row r="50">
          <cell r="D50">
            <v>0.25172975192205382</v>
          </cell>
        </row>
        <row r="51">
          <cell r="D51">
            <v>0.23791955717262156</v>
          </cell>
        </row>
        <row r="52">
          <cell r="D52">
            <v>0.5655173228209267</v>
          </cell>
        </row>
        <row r="53">
          <cell r="D53">
            <v>0.47573817269040886</v>
          </cell>
        </row>
        <row r="54">
          <cell r="D54">
            <v>0.90161813087848386</v>
          </cell>
        </row>
        <row r="55">
          <cell r="D55">
            <v>-5.1694619604550143E-2</v>
          </cell>
        </row>
        <row r="56">
          <cell r="D56">
            <v>0.30345448846147866</v>
          </cell>
        </row>
        <row r="57">
          <cell r="D57">
            <v>0.37103529425471748</v>
          </cell>
        </row>
        <row r="58">
          <cell r="D58">
            <v>0.7043821076605945</v>
          </cell>
        </row>
        <row r="59">
          <cell r="D59">
            <v>0.74036584123672289</v>
          </cell>
        </row>
        <row r="60">
          <cell r="D60">
            <v>0.36016441240057667</v>
          </cell>
        </row>
        <row r="61">
          <cell r="D61">
            <v>1.0669555623198914</v>
          </cell>
        </row>
        <row r="62">
          <cell r="D62">
            <v>0.66069086913255393</v>
          </cell>
        </row>
        <row r="63">
          <cell r="D63">
            <v>0.38898874099598818</v>
          </cell>
        </row>
        <row r="64">
          <cell r="D64">
            <v>0.3720951575429155</v>
          </cell>
        </row>
        <row r="65">
          <cell r="D65">
            <v>0.64794952486967616</v>
          </cell>
        </row>
        <row r="66">
          <cell r="D66">
            <v>1.0431119612005659</v>
          </cell>
        </row>
        <row r="67">
          <cell r="D67">
            <v>1.0969013662812643</v>
          </cell>
        </row>
        <row r="68">
          <cell r="D68">
            <v>0.2584438190598799</v>
          </cell>
        </row>
        <row r="69">
          <cell r="D69">
            <v>0.40269804302958923</v>
          </cell>
        </row>
        <row r="70">
          <cell r="D70">
            <v>1.7124557018564301E-2</v>
          </cell>
        </row>
        <row r="71">
          <cell r="D71">
            <v>0.61004459964309332</v>
          </cell>
        </row>
        <row r="72">
          <cell r="D72">
            <v>0.49559855333708941</v>
          </cell>
        </row>
        <row r="73">
          <cell r="D73">
            <v>1.0950181950750613</v>
          </cell>
        </row>
        <row r="74">
          <cell r="D74">
            <v>0.20783084392898835</v>
          </cell>
        </row>
        <row r="75">
          <cell r="D75">
            <v>0.87831947312853242</v>
          </cell>
        </row>
        <row r="76">
          <cell r="D76">
            <v>5.4319421096697535</v>
          </cell>
        </row>
        <row r="77">
          <cell r="D77">
            <v>0.20919559946357136</v>
          </cell>
        </row>
        <row r="78">
          <cell r="D78">
            <v>0.60510239145194167</v>
          </cell>
        </row>
        <row r="79">
          <cell r="D79">
            <v>0.62747999772547103</v>
          </cell>
        </row>
        <row r="80">
          <cell r="D80">
            <v>0.49118195042156093</v>
          </cell>
        </row>
        <row r="81">
          <cell r="D81">
            <v>0.22479397392482642</v>
          </cell>
        </row>
        <row r="82">
          <cell r="D82">
            <v>7.954861416889189E-2</v>
          </cell>
        </row>
        <row r="83">
          <cell r="D83">
            <v>0.44292636822112397</v>
          </cell>
        </row>
        <row r="84">
          <cell r="D84">
            <v>40.04631641994748</v>
          </cell>
        </row>
        <row r="85">
          <cell r="D85">
            <v>0.93669942798490824</v>
          </cell>
        </row>
        <row r="86">
          <cell r="D86">
            <v>0.49650615174719803</v>
          </cell>
        </row>
        <row r="87">
          <cell r="D87">
            <v>-5.7445368848971202E-2</v>
          </cell>
        </row>
        <row r="88">
          <cell r="D88">
            <v>0.85861006465105749</v>
          </cell>
        </row>
        <row r="89">
          <cell r="D89">
            <v>-4.6359689423483043E-2</v>
          </cell>
        </row>
        <row r="90">
          <cell r="D90">
            <v>-0.13177433879295558</v>
          </cell>
        </row>
        <row r="91">
          <cell r="D91">
            <v>0.56549207509158195</v>
          </cell>
        </row>
        <row r="92">
          <cell r="D92">
            <v>1.1155053451745633</v>
          </cell>
        </row>
        <row r="93">
          <cell r="D93">
            <v>1.596243911763118</v>
          </cell>
        </row>
        <row r="94">
          <cell r="D94">
            <v>1.0318766377180137</v>
          </cell>
        </row>
        <row r="95">
          <cell r="D95">
            <v>1.2542006583095577</v>
          </cell>
        </row>
      </sheetData>
      <sheetData sheetId="18"/>
      <sheetData sheetId="19">
        <row r="3">
          <cell r="D3">
            <v>8.6036707317073177E-2</v>
          </cell>
        </row>
        <row r="4">
          <cell r="D4">
            <v>-8.8139663865546239E-2</v>
          </cell>
        </row>
        <row r="5">
          <cell r="D5">
            <v>1.8564522968197879E-2</v>
          </cell>
        </row>
        <row r="6">
          <cell r="D6">
            <v>8.029980392156863E-2</v>
          </cell>
        </row>
        <row r="7">
          <cell r="D7">
            <v>4.3832314814814824E-2</v>
          </cell>
        </row>
        <row r="8">
          <cell r="D8">
            <v>8.7159472727272702E-2</v>
          </cell>
        </row>
        <row r="9">
          <cell r="D9">
            <v>9.0462953846153923E-2</v>
          </cell>
        </row>
        <row r="10">
          <cell r="D10">
            <v>5.5807803468208066E-2</v>
          </cell>
        </row>
        <row r="11">
          <cell r="D11">
            <v>7.5315166666666669E-2</v>
          </cell>
        </row>
        <row r="12">
          <cell r="D12">
            <v>1.8059655172413792E-2</v>
          </cell>
        </row>
        <row r="13">
          <cell r="D13">
            <v>0.15494220183486232</v>
          </cell>
        </row>
        <row r="14">
          <cell r="D14">
            <v>6.3021604584527269E-2</v>
          </cell>
        </row>
        <row r="15">
          <cell r="D15">
            <v>5.9959058219178102E-2</v>
          </cell>
        </row>
        <row r="16">
          <cell r="D16">
            <v>3.6265853658536587E-2</v>
          </cell>
        </row>
        <row r="17">
          <cell r="D17">
            <v>0.10183789137380189</v>
          </cell>
        </row>
        <row r="18">
          <cell r="D18">
            <v>6.0420952380952374E-2</v>
          </cell>
        </row>
        <row r="19">
          <cell r="D19">
            <v>9.5149849498327707E-2</v>
          </cell>
        </row>
        <row r="20">
          <cell r="D20">
            <v>0.10247798165137617</v>
          </cell>
        </row>
        <row r="21">
          <cell r="D21">
            <v>8.8413371266002849E-2</v>
          </cell>
        </row>
        <row r="22">
          <cell r="D22">
            <v>4.2003705179282882E-2</v>
          </cell>
        </row>
        <row r="23">
          <cell r="D23">
            <v>7.4234515050167052E-2</v>
          </cell>
        </row>
        <row r="24">
          <cell r="D24">
            <v>7.9333945312500001E-2</v>
          </cell>
        </row>
        <row r="25">
          <cell r="D25">
            <v>0.2725598423423426</v>
          </cell>
        </row>
        <row r="26">
          <cell r="D26">
            <v>0.17784532959326782</v>
          </cell>
        </row>
        <row r="27">
          <cell r="D27">
            <v>7.7773846153846152E-2</v>
          </cell>
        </row>
        <row r="28">
          <cell r="D28">
            <v>8.5675447530864327E-2</v>
          </cell>
        </row>
        <row r="29">
          <cell r="D29">
            <v>2.5422352941176497E-2</v>
          </cell>
        </row>
        <row r="30">
          <cell r="D30">
            <v>7.3061757925072038E-2</v>
          </cell>
        </row>
        <row r="31">
          <cell r="D31">
            <v>3.4862134831460639E-2</v>
          </cell>
        </row>
        <row r="32">
          <cell r="D32">
            <v>7.0556876513317157E-2</v>
          </cell>
        </row>
        <row r="33">
          <cell r="D33">
            <v>8.4489025641025658E-2</v>
          </cell>
        </row>
        <row r="34">
          <cell r="D34">
            <v>0.10532477663230227</v>
          </cell>
        </row>
        <row r="35">
          <cell r="D35">
            <v>9.0521556802244107E-2</v>
          </cell>
        </row>
        <row r="36">
          <cell r="D36">
            <v>9.1944176954732448E-2</v>
          </cell>
        </row>
        <row r="37">
          <cell r="D37">
            <v>5.1334159292035393E-2</v>
          </cell>
        </row>
        <row r="38">
          <cell r="D38">
            <v>9.0682851239669432E-2</v>
          </cell>
        </row>
        <row r="39">
          <cell r="D39">
            <v>0.16406504273504274</v>
          </cell>
        </row>
        <row r="40">
          <cell r="D40">
            <v>0.16028147505422979</v>
          </cell>
        </row>
        <row r="41">
          <cell r="D41">
            <v>0.16206891666666667</v>
          </cell>
        </row>
        <row r="42">
          <cell r="D42">
            <v>0.1606727027027027</v>
          </cell>
        </row>
        <row r="43">
          <cell r="D43">
            <v>0.11534844444444445</v>
          </cell>
        </row>
        <row r="44">
          <cell r="D44">
            <v>8.7154090909090889E-2</v>
          </cell>
        </row>
        <row r="45">
          <cell r="D45">
            <v>-9.0182071129707067E-2</v>
          </cell>
        </row>
        <row r="46">
          <cell r="D46">
            <v>4.7499704142011802E-2</v>
          </cell>
        </row>
        <row r="47">
          <cell r="D47">
            <v>0.11343000000000003</v>
          </cell>
        </row>
        <row r="48">
          <cell r="D48">
            <v>6.4144114285714315E-2</v>
          </cell>
        </row>
        <row r="49">
          <cell r="D49">
            <v>0.10039365217391301</v>
          </cell>
        </row>
        <row r="50">
          <cell r="D50">
            <v>5.419900523560213E-2</v>
          </cell>
        </row>
        <row r="51">
          <cell r="D51">
            <v>0.28122437007873996</v>
          </cell>
        </row>
        <row r="52">
          <cell r="D52">
            <v>6.8930230326295569E-2</v>
          </cell>
        </row>
        <row r="53">
          <cell r="D53">
            <v>0.18623434237995837</v>
          </cell>
        </row>
        <row r="54">
          <cell r="D54">
            <v>2.1415636363636352E-2</v>
          </cell>
        </row>
        <row r="55">
          <cell r="D55">
            <v>7.3212051282051285E-2</v>
          </cell>
        </row>
        <row r="56">
          <cell r="D56">
            <v>0.21185864306784669</v>
          </cell>
        </row>
        <row r="57">
          <cell r="D57">
            <v>0.15152177966101696</v>
          </cell>
        </row>
        <row r="58">
          <cell r="D58">
            <v>5.6600436046511715E-2</v>
          </cell>
        </row>
        <row r="59">
          <cell r="D59">
            <v>5.4368757763975165E-2</v>
          </cell>
        </row>
        <row r="60">
          <cell r="D60">
            <v>5.4721549295774691E-2</v>
          </cell>
        </row>
        <row r="61">
          <cell r="D61">
            <v>7.4076877828054402E-2</v>
          </cell>
        </row>
        <row r="62">
          <cell r="D62">
            <v>0.2520170334928229</v>
          </cell>
        </row>
        <row r="63">
          <cell r="D63">
            <v>-1.9352941176470611E-4</v>
          </cell>
        </row>
        <row r="64">
          <cell r="D64">
            <v>8.091073476702508E-2</v>
          </cell>
        </row>
        <row r="65">
          <cell r="D65">
            <v>8.4795518341307816E-2</v>
          </cell>
        </row>
        <row r="66">
          <cell r="D66">
            <v>7.2854982817869465E-2</v>
          </cell>
        </row>
        <row r="67">
          <cell r="D67">
            <v>7.1725042372881354E-2</v>
          </cell>
        </row>
        <row r="68">
          <cell r="D68">
            <v>1.2982410714285712E-2</v>
          </cell>
        </row>
        <row r="69">
          <cell r="D69">
            <v>6.4758709677419354E-2</v>
          </cell>
        </row>
        <row r="70">
          <cell r="D70">
            <v>-2.1277744360902254E-2</v>
          </cell>
        </row>
        <row r="71">
          <cell r="D71">
            <v>6.1299259259259255E-2</v>
          </cell>
        </row>
        <row r="72">
          <cell r="D72">
            <v>5.1924179104477622E-2</v>
          </cell>
        </row>
        <row r="73">
          <cell r="D73">
            <v>8.1909833333333418E-2</v>
          </cell>
        </row>
        <row r="74">
          <cell r="D74">
            <v>-2.4461977401129934E-2</v>
          </cell>
        </row>
        <row r="75">
          <cell r="D75">
            <v>3.5968741258741235E-2</v>
          </cell>
        </row>
        <row r="76">
          <cell r="D76">
            <v>0.14058596273291921</v>
          </cell>
        </row>
        <row r="77">
          <cell r="D77">
            <v>1.2613285302593657E-2</v>
          </cell>
        </row>
        <row r="78">
          <cell r="D78">
            <v>4.1099275362318846E-2</v>
          </cell>
        </row>
        <row r="79">
          <cell r="D79">
            <v>8.146102505694755E-2</v>
          </cell>
        </row>
        <row r="80">
          <cell r="D80">
            <v>0.11823534482758624</v>
          </cell>
        </row>
        <row r="81">
          <cell r="D81">
            <v>6.4884424460431661E-2</v>
          </cell>
        </row>
        <row r="82">
          <cell r="D82">
            <v>-3.1613387096774186E-2</v>
          </cell>
        </row>
        <row r="83">
          <cell r="D83">
            <v>0.12198917910447764</v>
          </cell>
        </row>
        <row r="84">
          <cell r="D84">
            <v>0.20920138888888901</v>
          </cell>
        </row>
        <row r="85">
          <cell r="D85">
            <v>0.145828258642766</v>
          </cell>
        </row>
        <row r="86">
          <cell r="D86">
            <v>0.12988216730038021</v>
          </cell>
        </row>
        <row r="87">
          <cell r="D87">
            <v>2.730985915492961E-3</v>
          </cell>
        </row>
        <row r="88">
          <cell r="D88">
            <v>3.4432005649717531E-2</v>
          </cell>
        </row>
        <row r="89">
          <cell r="D89">
            <v>8.0950975609756032E-2</v>
          </cell>
        </row>
        <row r="90">
          <cell r="D90">
            <v>3.0407058823529409E-2</v>
          </cell>
        </row>
        <row r="91">
          <cell r="D91">
            <v>8.5174356435643639E-2</v>
          </cell>
        </row>
        <row r="92">
          <cell r="D92">
            <v>-5.9933333333333811E-4</v>
          </cell>
        </row>
        <row r="93">
          <cell r="D93">
            <v>3.7452530120481942E-2</v>
          </cell>
        </row>
        <row r="94">
          <cell r="D94">
            <v>3.3780980392156865E-2</v>
          </cell>
        </row>
        <row r="95">
          <cell r="D95">
            <v>0.1109788</v>
          </cell>
        </row>
      </sheetData>
      <sheetData sheetId="20"/>
      <sheetData sheetId="21"/>
      <sheetData sheetId="22"/>
      <sheetData sheetId="23">
        <row r="3">
          <cell r="F3">
            <v>8.4543099547611134E-2</v>
          </cell>
          <cell r="J3">
            <v>8.8187898752127583E-2</v>
          </cell>
        </row>
        <row r="4">
          <cell r="F4">
            <v>7.4999464290287893E-2</v>
          </cell>
          <cell r="J4">
            <v>7.6020079162414239E-2</v>
          </cell>
        </row>
        <row r="5">
          <cell r="F5">
            <v>-0.21449240751555679</v>
          </cell>
          <cell r="J5">
            <v>-0.21794243408520517</v>
          </cell>
        </row>
        <row r="6">
          <cell r="F6">
            <v>0.13987576720981593</v>
          </cell>
          <cell r="J6">
            <v>0.14196742020145089</v>
          </cell>
        </row>
        <row r="7">
          <cell r="F7">
            <v>6.6427463400085623E-2</v>
          </cell>
          <cell r="J7">
            <v>6.8471847303878355E-2</v>
          </cell>
        </row>
        <row r="8">
          <cell r="F8">
            <v>5.687112926828853E-2</v>
          </cell>
          <cell r="J8">
            <v>5.797613668665412E-2</v>
          </cell>
        </row>
        <row r="9">
          <cell r="F9">
            <v>1.5071133131963795E-3</v>
          </cell>
          <cell r="J9">
            <v>1.6736924278596722E-3</v>
          </cell>
        </row>
        <row r="10">
          <cell r="F10">
            <v>1.0328958134624571E-4</v>
          </cell>
          <cell r="J10">
            <v>-1.0817144530146413E-3</v>
          </cell>
        </row>
        <row r="11">
          <cell r="F11">
            <v>0.21794915189633945</v>
          </cell>
          <cell r="J11">
            <v>0.21828449276979628</v>
          </cell>
        </row>
        <row r="12">
          <cell r="F12">
            <v>0.17190985297251421</v>
          </cell>
          <cell r="J12">
            <v>0.17241253195656203</v>
          </cell>
        </row>
        <row r="13">
          <cell r="F13">
            <v>0.15739832815923319</v>
          </cell>
          <cell r="J13">
            <v>0.15662202949102244</v>
          </cell>
        </row>
        <row r="14">
          <cell r="F14">
            <v>1.8452197655494426E-2</v>
          </cell>
          <cell r="J14">
            <v>1.9354410552105617E-2</v>
          </cell>
        </row>
        <row r="15">
          <cell r="F15">
            <v>0.11322914933881555</v>
          </cell>
          <cell r="J15">
            <v>0.11469694869580641</v>
          </cell>
        </row>
        <row r="16">
          <cell r="F16">
            <v>8.4161259092761648E-2</v>
          </cell>
          <cell r="J16">
            <v>8.6005375303710885E-2</v>
          </cell>
        </row>
        <row r="17">
          <cell r="F17">
            <v>0.19022318847102621</v>
          </cell>
          <cell r="J17">
            <v>0.19022629467515539</v>
          </cell>
        </row>
        <row r="18">
          <cell r="F18">
            <v>0.1254853150733761</v>
          </cell>
          <cell r="J18">
            <v>0.12735849459508572</v>
          </cell>
        </row>
        <row r="19">
          <cell r="F19">
            <v>0.1150904544943412</v>
          </cell>
          <cell r="J19">
            <v>0.11497133470922671</v>
          </cell>
        </row>
        <row r="20">
          <cell r="F20">
            <v>0.13599534057610846</v>
          </cell>
          <cell r="J20">
            <v>0.13854725526088174</v>
          </cell>
        </row>
        <row r="21">
          <cell r="F21">
            <v>0.17168028247758654</v>
          </cell>
          <cell r="J21">
            <v>0.1730722645904654</v>
          </cell>
        </row>
        <row r="22">
          <cell r="F22">
            <v>7.1005998561306238E-2</v>
          </cell>
          <cell r="J22">
            <v>7.3892714992320904E-2</v>
          </cell>
        </row>
        <row r="23">
          <cell r="F23">
            <v>0.13420801258847981</v>
          </cell>
          <cell r="J23">
            <v>0.13717532124286425</v>
          </cell>
        </row>
        <row r="24">
          <cell r="F24">
            <v>9.9700015155526275E-2</v>
          </cell>
          <cell r="J24">
            <v>0.10196080141016332</v>
          </cell>
        </row>
        <row r="25">
          <cell r="F25">
            <v>0.17094793633714722</v>
          </cell>
          <cell r="J25">
            <v>0.17135881524418048</v>
          </cell>
        </row>
        <row r="26">
          <cell r="F26">
            <v>0.10866206804464593</v>
          </cell>
          <cell r="J26">
            <v>0.14553082143009591</v>
          </cell>
        </row>
        <row r="27">
          <cell r="F27">
            <v>0.21443651696312521</v>
          </cell>
          <cell r="J27">
            <v>0.23448744322135934</v>
          </cell>
        </row>
        <row r="28">
          <cell r="F28">
            <v>9.6140138413167694E-2</v>
          </cell>
          <cell r="J28">
            <v>0.10149436847361079</v>
          </cell>
        </row>
        <row r="29">
          <cell r="F29">
            <v>7.098263724020451E-2</v>
          </cell>
          <cell r="J29">
            <v>7.4767807027420086E-2</v>
          </cell>
        </row>
        <row r="30">
          <cell r="F30">
            <v>6.3683998529846575E-2</v>
          </cell>
          <cell r="J30">
            <v>7.6962834098612126E-2</v>
          </cell>
        </row>
        <row r="31">
          <cell r="F31">
            <v>8.342281140717156E-2</v>
          </cell>
          <cell r="J31">
            <v>0.10122978675717055</v>
          </cell>
        </row>
        <row r="32">
          <cell r="F32">
            <v>4.8072625266089533E-2</v>
          </cell>
          <cell r="J32">
            <v>5.059330837098714E-2</v>
          </cell>
        </row>
        <row r="33">
          <cell r="F33">
            <v>9.3243903088815805E-2</v>
          </cell>
          <cell r="J33">
            <v>0.10206159927322521</v>
          </cell>
        </row>
        <row r="34">
          <cell r="F34">
            <v>0.11065180568357465</v>
          </cell>
          <cell r="J34">
            <v>0.11216928619940854</v>
          </cell>
        </row>
        <row r="35">
          <cell r="F35">
            <v>7.2604356210684465E-2</v>
          </cell>
          <cell r="J35">
            <v>7.4704714981818451E-2</v>
          </cell>
        </row>
        <row r="36">
          <cell r="F36">
            <v>0.10122142177508793</v>
          </cell>
          <cell r="J36">
            <v>0.10187205475770066</v>
          </cell>
        </row>
        <row r="37">
          <cell r="F37">
            <v>9.2507829483284384E-2</v>
          </cell>
          <cell r="J37">
            <v>9.2632765192477498E-2</v>
          </cell>
        </row>
        <row r="38">
          <cell r="F38">
            <v>2.2423455166316369E-2</v>
          </cell>
          <cell r="J38">
            <v>2.2045808747212278E-2</v>
          </cell>
        </row>
        <row r="39">
          <cell r="F39">
            <v>8.9905668708503556E-2</v>
          </cell>
          <cell r="J39">
            <v>9.4045055410194603E-2</v>
          </cell>
        </row>
        <row r="40">
          <cell r="F40">
            <v>0.33485860381153659</v>
          </cell>
          <cell r="J40">
            <v>0.33431352752227683</v>
          </cell>
        </row>
        <row r="41">
          <cell r="F41">
            <v>0.19025008974563362</v>
          </cell>
          <cell r="J41">
            <v>0.19822071574785446</v>
          </cell>
        </row>
        <row r="42">
          <cell r="F42">
            <v>4.4395081437957666E-2</v>
          </cell>
          <cell r="J42">
            <v>4.3754328185521087E-2</v>
          </cell>
        </row>
        <row r="43">
          <cell r="F43">
            <v>0.17381307091319981</v>
          </cell>
          <cell r="J43">
            <v>0.18608751855927419</v>
          </cell>
        </row>
        <row r="44">
          <cell r="F44">
            <v>0.13695530015327942</v>
          </cell>
          <cell r="J44">
            <v>0.12846761573327145</v>
          </cell>
        </row>
        <row r="45">
          <cell r="F45">
            <v>0.11343134381426492</v>
          </cell>
          <cell r="J45">
            <v>0.11073854379407713</v>
          </cell>
        </row>
        <row r="46">
          <cell r="F46">
            <v>-7.9822063960307013E-2</v>
          </cell>
          <cell r="J46">
            <v>-9.5988581967106038E-2</v>
          </cell>
        </row>
        <row r="47">
          <cell r="F47">
            <v>0.15724662490610716</v>
          </cell>
          <cell r="J47">
            <v>0.15811030142076848</v>
          </cell>
        </row>
        <row r="48">
          <cell r="F48">
            <v>0.20227117739607817</v>
          </cell>
          <cell r="J48">
            <v>0.20606872234060128</v>
          </cell>
        </row>
        <row r="49">
          <cell r="F49">
            <v>0.10323909742110052</v>
          </cell>
          <cell r="J49">
            <v>0.10326526924493494</v>
          </cell>
        </row>
        <row r="50">
          <cell r="F50">
            <v>0.10418822130214209</v>
          </cell>
          <cell r="J50">
            <v>0.10423158635631799</v>
          </cell>
        </row>
        <row r="51">
          <cell r="F51">
            <v>0.11539429645108923</v>
          </cell>
          <cell r="J51">
            <v>0.11549740428092074</v>
          </cell>
        </row>
        <row r="52">
          <cell r="F52">
            <v>0.20224212238931832</v>
          </cell>
          <cell r="J52">
            <v>0.20200910145476453</v>
          </cell>
        </row>
        <row r="53">
          <cell r="F53">
            <v>9.9495636886152691E-2</v>
          </cell>
          <cell r="J53">
            <v>0.10194029069420935</v>
          </cell>
        </row>
        <row r="54">
          <cell r="F54">
            <v>0.15978212186952045</v>
          </cell>
          <cell r="J54">
            <v>0.16091784154130681</v>
          </cell>
        </row>
        <row r="55">
          <cell r="F55">
            <v>7.1806614321386575E-2</v>
          </cell>
          <cell r="J55">
            <v>7.3259018960857888E-2</v>
          </cell>
        </row>
        <row r="56">
          <cell r="F56">
            <v>0.11904496800428231</v>
          </cell>
          <cell r="J56">
            <v>0.11962018624504733</v>
          </cell>
        </row>
        <row r="57">
          <cell r="F57">
            <v>0.12495519492682648</v>
          </cell>
          <cell r="J57">
            <v>0.12653157113774588</v>
          </cell>
        </row>
        <row r="58">
          <cell r="F58">
            <v>0.12395966754057607</v>
          </cell>
          <cell r="J58">
            <v>0.12440859928793553</v>
          </cell>
        </row>
        <row r="59">
          <cell r="F59">
            <v>4.3772196109830977E-2</v>
          </cell>
          <cell r="J59">
            <v>4.4458429023027227E-2</v>
          </cell>
        </row>
        <row r="60">
          <cell r="F60">
            <v>9.1523057736209085E-2</v>
          </cell>
          <cell r="J60">
            <v>9.2893647000563989E-2</v>
          </cell>
        </row>
        <row r="61">
          <cell r="F61">
            <v>0.14159804731050596</v>
          </cell>
          <cell r="J61">
            <v>0.14279756694803722</v>
          </cell>
        </row>
        <row r="62">
          <cell r="F62">
            <v>0.11273090662228229</v>
          </cell>
          <cell r="J62">
            <v>0.11274540440208251</v>
          </cell>
        </row>
        <row r="63">
          <cell r="F63">
            <v>0.24978183492650152</v>
          </cell>
          <cell r="J63">
            <v>0.250230783282198</v>
          </cell>
        </row>
        <row r="64">
          <cell r="F64">
            <v>6.5754492926377819E-2</v>
          </cell>
          <cell r="J64">
            <v>6.6488224748633973E-2</v>
          </cell>
        </row>
        <row r="65">
          <cell r="F65">
            <v>0.3125148541838112</v>
          </cell>
          <cell r="J65">
            <v>0.28922564081811658</v>
          </cell>
        </row>
        <row r="66">
          <cell r="F66">
            <v>0.1402163824447808</v>
          </cell>
          <cell r="J66">
            <v>0.1405098286196306</v>
          </cell>
        </row>
        <row r="67">
          <cell r="F67">
            <v>0.15291818839805732</v>
          </cell>
          <cell r="J67">
            <v>0.15171945865492331</v>
          </cell>
        </row>
        <row r="68">
          <cell r="F68">
            <v>0.18256624628656898</v>
          </cell>
          <cell r="J68">
            <v>0.17995982747573858</v>
          </cell>
        </row>
        <row r="69">
          <cell r="F69">
            <v>0.10479327381702526</v>
          </cell>
          <cell r="J69">
            <v>0.10243076250142691</v>
          </cell>
        </row>
        <row r="70">
          <cell r="F70">
            <v>6.0318336139349948E-2</v>
          </cell>
          <cell r="J70">
            <v>6.0162626464628E-2</v>
          </cell>
        </row>
        <row r="71">
          <cell r="F71">
            <v>9.6960069642850991E-2</v>
          </cell>
          <cell r="J71">
            <v>7.7867024027282267E-2</v>
          </cell>
        </row>
        <row r="72">
          <cell r="F72">
            <v>5.3566930474810662E-2</v>
          </cell>
          <cell r="J72">
            <v>5.0168253715826124E-2</v>
          </cell>
        </row>
        <row r="73">
          <cell r="F73">
            <v>0.12869917670798264</v>
          </cell>
          <cell r="J73">
            <v>0.12658002312245675</v>
          </cell>
        </row>
        <row r="74">
          <cell r="F74">
            <v>4.2944738669705905E-2</v>
          </cell>
          <cell r="J74">
            <v>4.3242731983525774E-2</v>
          </cell>
        </row>
        <row r="75">
          <cell r="F75">
            <v>5.3628754509030915E-2</v>
          </cell>
          <cell r="J75">
            <v>5.025303590715819E-2</v>
          </cell>
        </row>
        <row r="76">
          <cell r="F76">
            <v>4.3134456086045748E-2</v>
          </cell>
          <cell r="J76">
            <v>4.1546403627178367E-2</v>
          </cell>
        </row>
        <row r="77">
          <cell r="F77">
            <v>3.1345578305595673E-2</v>
          </cell>
          <cell r="J77">
            <v>4.1542221580677191E-2</v>
          </cell>
        </row>
        <row r="78">
          <cell r="F78">
            <v>6.1269092560628673E-2</v>
          </cell>
          <cell r="J78">
            <v>6.139574904661501E-2</v>
          </cell>
        </row>
        <row r="79">
          <cell r="F79">
            <v>0.10238272234404534</v>
          </cell>
          <cell r="J79">
            <v>0.1043088757472794</v>
          </cell>
        </row>
        <row r="80">
          <cell r="F80">
            <v>0.22016122643247338</v>
          </cell>
          <cell r="J80">
            <v>0.23441240751038647</v>
          </cell>
        </row>
        <row r="81">
          <cell r="F81">
            <v>0.23266942567906598</v>
          </cell>
          <cell r="J81">
            <v>0.24059626019681066</v>
          </cell>
        </row>
        <row r="82">
          <cell r="F82">
            <v>0.23518480959238755</v>
          </cell>
          <cell r="J82">
            <v>0.23728988082114069</v>
          </cell>
        </row>
        <row r="83">
          <cell r="F83">
            <v>0.11852920398125474</v>
          </cell>
          <cell r="J83">
            <v>0.11767630837606761</v>
          </cell>
        </row>
        <row r="84">
          <cell r="F84">
            <v>0.26896366478542111</v>
          </cell>
          <cell r="J84">
            <v>0.28552625417379313</v>
          </cell>
        </row>
        <row r="85">
          <cell r="F85">
            <v>1.2061583975656978E-2</v>
          </cell>
          <cell r="J85">
            <v>3.3538335732862225E-2</v>
          </cell>
        </row>
        <row r="86">
          <cell r="F86">
            <v>0.20319437339736357</v>
          </cell>
          <cell r="J86">
            <v>0.22274876142798222</v>
          </cell>
        </row>
        <row r="87">
          <cell r="F87">
            <v>0.14980531567636302</v>
          </cell>
          <cell r="J87">
            <v>0.15171074208747792</v>
          </cell>
        </row>
        <row r="88">
          <cell r="F88">
            <v>0.14046320740854051</v>
          </cell>
          <cell r="J88">
            <v>0.14109159238099231</v>
          </cell>
        </row>
        <row r="89">
          <cell r="F89">
            <v>0.11209882645611607</v>
          </cell>
          <cell r="J89">
            <v>0.12103257928818929</v>
          </cell>
        </row>
        <row r="90">
          <cell r="F90">
            <v>0.15782952506853631</v>
          </cell>
          <cell r="J90">
            <v>0.1571343011807079</v>
          </cell>
        </row>
        <row r="91">
          <cell r="F91">
            <v>0.34452987704033594</v>
          </cell>
          <cell r="J91">
            <v>0.34477494537820197</v>
          </cell>
        </row>
        <row r="92">
          <cell r="F92">
            <v>7.2457923131433941E-2</v>
          </cell>
          <cell r="J92">
            <v>7.3498973610067825E-2</v>
          </cell>
        </row>
        <row r="93">
          <cell r="F93">
            <v>0.15403635576839833</v>
          </cell>
          <cell r="J93">
            <v>0.15623857802445984</v>
          </cell>
        </row>
        <row r="94">
          <cell r="F94">
            <v>5.5792389472469388E-2</v>
          </cell>
          <cell r="J94">
            <v>5.7787513873131906E-2</v>
          </cell>
        </row>
        <row r="95">
          <cell r="F95">
            <v>0.12368349207955212</v>
          </cell>
          <cell r="J95">
            <v>0.12327537594694567</v>
          </cell>
        </row>
        <row r="96">
          <cell r="F96">
            <v>0.25066832972493358</v>
          </cell>
          <cell r="J96">
            <v>0.25034971223611541</v>
          </cell>
        </row>
      </sheetData>
      <sheetData sheetId="24"/>
      <sheetData sheetId="25"/>
      <sheetData sheetId="26">
        <row r="7">
          <cell r="C7">
            <v>0.38279622822720849</v>
          </cell>
        </row>
        <row r="8">
          <cell r="C8">
            <v>0.33194361135732015</v>
          </cell>
        </row>
        <row r="9">
          <cell r="C9">
            <v>0.30929768864093088</v>
          </cell>
        </row>
        <row r="10">
          <cell r="C10">
            <v>0.31364960971071709</v>
          </cell>
        </row>
        <row r="11">
          <cell r="C11">
            <v>0.31485943066687894</v>
          </cell>
        </row>
        <row r="12">
          <cell r="C12">
            <v>0.29799635626299609</v>
          </cell>
        </row>
        <row r="13">
          <cell r="C13">
            <v>0.20423641425778655</v>
          </cell>
        </row>
        <row r="14">
          <cell r="C14">
            <v>0.19215480409539265</v>
          </cell>
        </row>
        <row r="15">
          <cell r="C15">
            <v>0.25204820366049158</v>
          </cell>
        </row>
        <row r="16">
          <cell r="C16">
            <v>0.30683803257362013</v>
          </cell>
        </row>
        <row r="17">
          <cell r="C17">
            <v>0.32837290457933188</v>
          </cell>
        </row>
        <row r="18">
          <cell r="C18">
            <v>0.30270055107808447</v>
          </cell>
        </row>
        <row r="19">
          <cell r="C19">
            <v>0.28033869784105359</v>
          </cell>
        </row>
        <row r="20">
          <cell r="C20">
            <v>0.32342540173106121</v>
          </cell>
        </row>
        <row r="21">
          <cell r="C21">
            <v>0.25394099714328017</v>
          </cell>
        </row>
        <row r="22">
          <cell r="C22">
            <v>0.29518907722389626</v>
          </cell>
        </row>
        <row r="23">
          <cell r="C23">
            <v>0.24802826424181612</v>
          </cell>
        </row>
        <row r="24">
          <cell r="C24">
            <v>0.3076472863588649</v>
          </cell>
        </row>
        <row r="25">
          <cell r="C25">
            <v>0.44900567823215992</v>
          </cell>
        </row>
        <row r="26">
          <cell r="C26">
            <v>0.3178022147834853</v>
          </cell>
        </row>
        <row r="27">
          <cell r="C27">
            <v>0.33865869728221859</v>
          </cell>
        </row>
        <row r="28">
          <cell r="C28">
            <v>0.28428217213446577</v>
          </cell>
        </row>
        <row r="29">
          <cell r="C29">
            <v>0.23874797952027321</v>
          </cell>
        </row>
        <row r="30">
          <cell r="C30">
            <v>0.45420702418042541</v>
          </cell>
        </row>
        <row r="31">
          <cell r="C31">
            <v>0.39786296480578942</v>
          </cell>
        </row>
        <row r="32">
          <cell r="C32">
            <v>0.3237640159084067</v>
          </cell>
        </row>
        <row r="33">
          <cell r="C33">
            <v>0.33717558911957879</v>
          </cell>
        </row>
        <row r="34">
          <cell r="C34">
            <v>0.31536571621443654</v>
          </cell>
        </row>
        <row r="35">
          <cell r="C35">
            <v>0.31028467082163019</v>
          </cell>
        </row>
        <row r="36">
          <cell r="C36">
            <v>0.2943241351825901</v>
          </cell>
        </row>
        <row r="37">
          <cell r="C37">
            <v>0.38638430057677353</v>
          </cell>
        </row>
        <row r="38">
          <cell r="C38">
            <v>0.33744630683110027</v>
          </cell>
        </row>
        <row r="39">
          <cell r="C39">
            <v>0.30326937638340984</v>
          </cell>
        </row>
        <row r="40">
          <cell r="C40">
            <v>0.30019307693247255</v>
          </cell>
        </row>
        <row r="41">
          <cell r="C41">
            <v>0.26793390288893121</v>
          </cell>
        </row>
        <row r="42">
          <cell r="C42">
            <v>0.30063373348634653</v>
          </cell>
        </row>
        <row r="43">
          <cell r="C43">
            <v>0.29080939116828763</v>
          </cell>
        </row>
        <row r="44">
          <cell r="C44">
            <v>0.32660373761800232</v>
          </cell>
        </row>
        <row r="45">
          <cell r="C45">
            <v>0.38064552223813131</v>
          </cell>
        </row>
        <row r="46">
          <cell r="C46">
            <v>0.34694683304355656</v>
          </cell>
        </row>
        <row r="47">
          <cell r="C47">
            <v>0.39543370018699597</v>
          </cell>
        </row>
        <row r="48">
          <cell r="C48">
            <v>0.29332300045496484</v>
          </cell>
        </row>
        <row r="49">
          <cell r="C49">
            <v>0.29027230215713185</v>
          </cell>
        </row>
        <row r="50">
          <cell r="C50">
            <v>0.32251873567478789</v>
          </cell>
        </row>
        <row r="51">
          <cell r="C51">
            <v>0.35715395652297538</v>
          </cell>
        </row>
        <row r="52">
          <cell r="C52">
            <v>0.39747089362656346</v>
          </cell>
        </row>
        <row r="53">
          <cell r="C53">
            <v>0.23025625937363273</v>
          </cell>
        </row>
        <row r="54">
          <cell r="C54">
            <v>0.22915969631505403</v>
          </cell>
        </row>
        <row r="55">
          <cell r="C55">
            <v>0.25946795248532478</v>
          </cell>
        </row>
        <row r="56">
          <cell r="C56">
            <v>0.31471564398253271</v>
          </cell>
        </row>
        <row r="57">
          <cell r="C57">
            <v>0.27713763873825858</v>
          </cell>
        </row>
        <row r="58">
          <cell r="C58">
            <v>0.53066528746054042</v>
          </cell>
        </row>
        <row r="59">
          <cell r="C59">
            <v>0.29772457067346564</v>
          </cell>
        </row>
        <row r="60">
          <cell r="C60">
            <v>0.24693832503207186</v>
          </cell>
        </row>
        <row r="61">
          <cell r="C61">
            <v>0.50734420557172799</v>
          </cell>
        </row>
        <row r="62">
          <cell r="C62">
            <v>0.28328935985226933</v>
          </cell>
        </row>
        <row r="63">
          <cell r="C63">
            <v>0.36575331163448283</v>
          </cell>
        </row>
        <row r="64">
          <cell r="C64">
            <v>0.28107576688049773</v>
          </cell>
        </row>
        <row r="65">
          <cell r="C65">
            <v>0.28535354069030661</v>
          </cell>
        </row>
        <row r="66">
          <cell r="C66">
            <v>0.21939735279878639</v>
          </cell>
        </row>
        <row r="67">
          <cell r="C67">
            <v>0.51152642318556052</v>
          </cell>
        </row>
        <row r="68">
          <cell r="C68">
            <v>0.27407123703856845</v>
          </cell>
        </row>
        <row r="69">
          <cell r="C69">
            <v>0.23920701412951273</v>
          </cell>
        </row>
        <row r="70">
          <cell r="C70">
            <v>0.27273025739397344</v>
          </cell>
        </row>
        <row r="71">
          <cell r="C71">
            <v>0.24606295988272234</v>
          </cell>
        </row>
        <row r="72">
          <cell r="C72">
            <v>0.26335774156083375</v>
          </cell>
        </row>
        <row r="73">
          <cell r="C73">
            <v>0.31771923679635966</v>
          </cell>
        </row>
        <row r="74">
          <cell r="C74">
            <v>0.24501934609942183</v>
          </cell>
        </row>
        <row r="75">
          <cell r="C75">
            <v>0.2914595263396178</v>
          </cell>
        </row>
        <row r="76">
          <cell r="C76">
            <v>0.29703781136560709</v>
          </cell>
        </row>
        <row r="77">
          <cell r="C77">
            <v>0.28844314128208381</v>
          </cell>
        </row>
        <row r="78">
          <cell r="C78">
            <v>0.2967655843359035</v>
          </cell>
        </row>
        <row r="79">
          <cell r="C79">
            <v>0.24699731612176148</v>
          </cell>
        </row>
        <row r="80">
          <cell r="C80">
            <v>0.22686440685305706</v>
          </cell>
        </row>
        <row r="81">
          <cell r="C81">
            <v>0.43898595970442778</v>
          </cell>
        </row>
        <row r="82">
          <cell r="C82">
            <v>0.31635057143527651</v>
          </cell>
        </row>
        <row r="83">
          <cell r="C83">
            <v>0.2558277620529969</v>
          </cell>
        </row>
        <row r="84">
          <cell r="C84">
            <v>0.34356638448587645</v>
          </cell>
        </row>
        <row r="85">
          <cell r="C85">
            <v>0.33073648727489308</v>
          </cell>
        </row>
        <row r="86">
          <cell r="C86">
            <v>0.28900935389708543</v>
          </cell>
        </row>
        <row r="87">
          <cell r="C87">
            <v>0.30489662620660396</v>
          </cell>
        </row>
        <row r="88">
          <cell r="C88">
            <v>0.41354487083788249</v>
          </cell>
        </row>
        <row r="89">
          <cell r="C89">
            <v>0.36629598047922113</v>
          </cell>
        </row>
        <row r="90">
          <cell r="C90">
            <v>0.39592214923174668</v>
          </cell>
        </row>
        <row r="91">
          <cell r="C91">
            <v>0.3186563954166941</v>
          </cell>
        </row>
        <row r="92">
          <cell r="C92">
            <v>0.25121862207428292</v>
          </cell>
        </row>
        <row r="93">
          <cell r="C93">
            <v>0.32549748497016417</v>
          </cell>
        </row>
        <row r="94">
          <cell r="C94">
            <v>0.28128980563356337</v>
          </cell>
        </row>
        <row r="95">
          <cell r="C95">
            <v>0.27244667748724533</v>
          </cell>
        </row>
        <row r="96">
          <cell r="C96">
            <v>0.28153691037221817</v>
          </cell>
        </row>
        <row r="97">
          <cell r="C97">
            <v>0.17870620242728813</v>
          </cell>
        </row>
        <row r="98">
          <cell r="C98">
            <v>0.28263701614696507</v>
          </cell>
        </row>
        <row r="99">
          <cell r="C99">
            <v>0.18542881310222778</v>
          </cell>
        </row>
        <row r="100">
          <cell r="C100">
            <v>0.26178165004236142</v>
          </cell>
        </row>
      </sheetData>
      <sheetData sheetId="27">
        <row r="2">
          <cell r="C2">
            <v>2.7336345845477452</v>
          </cell>
        </row>
        <row r="3">
          <cell r="C3">
            <v>4.324099155641318</v>
          </cell>
        </row>
        <row r="4">
          <cell r="C4">
            <v>2.7518293888637335</v>
          </cell>
        </row>
        <row r="5">
          <cell r="C5">
            <v>4.1312367447299314</v>
          </cell>
        </row>
        <row r="6">
          <cell r="C6">
            <v>2.272490877709755</v>
          </cell>
        </row>
        <row r="7">
          <cell r="C7">
            <v>1.7609585507812662</v>
          </cell>
        </row>
        <row r="8">
          <cell r="C8">
            <v>0.84916559276818682</v>
          </cell>
        </row>
        <row r="9">
          <cell r="C9">
            <v>0.93914809919445397</v>
          </cell>
        </row>
        <row r="10">
          <cell r="C10">
            <v>4.4481171369433268</v>
          </cell>
        </row>
        <row r="11">
          <cell r="C11">
            <v>6.6554108982808966</v>
          </cell>
        </row>
        <row r="12">
          <cell r="C12">
            <v>1.1364201887933771</v>
          </cell>
        </row>
        <row r="13">
          <cell r="C13">
            <v>1.4822015010926872</v>
          </cell>
        </row>
        <row r="14">
          <cell r="C14">
            <v>3.3421957960917124</v>
          </cell>
        </row>
        <row r="15">
          <cell r="C15">
            <v>4.4706149638763684</v>
          </cell>
        </row>
        <row r="16">
          <cell r="C16">
            <v>2.671368922797507</v>
          </cell>
        </row>
        <row r="17">
          <cell r="C17">
            <v>1.9222744211919043</v>
          </cell>
        </row>
        <row r="18">
          <cell r="C18">
            <v>1.4440542319516374</v>
          </cell>
        </row>
        <row r="19">
          <cell r="C19">
            <v>3.3605366252371152</v>
          </cell>
        </row>
        <row r="20">
          <cell r="C20">
            <v>1.1762027586426183</v>
          </cell>
        </row>
        <row r="21">
          <cell r="C21">
            <v>4.7232498594280399</v>
          </cell>
        </row>
        <row r="22">
          <cell r="C22">
            <v>6.7665197195831697</v>
          </cell>
        </row>
        <row r="23">
          <cell r="C23">
            <v>1.6545950096783477</v>
          </cell>
        </row>
        <row r="24">
          <cell r="C24">
            <v>1.200473639942399</v>
          </cell>
        </row>
        <row r="25">
          <cell r="C25">
            <v>5.8773916677363491</v>
          </cell>
        </row>
        <row r="26">
          <cell r="C26">
            <v>3.9070693428554377</v>
          </cell>
        </row>
        <row r="27">
          <cell r="C27">
            <v>2.1419795377540467</v>
          </cell>
        </row>
        <row r="28">
          <cell r="C28">
            <v>3.7699986928347937</v>
          </cell>
        </row>
        <row r="29">
          <cell r="C29">
            <v>1.890039500119129</v>
          </cell>
        </row>
        <row r="30">
          <cell r="C30">
            <v>3.0301711494177308</v>
          </cell>
        </row>
        <row r="31">
          <cell r="C31">
            <v>1.0459265608781843</v>
          </cell>
        </row>
        <row r="32">
          <cell r="C32">
            <v>4.0281106802479592</v>
          </cell>
        </row>
        <row r="33">
          <cell r="C33">
            <v>3.4069284406164875</v>
          </cell>
        </row>
        <row r="34">
          <cell r="C34">
            <v>2.2595277045280651</v>
          </cell>
        </row>
        <row r="35">
          <cell r="C35">
            <v>1.5075609142929993</v>
          </cell>
        </row>
        <row r="36">
          <cell r="C36">
            <v>2.777528702378818</v>
          </cell>
        </row>
        <row r="37">
          <cell r="C37">
            <v>2.1487747943860986</v>
          </cell>
        </row>
        <row r="38">
          <cell r="C38">
            <v>3.2802755757506965</v>
          </cell>
        </row>
        <row r="39">
          <cell r="C39">
            <v>2.3456024459244982</v>
          </cell>
        </row>
        <row r="40">
          <cell r="C40">
            <v>5.3094279630193961</v>
          </cell>
        </row>
        <row r="41">
          <cell r="C41">
            <v>2.9963846665714424</v>
          </cell>
        </row>
        <row r="42">
          <cell r="C42">
            <v>6.312636611473077</v>
          </cell>
        </row>
        <row r="43">
          <cell r="C43">
            <v>1.7493101173379435</v>
          </cell>
        </row>
        <row r="44">
          <cell r="C44">
            <v>3.8930699045382111</v>
          </cell>
        </row>
        <row r="45">
          <cell r="C45">
            <v>3.36267049568557</v>
          </cell>
        </row>
        <row r="46">
          <cell r="C46">
            <v>6.379171582754295</v>
          </cell>
        </row>
        <row r="47">
          <cell r="C47">
            <v>7.2424253866102637</v>
          </cell>
        </row>
        <row r="48">
          <cell r="C48">
            <v>1.2979612813074068</v>
          </cell>
        </row>
        <row r="49">
          <cell r="C49">
            <v>0.87329342919857555</v>
          </cell>
        </row>
        <row r="50">
          <cell r="C50">
            <v>1.2322996853708403</v>
          </cell>
        </row>
        <row r="51">
          <cell r="C51">
            <v>2.0251907806553584</v>
          </cell>
        </row>
        <row r="52">
          <cell r="C52">
            <v>3.3394628858781648</v>
          </cell>
        </row>
        <row r="53">
          <cell r="C53">
            <v>2.0665519199084623</v>
          </cell>
        </row>
        <row r="54">
          <cell r="C54">
            <v>2.0276109162969518</v>
          </cell>
        </row>
        <row r="55">
          <cell r="C55">
            <v>1.7008813794024082</v>
          </cell>
        </row>
        <row r="56">
          <cell r="C56">
            <v>1.5644507925461886</v>
          </cell>
        </row>
        <row r="57">
          <cell r="C57">
            <v>1.5720473094863099</v>
          </cell>
        </row>
        <row r="58">
          <cell r="C58">
            <v>1.4093537723056757</v>
          </cell>
        </row>
        <row r="59">
          <cell r="C59">
            <v>2.6171872019253235</v>
          </cell>
        </row>
        <row r="60">
          <cell r="C60">
            <v>1.3577081807721498</v>
          </cell>
        </row>
        <row r="61">
          <cell r="C61">
            <v>1.3591870438240774</v>
          </cell>
        </row>
        <row r="62">
          <cell r="C62">
            <v>1.9752486826228053</v>
          </cell>
        </row>
        <row r="63">
          <cell r="C63">
            <v>1.434391101563089</v>
          </cell>
        </row>
        <row r="64">
          <cell r="C64">
            <v>1.9370200483408939</v>
          </cell>
        </row>
        <row r="65">
          <cell r="C65">
            <v>0.51747341298253002</v>
          </cell>
        </row>
        <row r="66">
          <cell r="C66">
            <v>0.71022240968473349</v>
          </cell>
        </row>
        <row r="67">
          <cell r="C67">
            <v>1.1745889283669027</v>
          </cell>
        </row>
        <row r="68">
          <cell r="C68">
            <v>3.3723824889706808</v>
          </cell>
        </row>
        <row r="69">
          <cell r="C69">
            <v>0.93577875412673783</v>
          </cell>
        </row>
        <row r="70">
          <cell r="C70">
            <v>13.501455974614231</v>
          </cell>
        </row>
        <row r="71">
          <cell r="C71">
            <v>3.6352105208831316</v>
          </cell>
        </row>
        <row r="72">
          <cell r="C72">
            <v>15.548797460699921</v>
          </cell>
        </row>
        <row r="73">
          <cell r="C73">
            <v>1.7168213877198601</v>
          </cell>
        </row>
        <row r="74">
          <cell r="C74">
            <v>3.4884042791490781</v>
          </cell>
        </row>
        <row r="75">
          <cell r="C75">
            <v>2.5986200126703913</v>
          </cell>
        </row>
        <row r="76">
          <cell r="C76">
            <v>7.6873665036695789</v>
          </cell>
        </row>
        <row r="77">
          <cell r="C77">
            <v>3.7450681339315119</v>
          </cell>
        </row>
        <row r="78">
          <cell r="C78">
            <v>1.4562908346277255</v>
          </cell>
        </row>
        <row r="79">
          <cell r="C79">
            <v>5.9893659380762454</v>
          </cell>
        </row>
        <row r="80">
          <cell r="C80">
            <v>8.5780420366749812</v>
          </cell>
        </row>
        <row r="81">
          <cell r="C81">
            <v>1.5324302701338244</v>
          </cell>
        </row>
        <row r="82">
          <cell r="C82">
            <v>7.5750799023245907</v>
          </cell>
        </row>
        <row r="83">
          <cell r="C83">
            <v>6.0330230764818804</v>
          </cell>
        </row>
        <row r="84">
          <cell r="C84">
            <v>9.9851692646015202</v>
          </cell>
        </row>
        <row r="85">
          <cell r="C85">
            <v>11.532075841757656</v>
          </cell>
        </row>
        <row r="86">
          <cell r="C86">
            <v>1.1891191250734865</v>
          </cell>
        </row>
        <row r="87">
          <cell r="C87">
            <v>1.3490522292549347</v>
          </cell>
        </row>
        <row r="88">
          <cell r="C88">
            <v>4.228647115743378</v>
          </cell>
        </row>
        <row r="89">
          <cell r="C89">
            <v>1.4754172364123215</v>
          </cell>
        </row>
        <row r="90">
          <cell r="C90">
            <v>3.5276289208039842</v>
          </cell>
        </row>
        <row r="91">
          <cell r="C91">
            <v>2.5126332818998796</v>
          </cell>
        </row>
        <row r="92">
          <cell r="C92">
            <v>2.6532599002352972</v>
          </cell>
        </row>
        <row r="93">
          <cell r="C93">
            <v>2.9089686411176556</v>
          </cell>
        </row>
        <row r="94">
          <cell r="C94">
            <v>1.7081363306667394</v>
          </cell>
        </row>
        <row r="95">
          <cell r="C95">
            <v>1.7495884442596421</v>
          </cell>
        </row>
      </sheetData>
      <sheetData sheetId="28">
        <row r="2">
          <cell r="D2">
            <v>74.812069371756152</v>
          </cell>
        </row>
        <row r="3">
          <cell r="D3">
            <v>70.171653420811069</v>
          </cell>
        </row>
        <row r="4">
          <cell r="D4">
            <v>721.84168558254396</v>
          </cell>
        </row>
        <row r="5">
          <cell r="D5">
            <v>39.241218718759413</v>
          </cell>
        </row>
        <row r="6">
          <cell r="D6">
            <v>96.320301200433363</v>
          </cell>
        </row>
        <row r="7">
          <cell r="D7">
            <v>54.536693186062124</v>
          </cell>
        </row>
        <row r="8">
          <cell r="D8">
            <v>28.883925497987057</v>
          </cell>
        </row>
        <row r="9">
          <cell r="D9">
            <v>24.903502919393066</v>
          </cell>
        </row>
        <row r="10">
          <cell r="D10">
            <v>44.851489172576848</v>
          </cell>
        </row>
        <row r="11">
          <cell r="D11">
            <v>70.240049088776445</v>
          </cell>
        </row>
        <row r="12">
          <cell r="D12">
            <v>41.599630597037567</v>
          </cell>
        </row>
        <row r="13">
          <cell r="D13">
            <v>35.400303039401535</v>
          </cell>
        </row>
        <row r="14">
          <cell r="D14">
            <v>66.276654505597776</v>
          </cell>
        </row>
        <row r="15">
          <cell r="D15">
            <v>83.44953125089296</v>
          </cell>
        </row>
        <row r="16">
          <cell r="D16">
            <v>30.633594726895119</v>
          </cell>
        </row>
        <row r="17">
          <cell r="D17">
            <v>71.65296521126902</v>
          </cell>
        </row>
        <row r="18">
          <cell r="D18">
            <v>19.816760266521058</v>
          </cell>
        </row>
        <row r="19">
          <cell r="D19">
            <v>45.967145779035391</v>
          </cell>
        </row>
        <row r="20">
          <cell r="D20">
            <v>51.036653185157519</v>
          </cell>
        </row>
        <row r="21">
          <cell r="D21">
            <v>77.490892349686391</v>
          </cell>
        </row>
        <row r="22">
          <cell r="D22">
            <v>41.633679475354413</v>
          </cell>
        </row>
        <row r="23">
          <cell r="D23">
            <v>83.180494729762572</v>
          </cell>
        </row>
        <row r="24">
          <cell r="D24">
            <v>35.812846592019916</v>
          </cell>
        </row>
        <row r="25">
          <cell r="D25">
            <v>188.72003212013664</v>
          </cell>
        </row>
        <row r="26">
          <cell r="D26">
            <v>54.437546232993952</v>
          </cell>
        </row>
        <row r="27">
          <cell r="D27">
            <v>172.07045889590799</v>
          </cell>
        </row>
        <row r="28">
          <cell r="D28">
            <v>66.410763809320045</v>
          </cell>
        </row>
        <row r="29">
          <cell r="D29">
            <v>167.97298549910099</v>
          </cell>
        </row>
        <row r="30">
          <cell r="D30">
            <v>70.145638737395799</v>
          </cell>
        </row>
        <row r="31">
          <cell r="D31">
            <v>76.374318657451397</v>
          </cell>
        </row>
        <row r="32">
          <cell r="D32">
            <v>133.63420532658654</v>
          </cell>
        </row>
        <row r="33">
          <cell r="D33">
            <v>67.987313512097316</v>
          </cell>
        </row>
        <row r="34">
          <cell r="D34">
            <v>69.966723013126767</v>
          </cell>
        </row>
        <row r="35">
          <cell r="D35">
            <v>41.832613835609536</v>
          </cell>
        </row>
        <row r="36">
          <cell r="D36">
            <v>60.041350997522997</v>
          </cell>
        </row>
        <row r="37">
          <cell r="D37">
            <v>24.829745209306907</v>
          </cell>
        </row>
        <row r="38">
          <cell r="D38">
            <v>27.380008907253085</v>
          </cell>
        </row>
        <row r="39">
          <cell r="D39">
            <v>91.992263825632378</v>
          </cell>
        </row>
        <row r="40">
          <cell r="D40">
            <v>83.312954395333051</v>
          </cell>
        </row>
        <row r="41">
          <cell r="D41">
            <v>36.261575321312513</v>
          </cell>
        </row>
        <row r="42">
          <cell r="D42">
            <v>83.593211510743629</v>
          </cell>
        </row>
        <row r="43">
          <cell r="D43">
            <v>17.031568743714882</v>
          </cell>
        </row>
        <row r="44">
          <cell r="D44">
            <v>96.230219276041964</v>
          </cell>
        </row>
        <row r="45">
          <cell r="D45">
            <v>160.44166198403192</v>
          </cell>
        </row>
        <row r="46">
          <cell r="D46">
            <v>49.077378872401972</v>
          </cell>
        </row>
        <row r="47">
          <cell r="D47">
            <v>84.273662282186663</v>
          </cell>
        </row>
        <row r="48">
          <cell r="D48">
            <v>23.965295106447833</v>
          </cell>
        </row>
        <row r="49">
          <cell r="D49">
            <v>44.14541406796959</v>
          </cell>
        </row>
        <row r="50">
          <cell r="D50">
            <v>25.416627495369671</v>
          </cell>
        </row>
        <row r="51">
          <cell r="D51">
            <v>55.344776171541014</v>
          </cell>
        </row>
        <row r="52">
          <cell r="D52">
            <v>53.61670440952529</v>
          </cell>
        </row>
        <row r="53">
          <cell r="D53">
            <v>309.05634173332112</v>
          </cell>
        </row>
        <row r="54">
          <cell r="D54">
            <v>64.407524055987622</v>
          </cell>
        </row>
        <row r="55">
          <cell r="D55">
            <v>19.949293015808284</v>
          </cell>
        </row>
        <row r="56">
          <cell r="D56">
            <v>38.595506530752807</v>
          </cell>
        </row>
        <row r="57">
          <cell r="D57">
            <v>65.4748389104615</v>
          </cell>
        </row>
        <row r="58">
          <cell r="D58">
            <v>49.798342246311186</v>
          </cell>
        </row>
        <row r="59">
          <cell r="D59">
            <v>34.640762736686341</v>
          </cell>
        </row>
        <row r="60">
          <cell r="D60">
            <v>24.794068924986615</v>
          </cell>
        </row>
        <row r="61">
          <cell r="D61">
            <v>50.313815674327508</v>
          </cell>
        </row>
        <row r="62">
          <cell r="D62">
            <v>73.345984378275134</v>
          </cell>
        </row>
        <row r="63">
          <cell r="D63">
            <v>40.221088735025418</v>
          </cell>
        </row>
        <row r="64">
          <cell r="D64">
            <v>126.29069908292132</v>
          </cell>
        </row>
        <row r="65">
          <cell r="D65">
            <v>68.130522633238598</v>
          </cell>
        </row>
        <row r="66">
          <cell r="D66">
            <v>69.440151424643645</v>
          </cell>
        </row>
        <row r="67">
          <cell r="D67">
            <v>33.156962642911878</v>
          </cell>
        </row>
        <row r="68">
          <cell r="D68">
            <v>56.28034623710419</v>
          </cell>
        </row>
        <row r="69">
          <cell r="D69">
            <v>108.66421704462154</v>
          </cell>
        </row>
        <row r="70">
          <cell r="D70">
            <v>99.526362844917855</v>
          </cell>
        </row>
        <row r="71">
          <cell r="D71">
            <v>30.863812400411156</v>
          </cell>
        </row>
        <row r="72">
          <cell r="D72">
            <v>26.990942614366411</v>
          </cell>
        </row>
        <row r="73">
          <cell r="D73">
            <v>137.26423980293447</v>
          </cell>
        </row>
        <row r="74">
          <cell r="D74">
            <v>52.206672229204003</v>
          </cell>
        </row>
        <row r="75">
          <cell r="D75">
            <v>33.369494528286303</v>
          </cell>
        </row>
        <row r="76">
          <cell r="D76">
            <v>84.92073950216168</v>
          </cell>
        </row>
        <row r="77">
          <cell r="D77">
            <v>36.53075772679172</v>
          </cell>
        </row>
        <row r="78">
          <cell r="D78">
            <v>63.248894981939678</v>
          </cell>
        </row>
        <row r="79">
          <cell r="D79">
            <v>139.05269043014923</v>
          </cell>
        </row>
        <row r="80">
          <cell r="D80">
            <v>46.503667671646575</v>
          </cell>
        </row>
        <row r="81">
          <cell r="D81">
            <v>23.685713545059457</v>
          </cell>
        </row>
        <row r="82">
          <cell r="D82">
            <v>65.089622169726439</v>
          </cell>
        </row>
        <row r="83">
          <cell r="D83">
            <v>57.371539053505501</v>
          </cell>
        </row>
        <row r="84">
          <cell r="D84">
            <v>303.7112895756934</v>
          </cell>
        </row>
        <row r="85">
          <cell r="D85">
            <v>167.00057762431732</v>
          </cell>
        </row>
        <row r="86">
          <cell r="D86">
            <v>48.917604493435867</v>
          </cell>
        </row>
        <row r="87">
          <cell r="D87">
            <v>27.220667553932977</v>
          </cell>
        </row>
        <row r="88">
          <cell r="D88">
            <v>87.028616248210383</v>
          </cell>
        </row>
        <row r="89">
          <cell r="D89">
            <v>90.490769365039128</v>
          </cell>
        </row>
        <row r="90">
          <cell r="D90">
            <v>21.306175395352881</v>
          </cell>
        </row>
        <row r="91">
          <cell r="D91">
            <v>54.754180658454288</v>
          </cell>
        </row>
        <row r="92">
          <cell r="D92">
            <v>42.915857928204794</v>
          </cell>
        </row>
        <row r="93">
          <cell r="D93">
            <v>71.563994356665063</v>
          </cell>
        </row>
        <row r="94">
          <cell r="D94">
            <v>19.608636771090506</v>
          </cell>
        </row>
        <row r="95">
          <cell r="D95">
            <v>72.550585826748843</v>
          </cell>
        </row>
      </sheetData>
      <sheetData sheetId="29">
        <row r="2">
          <cell r="E2">
            <v>1.7514773186811119</v>
          </cell>
        </row>
        <row r="3">
          <cell r="E3">
            <v>2.1398082490983557</v>
          </cell>
        </row>
        <row r="4">
          <cell r="E4">
            <v>3.2503221375332387</v>
          </cell>
        </row>
        <row r="5">
          <cell r="E5">
            <v>3.1280483352660666</v>
          </cell>
        </row>
        <row r="6">
          <cell r="E6">
            <v>1.657755537537851</v>
          </cell>
        </row>
        <row r="7">
          <cell r="E7">
            <v>0.96566908965516662</v>
          </cell>
        </row>
        <row r="8">
          <cell r="E8">
            <v>6.3536453292811039</v>
          </cell>
        </row>
        <row r="9">
          <cell r="E9">
            <v>4.4604026563522723</v>
          </cell>
        </row>
        <row r="10">
          <cell r="E10">
            <v>5.3009781589270615</v>
          </cell>
        </row>
        <row r="11">
          <cell r="E11">
            <v>4.1909320175085218</v>
          </cell>
        </row>
        <row r="12">
          <cell r="E12">
            <v>1.5854016127255348</v>
          </cell>
        </row>
        <row r="13">
          <cell r="E13">
            <v>6.1118486679454067</v>
          </cell>
        </row>
        <row r="14">
          <cell r="E14">
            <v>2.0016532316693967</v>
          </cell>
        </row>
        <row r="15">
          <cell r="E15">
            <v>2.3481930203402368</v>
          </cell>
        </row>
        <row r="16">
          <cell r="E16">
            <v>3.2469485986887721</v>
          </cell>
        </row>
        <row r="17">
          <cell r="E17">
            <v>1.597656952437307</v>
          </cell>
        </row>
        <row r="18">
          <cell r="E18">
            <v>1.2026694544700858</v>
          </cell>
        </row>
        <row r="19">
          <cell r="E19">
            <v>2.9043272980490888</v>
          </cell>
        </row>
        <row r="20">
          <cell r="E20">
            <v>1.2371727116757574</v>
          </cell>
        </row>
        <row r="21">
          <cell r="E21">
            <v>1.6693508154641841</v>
          </cell>
        </row>
        <row r="22">
          <cell r="E22">
            <v>2.7942470732119915</v>
          </cell>
        </row>
        <row r="23">
          <cell r="E23">
            <v>1.5359911710330114</v>
          </cell>
        </row>
        <row r="24">
          <cell r="E24">
            <v>1.8318941608933268</v>
          </cell>
        </row>
        <row r="25">
          <cell r="E25">
            <v>7.8705698445343453</v>
          </cell>
        </row>
        <row r="26">
          <cell r="E26">
            <v>4.3072203653376766</v>
          </cell>
        </row>
        <row r="27">
          <cell r="E27">
            <v>2.7382057203019605</v>
          </cell>
        </row>
        <row r="28">
          <cell r="E28">
            <v>2.6197080757069147</v>
          </cell>
        </row>
        <row r="29">
          <cell r="E29">
            <v>1.0565976114825613</v>
          </cell>
        </row>
        <row r="30">
          <cell r="E30">
            <v>1.9430908691410391</v>
          </cell>
        </row>
        <row r="31">
          <cell r="E31">
            <v>0.62523633001203738</v>
          </cell>
        </row>
        <row r="32">
          <cell r="E32">
            <v>4.9196069892368941</v>
          </cell>
        </row>
        <row r="33">
          <cell r="E33">
            <v>3.0210908579209463</v>
          </cell>
        </row>
        <row r="34">
          <cell r="E34">
            <v>1.2817895482831951</v>
          </cell>
        </row>
        <row r="35">
          <cell r="E35">
            <v>15.525622863846257</v>
          </cell>
        </row>
        <row r="36">
          <cell r="E36">
            <v>1.7922021620293849</v>
          </cell>
        </row>
        <row r="37">
          <cell r="E37">
            <v>0.45134129090693709</v>
          </cell>
        </row>
        <row r="38">
          <cell r="E38">
            <v>1.3898008184340895</v>
          </cell>
        </row>
        <row r="39">
          <cell r="E39">
            <v>8.809196180659864</v>
          </cell>
        </row>
        <row r="40">
          <cell r="E40">
            <v>5.8873251336520092</v>
          </cell>
        </row>
        <row r="41">
          <cell r="E41">
            <v>0.78438687245522654</v>
          </cell>
        </row>
        <row r="42">
          <cell r="E42">
            <v>8.3996160075102217</v>
          </cell>
        </row>
        <row r="43">
          <cell r="E43">
            <v>1.2258580817257214</v>
          </cell>
        </row>
        <row r="44">
          <cell r="E44">
            <v>2.43650061047884</v>
          </cell>
        </row>
        <row r="45">
          <cell r="E45">
            <v>6.5791040682098654</v>
          </cell>
        </row>
        <row r="46">
          <cell r="E46">
            <v>3.8212465840541205</v>
          </cell>
        </row>
        <row r="47">
          <cell r="E47">
            <v>7.9224235893376189</v>
          </cell>
        </row>
        <row r="48">
          <cell r="E48">
            <v>0.97644302795601812</v>
          </cell>
        </row>
        <row r="49">
          <cell r="E49">
            <v>0.82603571695879852</v>
          </cell>
        </row>
        <row r="50">
          <cell r="E50">
            <v>1.0445804919988253</v>
          </cell>
        </row>
        <row r="51">
          <cell r="E51">
            <v>4.5694483887701951</v>
          </cell>
        </row>
        <row r="52">
          <cell r="E52">
            <v>2.3837692919637092</v>
          </cell>
        </row>
        <row r="53">
          <cell r="E53">
            <v>1.4901057696549609</v>
          </cell>
        </row>
        <row r="54">
          <cell r="E54">
            <v>1.1736336348868559</v>
          </cell>
        </row>
        <row r="55">
          <cell r="E55">
            <v>1.471555491506628</v>
          </cell>
        </row>
        <row r="56">
          <cell r="E56">
            <v>2.8452382192852683</v>
          </cell>
        </row>
        <row r="57">
          <cell r="E57">
            <v>2.678957923600735</v>
          </cell>
        </row>
        <row r="58">
          <cell r="E58">
            <v>0.80947905669358267</v>
          </cell>
        </row>
        <row r="59">
          <cell r="E59">
            <v>1.6483105289966804</v>
          </cell>
        </row>
        <row r="60">
          <cell r="E60">
            <v>1.4104890383162025</v>
          </cell>
        </row>
        <row r="61">
          <cell r="E61">
            <v>2.2634376631937623</v>
          </cell>
        </row>
        <row r="62">
          <cell r="E62">
            <v>2.5021023080853402</v>
          </cell>
        </row>
        <row r="63">
          <cell r="E63">
            <v>1.343212641785148</v>
          </cell>
        </row>
        <row r="64">
          <cell r="E64">
            <v>13.480597375988856</v>
          </cell>
        </row>
        <row r="65">
          <cell r="E65">
            <v>1.441888536380342</v>
          </cell>
        </row>
        <row r="66">
          <cell r="E66">
            <v>3.2394595778384421</v>
          </cell>
        </row>
        <row r="67">
          <cell r="E67">
            <v>5.6722183225076925</v>
          </cell>
        </row>
        <row r="68">
          <cell r="E68">
            <v>2.8762504888967988</v>
          </cell>
        </row>
        <row r="69">
          <cell r="E69">
            <v>0.65055472061610997</v>
          </cell>
        </row>
        <row r="70">
          <cell r="E70">
            <v>3.4369536951030795</v>
          </cell>
        </row>
        <row r="71">
          <cell r="E71">
            <v>0.862709328691871</v>
          </cell>
        </row>
        <row r="72">
          <cell r="E72">
            <v>2.2340381402244831</v>
          </cell>
        </row>
        <row r="73">
          <cell r="E73">
            <v>0.81025514565081813</v>
          </cell>
        </row>
        <row r="74">
          <cell r="E74">
            <v>0.98109573609362766</v>
          </cell>
        </row>
        <row r="75">
          <cell r="E75">
            <v>0.72499312776739855</v>
          </cell>
        </row>
        <row r="76">
          <cell r="E76">
            <v>3.9603122718170067</v>
          </cell>
        </row>
        <row r="77">
          <cell r="E77">
            <v>1.2014034485022349</v>
          </cell>
        </row>
        <row r="78">
          <cell r="E78">
            <v>1.2161160448186801</v>
          </cell>
        </row>
        <row r="79">
          <cell r="E79">
            <v>6.5834538002097833</v>
          </cell>
        </row>
        <row r="80">
          <cell r="E80">
            <v>6.8106348713918736</v>
          </cell>
        </row>
        <row r="81">
          <cell r="E81">
            <v>1.8533086823228544</v>
          </cell>
        </row>
        <row r="82">
          <cell r="E82">
            <v>3.7714709042566041</v>
          </cell>
        </row>
        <row r="83">
          <cell r="E83">
            <v>7.6656077610643329</v>
          </cell>
        </row>
        <row r="84">
          <cell r="E84">
            <v>10.6474673612193</v>
          </cell>
        </row>
        <row r="85">
          <cell r="E85">
            <v>11.095304668870677</v>
          </cell>
        </row>
        <row r="86">
          <cell r="E86">
            <v>0.79718726476402479</v>
          </cell>
        </row>
        <row r="87">
          <cell r="E87">
            <v>2.1073536955859327</v>
          </cell>
        </row>
        <row r="88">
          <cell r="E88">
            <v>2.9214981664594153</v>
          </cell>
        </row>
        <row r="89">
          <cell r="E89">
            <v>2.1780542540197216</v>
          </cell>
        </row>
        <row r="90">
          <cell r="E90">
            <v>3.6709891119330016</v>
          </cell>
        </row>
        <row r="91">
          <cell r="E91">
            <v>1.3400874152530109</v>
          </cell>
        </row>
        <row r="92">
          <cell r="E92">
            <v>5.2608437096845719</v>
          </cell>
        </row>
        <row r="93">
          <cell r="E93">
            <v>1.8469307413824128</v>
          </cell>
        </row>
        <row r="94">
          <cell r="E94">
            <v>2.431597993549945</v>
          </cell>
        </row>
        <row r="95">
          <cell r="E95">
            <v>4.940939664901034</v>
          </cell>
        </row>
      </sheetData>
      <sheetData sheetId="30"/>
      <sheetData sheetId="31"/>
      <sheetData sheetId="32">
        <row r="2">
          <cell r="H2">
            <v>0.21254792947849876</v>
          </cell>
        </row>
        <row r="3">
          <cell r="H3">
            <v>0.12703004438534796</v>
          </cell>
        </row>
        <row r="4">
          <cell r="H4">
            <v>-0.10837641876215605</v>
          </cell>
        </row>
        <row r="5">
          <cell r="H5">
            <v>0.17908039725328107</v>
          </cell>
        </row>
        <row r="6">
          <cell r="H6">
            <v>6.3151279912088049E-2</v>
          </cell>
        </row>
        <row r="7">
          <cell r="H7">
            <v>7.9482915964166512E-2</v>
          </cell>
        </row>
        <row r="8">
          <cell r="H8">
            <v>1.9926716307348935E-4</v>
          </cell>
        </row>
        <row r="9">
          <cell r="H9">
            <v>-1.9878893258210381E-4</v>
          </cell>
        </row>
        <row r="10">
          <cell r="H10">
            <v>0.1302382056431195</v>
          </cell>
        </row>
        <row r="11">
          <cell r="H11">
            <v>0.22203947756178474</v>
          </cell>
        </row>
        <row r="12">
          <cell r="H12">
            <v>0.14843946881188957</v>
          </cell>
        </row>
        <row r="13">
          <cell r="H13">
            <v>3.6598308950019842E-3</v>
          </cell>
        </row>
        <row r="14">
          <cell r="H14">
            <v>0.18207973069883476</v>
          </cell>
        </row>
        <row r="15">
          <cell r="H15">
            <v>0.195131567973233</v>
          </cell>
        </row>
        <row r="16">
          <cell r="H16">
            <v>0.1300867452515298</v>
          </cell>
        </row>
        <row r="17">
          <cell r="H17">
            <v>0.13693265275656669</v>
          </cell>
        </row>
        <row r="18">
          <cell r="H18">
            <v>0.11000865238866055</v>
          </cell>
        </row>
        <row r="19">
          <cell r="H19">
            <v>0.14707006878043802</v>
          </cell>
        </row>
        <row r="20">
          <cell r="H20">
            <v>0.18046530915311906</v>
          </cell>
        </row>
        <row r="21">
          <cell r="H21">
            <v>0.21216102854698943</v>
          </cell>
        </row>
        <row r="22">
          <cell r="H22">
            <v>0.22731167282354162</v>
          </cell>
        </row>
        <row r="23">
          <cell r="H23">
            <v>0.1031080627281033</v>
          </cell>
        </row>
        <row r="24">
          <cell r="H24">
            <v>0.12454034333861526</v>
          </cell>
        </row>
        <row r="25">
          <cell r="H25">
            <v>7.0506081837415288E-2</v>
          </cell>
        </row>
        <row r="26">
          <cell r="H26">
            <v>0.15533891167406097</v>
          </cell>
        </row>
        <row r="27">
          <cell r="H27">
            <v>8.4427654333280935E-2</v>
          </cell>
        </row>
        <row r="28">
          <cell r="H28">
            <v>0.11232819931545503</v>
          </cell>
        </row>
        <row r="29">
          <cell r="H29">
            <v>0.11667340453145202</v>
          </cell>
        </row>
        <row r="30">
          <cell r="H30">
            <v>0.14336708006673324</v>
          </cell>
        </row>
        <row r="31">
          <cell r="H31">
            <v>9.0537065784327186E-2</v>
          </cell>
        </row>
        <row r="32">
          <cell r="H32">
            <v>0.11209610458782195</v>
          </cell>
        </row>
        <row r="33">
          <cell r="H33">
            <v>0.12555572207624333</v>
          </cell>
        </row>
        <row r="34">
          <cell r="H34">
            <v>9.987820828033038E-2</v>
          </cell>
        </row>
        <row r="35">
          <cell r="H35">
            <v>6.494341693990849E-3</v>
          </cell>
        </row>
        <row r="36">
          <cell r="H36">
            <v>0.13848942323998401</v>
          </cell>
        </row>
        <row r="37">
          <cell r="H37">
            <v>9.5179563461661634E-2</v>
          </cell>
        </row>
        <row r="38">
          <cell r="H38">
            <v>0.21756356586507522</v>
          </cell>
        </row>
        <row r="39">
          <cell r="H39">
            <v>8.0323422894788152E-2</v>
          </cell>
        </row>
        <row r="40">
          <cell r="H40">
            <v>0.19210001653794134</v>
          </cell>
        </row>
        <row r="41">
          <cell r="H41">
            <v>0.24919345921300695</v>
          </cell>
        </row>
        <row r="42">
          <cell r="H42">
            <v>0.20984981226427121</v>
          </cell>
        </row>
        <row r="43">
          <cell r="H43">
            <v>0.14905985280337444</v>
          </cell>
        </row>
        <row r="44">
          <cell r="H44">
            <v>0.12182006499456502</v>
          </cell>
        </row>
        <row r="45">
          <cell r="H45">
            <v>-3.5040177148339138E-2</v>
          </cell>
        </row>
        <row r="46">
          <cell r="H46">
            <v>0.2508846226966272</v>
          </cell>
        </row>
        <row r="47">
          <cell r="H47">
            <v>0.26041659331316175</v>
          </cell>
        </row>
        <row r="48">
          <cell r="H48">
            <v>0.14195024341640516</v>
          </cell>
        </row>
        <row r="49">
          <cell r="H49">
            <v>0.10942627831240584</v>
          </cell>
        </row>
        <row r="50">
          <cell r="H50">
            <v>0.13295927379004246</v>
          </cell>
        </row>
        <row r="51">
          <cell r="H51">
            <v>0.10085941476456123</v>
          </cell>
        </row>
        <row r="52">
          <cell r="H52">
            <v>0.13139988870645922</v>
          </cell>
        </row>
        <row r="53">
          <cell r="H53">
            <v>0.21605383185364144</v>
          </cell>
        </row>
        <row r="54">
          <cell r="H54">
            <v>0.12321939325371746</v>
          </cell>
        </row>
        <row r="55">
          <cell r="H55">
            <v>0.10474467434441784</v>
          </cell>
        </row>
        <row r="56">
          <cell r="H56">
            <v>6.3587879764470098E-2</v>
          </cell>
        </row>
        <row r="57">
          <cell r="H57">
            <v>6.2431651828758407E-2</v>
          </cell>
        </row>
        <row r="58">
          <cell r="H58">
            <v>7.3516780774635582E-2</v>
          </cell>
        </row>
        <row r="59">
          <cell r="H59">
            <v>0.12151188323646014</v>
          </cell>
        </row>
        <row r="60">
          <cell r="H60">
            <v>0.12463485927880023</v>
          </cell>
        </row>
        <row r="61">
          <cell r="H61">
            <v>5.7560900536381437E-2</v>
          </cell>
        </row>
        <row r="62">
          <cell r="H62">
            <v>0.22835718773495844</v>
          </cell>
        </row>
        <row r="63">
          <cell r="H63">
            <v>8.3477775726052417E-2</v>
          </cell>
        </row>
        <row r="64">
          <cell r="H64">
            <v>3.4260616410805349E-2</v>
          </cell>
        </row>
        <row r="65">
          <cell r="H65">
            <v>7.7787095652650518E-2</v>
          </cell>
        </row>
        <row r="66">
          <cell r="H66">
            <v>3.7749188201657506E-2</v>
          </cell>
        </row>
        <row r="67">
          <cell r="H67">
            <v>3.6684425527639959E-2</v>
          </cell>
        </row>
        <row r="68">
          <cell r="H68">
            <v>0.10101601549174961</v>
          </cell>
        </row>
        <row r="69">
          <cell r="H69">
            <v>8.8926528335698168E-2</v>
          </cell>
        </row>
        <row r="70">
          <cell r="H70">
            <v>9.8154599437172918E-2</v>
          </cell>
        </row>
        <row r="71">
          <cell r="H71">
            <v>0.12551530683819154</v>
          </cell>
        </row>
        <row r="72">
          <cell r="H72">
            <v>0.33969075732122461</v>
          </cell>
        </row>
        <row r="73">
          <cell r="H73">
            <v>7.3493102616759037E-2</v>
          </cell>
        </row>
        <row r="74">
          <cell r="H74">
            <v>0.12009403587138043</v>
          </cell>
        </row>
        <row r="75">
          <cell r="H75">
            <v>0.10855706711325305</v>
          </cell>
        </row>
        <row r="76">
          <cell r="H76">
            <v>6.5894194709945314E-2</v>
          </cell>
        </row>
        <row r="77">
          <cell r="H77">
            <v>0.13279299614966453</v>
          </cell>
        </row>
        <row r="78">
          <cell r="H78">
            <v>0.10123362293340271</v>
          </cell>
        </row>
        <row r="79">
          <cell r="H79">
            <v>0.18661866214241898</v>
          </cell>
        </row>
        <row r="80">
          <cell r="H80">
            <v>0.25117185589578167</v>
          </cell>
        </row>
        <row r="81">
          <cell r="H81">
            <v>0.19976962183355079</v>
          </cell>
        </row>
        <row r="82">
          <cell r="H82">
            <v>0.20049274906102899</v>
          </cell>
        </row>
        <row r="83">
          <cell r="H83">
            <v>0.21189984453676428</v>
          </cell>
        </row>
        <row r="84">
          <cell r="H84">
            <v>3.7949935361648916E-2</v>
          </cell>
        </row>
        <row r="85">
          <cell r="H85">
            <v>0.21376743005087168</v>
          </cell>
        </row>
        <row r="86">
          <cell r="H86">
            <v>0.20855025892651846</v>
          </cell>
        </row>
        <row r="87">
          <cell r="H87">
            <v>8.8251996263097918E-2</v>
          </cell>
        </row>
        <row r="88">
          <cell r="H88">
            <v>0.14255996042978189</v>
          </cell>
        </row>
        <row r="89">
          <cell r="H89">
            <v>0.10601975915362225</v>
          </cell>
        </row>
        <row r="90">
          <cell r="H90">
            <v>0.22495511975045038</v>
          </cell>
        </row>
        <row r="91">
          <cell r="H91">
            <v>0.11290607748214306</v>
          </cell>
        </row>
        <row r="92">
          <cell r="H92">
            <v>4.5254494138982151E-2</v>
          </cell>
        </row>
        <row r="93">
          <cell r="H93">
            <v>5.7699753318258405E-2</v>
          </cell>
        </row>
        <row r="94">
          <cell r="H94">
            <v>7.0305215243155875E-2</v>
          </cell>
        </row>
        <row r="95">
          <cell r="H95">
            <v>7.291197613687557E-2</v>
          </cell>
        </row>
      </sheetData>
      <sheetData sheetId="33">
        <row r="3">
          <cell r="H3">
            <v>0.31004565269780121</v>
          </cell>
        </row>
        <row r="4">
          <cell r="H4">
            <v>0.15691352818553894</v>
          </cell>
        </row>
        <row r="5">
          <cell r="H5">
            <v>0.18938706264681515</v>
          </cell>
        </row>
        <row r="6">
          <cell r="H6">
            <v>0.24202358225619941</v>
          </cell>
        </row>
        <row r="7">
          <cell r="H7">
            <v>0.23154247088679311</v>
          </cell>
        </row>
        <row r="8">
          <cell r="H8">
            <v>0.22947135861987436</v>
          </cell>
        </row>
        <row r="9">
          <cell r="H9">
            <v>0.19308548262966244</v>
          </cell>
        </row>
        <row r="10">
          <cell r="H10">
            <v>0.20368678246331401</v>
          </cell>
        </row>
        <row r="11">
          <cell r="H11">
            <v>0.26070513026418185</v>
          </cell>
        </row>
        <row r="12">
          <cell r="H12">
            <v>0.24433613620151137</v>
          </cell>
        </row>
        <row r="13">
          <cell r="H13">
            <v>0.22760724752419223</v>
          </cell>
        </row>
        <row r="14">
          <cell r="H14">
            <v>0.21963887009183547</v>
          </cell>
        </row>
        <row r="15">
          <cell r="H15">
            <v>0.23523115155532526</v>
          </cell>
        </row>
        <row r="16">
          <cell r="H16">
            <v>0.25522392488247392</v>
          </cell>
        </row>
        <row r="17">
          <cell r="H17">
            <v>0.25014412321263152</v>
          </cell>
        </row>
        <row r="18">
          <cell r="H18">
            <v>0.19099032988116654</v>
          </cell>
        </row>
        <row r="19">
          <cell r="H19">
            <v>0.21153545872282883</v>
          </cell>
        </row>
        <row r="20">
          <cell r="H20">
            <v>0.20150021156475381</v>
          </cell>
        </row>
        <row r="21">
          <cell r="H21">
            <v>0.2249929636464062</v>
          </cell>
        </row>
        <row r="22">
          <cell r="H22">
            <v>0.23768986525070973</v>
          </cell>
        </row>
        <row r="23">
          <cell r="H23">
            <v>0.17035675915354098</v>
          </cell>
        </row>
        <row r="24">
          <cell r="H24">
            <v>0.21413837828768953</v>
          </cell>
        </row>
        <row r="25">
          <cell r="H25">
            <v>0.18456934409629669</v>
          </cell>
        </row>
        <row r="26">
          <cell r="H26">
            <v>0.12712654679326621</v>
          </cell>
        </row>
        <row r="27">
          <cell r="H27">
            <v>0.16089749310217782</v>
          </cell>
        </row>
        <row r="28">
          <cell r="H28">
            <v>0.17821466796831487</v>
          </cell>
        </row>
        <row r="29">
          <cell r="H29">
            <v>0.19569729523838184</v>
          </cell>
        </row>
        <row r="30">
          <cell r="H30">
            <v>0.18359949239119458</v>
          </cell>
        </row>
        <row r="31">
          <cell r="H31">
            <v>0.16844309487795051</v>
          </cell>
        </row>
        <row r="32">
          <cell r="H32">
            <v>0.24283862620055652</v>
          </cell>
        </row>
        <row r="33">
          <cell r="H33">
            <v>0.21204602668043013</v>
          </cell>
        </row>
        <row r="34">
          <cell r="H34">
            <v>0.20107082775829135</v>
          </cell>
        </row>
        <row r="35">
          <cell r="H35">
            <v>0.20703968709542545</v>
          </cell>
        </row>
        <row r="36">
          <cell r="H36">
            <v>0.1783198842120734</v>
          </cell>
        </row>
        <row r="37">
          <cell r="H37">
            <v>0.21726835481707715</v>
          </cell>
        </row>
        <row r="38">
          <cell r="H38">
            <v>0.27010396352213029</v>
          </cell>
        </row>
        <row r="39">
          <cell r="H39">
            <v>0.17806765993893084</v>
          </cell>
        </row>
        <row r="40">
          <cell r="H40">
            <v>0.16741123851353215</v>
          </cell>
        </row>
        <row r="41">
          <cell r="H41">
            <v>0.16428534078844037</v>
          </cell>
        </row>
        <row r="42">
          <cell r="H42">
            <v>0.23040841393078956</v>
          </cell>
        </row>
        <row r="43">
          <cell r="H43">
            <v>0.1766586482025187</v>
          </cell>
        </row>
        <row r="44">
          <cell r="H44">
            <v>0.23025574141812541</v>
          </cell>
        </row>
        <row r="45">
          <cell r="H45">
            <v>0.20553354676893074</v>
          </cell>
        </row>
        <row r="46">
          <cell r="H46">
            <v>0.27210723698663464</v>
          </cell>
        </row>
        <row r="47">
          <cell r="H47">
            <v>0.22462842282232912</v>
          </cell>
        </row>
        <row r="48">
          <cell r="H48">
            <v>0.19744640308993899</v>
          </cell>
        </row>
        <row r="49">
          <cell r="H49">
            <v>0.22637872970427766</v>
          </cell>
        </row>
        <row r="50">
          <cell r="H50">
            <v>0.16489536355183892</v>
          </cell>
        </row>
        <row r="51">
          <cell r="H51">
            <v>0.19136468789833058</v>
          </cell>
        </row>
        <row r="52">
          <cell r="H52">
            <v>0.14114444086495001</v>
          </cell>
        </row>
        <row r="53">
          <cell r="H53">
            <v>0.21810601700699467</v>
          </cell>
        </row>
        <row r="54">
          <cell r="H54">
            <v>0.29825945511369667</v>
          </cell>
        </row>
        <row r="55">
          <cell r="H55">
            <v>0.25491346802187637</v>
          </cell>
        </row>
        <row r="56">
          <cell r="H56">
            <v>0.38641326407010551</v>
          </cell>
        </row>
        <row r="57">
          <cell r="H57">
            <v>0.27840368307861235</v>
          </cell>
        </row>
        <row r="58">
          <cell r="H58">
            <v>0.18640936151040075</v>
          </cell>
        </row>
        <row r="59">
          <cell r="H59">
            <v>0.23054839499727575</v>
          </cell>
        </row>
        <row r="60">
          <cell r="H60">
            <v>0.22168298567490585</v>
          </cell>
        </row>
        <row r="61">
          <cell r="H61">
            <v>0.21424718292394199</v>
          </cell>
        </row>
        <row r="62">
          <cell r="H62">
            <v>0.21061184872791486</v>
          </cell>
        </row>
        <row r="63">
          <cell r="H63">
            <v>0.26676370994632626</v>
          </cell>
        </row>
        <row r="64">
          <cell r="H64">
            <v>0.20637652404883514</v>
          </cell>
        </row>
        <row r="65">
          <cell r="H65">
            <v>5.7960027572714894E-2</v>
          </cell>
        </row>
        <row r="66">
          <cell r="H66">
            <v>0.32923067263862732</v>
          </cell>
        </row>
        <row r="67">
          <cell r="H67">
            <v>0.30270040782164959</v>
          </cell>
        </row>
        <row r="68">
          <cell r="H68">
            <v>0.2361623348209142</v>
          </cell>
        </row>
        <row r="69">
          <cell r="H69">
            <v>0.22618357775240699</v>
          </cell>
        </row>
        <row r="70">
          <cell r="H70">
            <v>0.17918783286549533</v>
          </cell>
        </row>
        <row r="71">
          <cell r="H71">
            <v>0.18004090559025193</v>
          </cell>
        </row>
        <row r="72">
          <cell r="H72">
            <v>0.23331464319277093</v>
          </cell>
        </row>
        <row r="73">
          <cell r="H73">
            <v>0.24108018192409669</v>
          </cell>
        </row>
        <row r="74">
          <cell r="H74">
            <v>0.23787637709889731</v>
          </cell>
        </row>
        <row r="75">
          <cell r="H75">
            <v>0.28050508954276943</v>
          </cell>
        </row>
        <row r="76">
          <cell r="H76">
            <v>0.23918278952055685</v>
          </cell>
        </row>
        <row r="77">
          <cell r="H77">
            <v>8.9684844000353606E-2</v>
          </cell>
        </row>
        <row r="78">
          <cell r="H78">
            <v>0.24871849830270823</v>
          </cell>
        </row>
        <row r="79">
          <cell r="H79">
            <v>0.22345902519286492</v>
          </cell>
        </row>
        <row r="80">
          <cell r="H80">
            <v>0.11596051089324021</v>
          </cell>
        </row>
        <row r="81">
          <cell r="H81">
            <v>0.14496038712002726</v>
          </cell>
        </row>
        <row r="82">
          <cell r="H82">
            <v>0.10227815816137052</v>
          </cell>
        </row>
        <row r="83">
          <cell r="H83">
            <v>0.17306329733118475</v>
          </cell>
        </row>
        <row r="84">
          <cell r="H84">
            <v>0.15561733491563254</v>
          </cell>
        </row>
        <row r="85">
          <cell r="H85">
            <v>0.13610793409171904</v>
          </cell>
        </row>
        <row r="86">
          <cell r="H86">
            <v>0.12545400764908832</v>
          </cell>
        </row>
        <row r="87">
          <cell r="H87">
            <v>0.204530262031031</v>
          </cell>
        </row>
        <row r="88">
          <cell r="H88">
            <v>0.29577894117737341</v>
          </cell>
        </row>
        <row r="89">
          <cell r="H89">
            <v>0.29824004011053867</v>
          </cell>
        </row>
        <row r="90">
          <cell r="H90">
            <v>0.2072867644818156</v>
          </cell>
        </row>
        <row r="91">
          <cell r="H91">
            <v>0.23568473666927278</v>
          </cell>
        </row>
        <row r="92">
          <cell r="H92">
            <v>0.23633444058717226</v>
          </cell>
        </row>
        <row r="93">
          <cell r="H93">
            <v>0.23994419910171449</v>
          </cell>
        </row>
        <row r="94">
          <cell r="H94">
            <v>0.24962927846964394</v>
          </cell>
        </row>
        <row r="95">
          <cell r="H95">
            <v>0.20862329334813268</v>
          </cell>
        </row>
        <row r="96">
          <cell r="H96">
            <v>0.29835605757624084</v>
          </cell>
        </row>
      </sheetData>
      <sheetData sheetId="34"/>
      <sheetData sheetId="35">
        <row r="3">
          <cell r="D3">
            <v>12.244853279181939</v>
          </cell>
          <cell r="E3">
            <v>19.0038240115279</v>
          </cell>
        </row>
        <row r="4">
          <cell r="D4">
            <v>14.580152005130218</v>
          </cell>
          <cell r="E4">
            <v>23.349402485976363</v>
          </cell>
        </row>
        <row r="5">
          <cell r="D5">
            <v>24.038826628279597</v>
          </cell>
          <cell r="E5" t="str">
            <v>NA</v>
          </cell>
        </row>
        <row r="6">
          <cell r="D6">
            <v>16.194467267469712</v>
          </cell>
          <cell r="E6">
            <v>21.71269977388101</v>
          </cell>
        </row>
        <row r="7">
          <cell r="D7">
            <v>14.178659732002052</v>
          </cell>
          <cell r="E7">
            <v>23.295411401861397</v>
          </cell>
        </row>
        <row r="8">
          <cell r="D8">
            <v>8.6303600375017897</v>
          </cell>
          <cell r="E8">
            <v>16.035236595518619</v>
          </cell>
        </row>
        <row r="9">
          <cell r="D9" t="str">
            <v>NA</v>
          </cell>
          <cell r="E9" t="str">
            <v>NA</v>
          </cell>
        </row>
        <row r="10">
          <cell r="D10" t="str">
            <v>NA</v>
          </cell>
          <cell r="E10" t="str">
            <v>NA</v>
          </cell>
        </row>
        <row r="11">
          <cell r="D11">
            <v>19.765968125565983</v>
          </cell>
          <cell r="E11">
            <v>24.195400759974508</v>
          </cell>
        </row>
        <row r="12">
          <cell r="D12">
            <v>19.401824087295569</v>
          </cell>
          <cell r="E12">
            <v>24.26434610924019</v>
          </cell>
        </row>
        <row r="13">
          <cell r="D13">
            <v>7.3394652714791127</v>
          </cell>
          <cell r="E13">
            <v>9.9726906511674223</v>
          </cell>
        </row>
        <row r="14">
          <cell r="D14">
            <v>145.39801135677905</v>
          </cell>
          <cell r="E14" t="str">
            <v>NA</v>
          </cell>
        </row>
        <row r="15">
          <cell r="D15">
            <v>12.88305355321155</v>
          </cell>
          <cell r="E15">
            <v>17.428755729361715</v>
          </cell>
        </row>
        <row r="16">
          <cell r="D16">
            <v>17.077872619073723</v>
          </cell>
          <cell r="E16">
            <v>26.198126833108557</v>
          </cell>
        </row>
        <row r="17">
          <cell r="D17">
            <v>9.7944340692338177</v>
          </cell>
          <cell r="E17">
            <v>17.076096431323403</v>
          </cell>
        </row>
        <row r="18">
          <cell r="D18">
            <v>8.8002307184756372</v>
          </cell>
          <cell r="E18">
            <v>12.333044234546465</v>
          </cell>
        </row>
        <row r="19">
          <cell r="D19">
            <v>6.9324763781470118</v>
          </cell>
          <cell r="E19">
            <v>10.365940777240223</v>
          </cell>
        </row>
        <row r="20">
          <cell r="D20">
            <v>14.557587354835901</v>
          </cell>
          <cell r="E20">
            <v>20.979208710878872</v>
          </cell>
        </row>
        <row r="21">
          <cell r="D21">
            <v>4.7088611102541647</v>
          </cell>
          <cell r="E21">
            <v>6.7913183886254656</v>
          </cell>
        </row>
        <row r="22">
          <cell r="D22">
            <v>15.876580918265343</v>
          </cell>
          <cell r="E22">
            <v>22.370829098468235</v>
          </cell>
        </row>
        <row r="23">
          <cell r="D23">
            <v>15.557308034826878</v>
          </cell>
          <cell r="E23">
            <v>20.602691486321962</v>
          </cell>
        </row>
        <row r="24">
          <cell r="D24">
            <v>9.6996372586891582</v>
          </cell>
          <cell r="E24">
            <v>14.413173404233582</v>
          </cell>
        </row>
        <row r="25">
          <cell r="D25">
            <v>8.3831365749235829</v>
          </cell>
          <cell r="E25">
            <v>10.344015782300399</v>
          </cell>
        </row>
        <row r="26">
          <cell r="D26">
            <v>14.132888174042824</v>
          </cell>
          <cell r="E26">
            <v>52.142945760445869</v>
          </cell>
        </row>
        <row r="27">
          <cell r="D27">
            <v>14.01756506083159</v>
          </cell>
          <cell r="E27">
            <v>19.395587124409477</v>
          </cell>
        </row>
        <row r="28">
          <cell r="D28">
            <v>12.414360129907049</v>
          </cell>
          <cell r="E28">
            <v>24.566129524393371</v>
          </cell>
        </row>
        <row r="29">
          <cell r="D29">
            <v>21.818266491429235</v>
          </cell>
          <cell r="E29">
            <v>34.207425273300665</v>
          </cell>
        </row>
        <row r="30">
          <cell r="D30">
            <v>9.8988441468484591</v>
          </cell>
          <cell r="E30">
            <v>16.025929264396034</v>
          </cell>
        </row>
        <row r="31">
          <cell r="D31">
            <v>14.615143782541514</v>
          </cell>
          <cell r="E31">
            <v>22.497559829671356</v>
          </cell>
        </row>
        <row r="32">
          <cell r="D32">
            <v>8.9609497625191672</v>
          </cell>
          <cell r="E32">
            <v>12.252415612540876</v>
          </cell>
        </row>
        <row r="33">
          <cell r="D33">
            <v>24.127976713181816</v>
          </cell>
          <cell r="E33">
            <v>45.378107854020627</v>
          </cell>
        </row>
        <row r="34">
          <cell r="D34">
            <v>15.380143335737438</v>
          </cell>
          <cell r="E34">
            <v>25.764328920387026</v>
          </cell>
        </row>
        <row r="35">
          <cell r="D35">
            <v>12.195023515818429</v>
          </cell>
          <cell r="E35">
            <v>16.870712628322</v>
          </cell>
        </row>
        <row r="36">
          <cell r="D36">
            <v>74.438384377339901</v>
          </cell>
          <cell r="E36">
            <v>90.515602341506963</v>
          </cell>
        </row>
        <row r="37">
          <cell r="D37">
            <v>13.683796806859831</v>
          </cell>
          <cell r="E37">
            <v>18.945274369533148</v>
          </cell>
        </row>
        <row r="38">
          <cell r="D38">
            <v>11.987032886936621</v>
          </cell>
          <cell r="E38">
            <v>20.291083450973815</v>
          </cell>
        </row>
        <row r="39">
          <cell r="D39">
            <v>11.630750352376241</v>
          </cell>
          <cell r="E39">
            <v>15.129473944656953</v>
          </cell>
        </row>
        <row r="40">
          <cell r="D40">
            <v>15.851426849329581</v>
          </cell>
          <cell r="E40">
            <v>25.654561215721618</v>
          </cell>
        </row>
        <row r="41">
          <cell r="D41">
            <v>20.974162855630631</v>
          </cell>
          <cell r="E41">
            <v>29.462330760705751</v>
          </cell>
        </row>
        <row r="42">
          <cell r="D42">
            <v>12.683038881189368</v>
          </cell>
          <cell r="E42">
            <v>17.286713411675677</v>
          </cell>
        </row>
        <row r="43">
          <cell r="D43">
            <v>29.037617408711874</v>
          </cell>
          <cell r="E43">
            <v>44.273563654407788</v>
          </cell>
        </row>
        <row r="44">
          <cell r="D44">
            <v>8.0277362039837303</v>
          </cell>
          <cell r="E44">
            <v>9.4614721595697659</v>
          </cell>
        </row>
        <row r="45">
          <cell r="D45">
            <v>13.521539434541531</v>
          </cell>
          <cell r="E45">
            <v>21.500034073890415</v>
          </cell>
        </row>
        <row r="46">
          <cell r="D46">
            <v>24.713120821199254</v>
          </cell>
          <cell r="E46" t="str">
            <v>NA</v>
          </cell>
        </row>
        <row r="47">
          <cell r="D47">
            <v>18.809151449521931</v>
          </cell>
          <cell r="E47">
            <v>23.975516469319455</v>
          </cell>
        </row>
        <row r="48">
          <cell r="D48">
            <v>26.303378473648436</v>
          </cell>
          <cell r="E48">
            <v>36.67215216232848</v>
          </cell>
        </row>
        <row r="49">
          <cell r="D49">
            <v>7.9863271228102919</v>
          </cell>
          <cell r="E49">
            <v>9.3401193709072938</v>
          </cell>
        </row>
        <row r="50">
          <cell r="D50">
            <v>7.2541251390193846</v>
          </cell>
          <cell r="E50">
            <v>7.6380156163523889</v>
          </cell>
        </row>
        <row r="51">
          <cell r="D51">
            <v>7.6542766585944779</v>
          </cell>
          <cell r="E51">
            <v>8.8721007114664996</v>
          </cell>
        </row>
        <row r="52">
          <cell r="D52">
            <v>14.78255129352878</v>
          </cell>
          <cell r="E52">
            <v>16.407675290618144</v>
          </cell>
        </row>
        <row r="53">
          <cell r="D53">
            <v>16.303434856006685</v>
          </cell>
          <cell r="E53">
            <v>22.952233598735038</v>
          </cell>
        </row>
        <row r="54">
          <cell r="D54">
            <v>6.3750068490793925</v>
          </cell>
          <cell r="E54">
            <v>8.7583771983557774</v>
          </cell>
        </row>
        <row r="55">
          <cell r="D55">
            <v>10.065599251074675</v>
          </cell>
          <cell r="E55">
            <v>15.357158981839506</v>
          </cell>
        </row>
        <row r="56">
          <cell r="D56">
            <v>7.02903510956682</v>
          </cell>
          <cell r="E56">
            <v>12.306310249847808</v>
          </cell>
        </row>
        <row r="57">
          <cell r="D57">
            <v>6.2335744359078378</v>
          </cell>
          <cell r="E57">
            <v>21.411936518608702</v>
          </cell>
        </row>
        <row r="58">
          <cell r="D58">
            <v>12.948055874490091</v>
          </cell>
          <cell r="E58">
            <v>21.415945721688107</v>
          </cell>
        </row>
        <row r="59">
          <cell r="D59">
            <v>9.6399721374245519</v>
          </cell>
          <cell r="E59">
            <v>17.57949170298475</v>
          </cell>
        </row>
        <row r="60">
          <cell r="D60">
            <v>11.005143848289672</v>
          </cell>
          <cell r="E60">
            <v>17.745497930040521</v>
          </cell>
        </row>
        <row r="61">
          <cell r="D61">
            <v>6.9865804986322253</v>
          </cell>
          <cell r="E61">
            <v>9.8090538702473147</v>
          </cell>
        </row>
        <row r="62">
          <cell r="D62">
            <v>10.386520327076765</v>
          </cell>
          <cell r="E62">
            <v>19.750508483198377</v>
          </cell>
        </row>
        <row r="63">
          <cell r="D63">
            <v>6.2521293526131698</v>
          </cell>
          <cell r="E63">
            <v>9.1312773733666219</v>
          </cell>
        </row>
        <row r="64">
          <cell r="D64">
            <v>11.379010335944335</v>
          </cell>
          <cell r="E64">
            <v>19.537787626586795</v>
          </cell>
        </row>
        <row r="65">
          <cell r="D65">
            <v>26.146513104680299</v>
          </cell>
          <cell r="E65">
            <v>40.963816517321291</v>
          </cell>
        </row>
        <row r="66">
          <cell r="D66">
            <v>8.9434357950478471</v>
          </cell>
          <cell r="E66">
            <v>9.6976211350502126</v>
          </cell>
        </row>
        <row r="67">
          <cell r="D67">
            <v>12.650855591494576</v>
          </cell>
          <cell r="E67">
            <v>18.877286550531263</v>
          </cell>
        </row>
        <row r="68">
          <cell r="D68">
            <v>21.607820902824379</v>
          </cell>
          <cell r="E68">
            <v>30.083822379563546</v>
          </cell>
        </row>
        <row r="69">
          <cell r="D69">
            <v>15.378595333766986</v>
          </cell>
          <cell r="E69">
            <v>25.735881414017935</v>
          </cell>
        </row>
        <row r="70">
          <cell r="D70">
            <v>10.015726253656963</v>
          </cell>
          <cell r="E70">
            <v>10.192714921860617</v>
          </cell>
        </row>
        <row r="71">
          <cell r="D71">
            <v>18.496590240760042</v>
          </cell>
          <cell r="E71">
            <v>41.982392740787354</v>
          </cell>
        </row>
        <row r="72">
          <cell r="D72">
            <v>11.044012178076592</v>
          </cell>
          <cell r="E72">
            <v>16.630568407817812</v>
          </cell>
        </row>
        <row r="73">
          <cell r="D73">
            <v>14.037315934668023</v>
          </cell>
          <cell r="E73">
            <v>17.651647619898807</v>
          </cell>
        </row>
        <row r="74">
          <cell r="D74">
            <v>13.149138617876014</v>
          </cell>
          <cell r="E74">
            <v>18.366157507363798</v>
          </cell>
        </row>
        <row r="75">
          <cell r="D75">
            <v>11.642114254864975</v>
          </cell>
          <cell r="E75">
            <v>19.377789222198967</v>
          </cell>
        </row>
        <row r="76">
          <cell r="D76">
            <v>10.513249932062731</v>
          </cell>
          <cell r="E76">
            <v>17.386192027509942</v>
          </cell>
        </row>
        <row r="77">
          <cell r="D77">
            <v>26.55054315667746</v>
          </cell>
          <cell r="E77">
            <v>106.24426828922546</v>
          </cell>
        </row>
        <row r="78">
          <cell r="D78">
            <v>10.529991306257031</v>
          </cell>
          <cell r="E78">
            <v>18.573194900869328</v>
          </cell>
        </row>
        <row r="79">
          <cell r="D79">
            <v>7.087004352675625</v>
          </cell>
          <cell r="E79">
            <v>11.704603683580871</v>
          </cell>
        </row>
        <row r="80">
          <cell r="D80">
            <v>18.65533232269221</v>
          </cell>
          <cell r="E80">
            <v>29.399261754390164</v>
          </cell>
        </row>
        <row r="81">
          <cell r="D81">
            <v>24.386264360030772</v>
          </cell>
          <cell r="E81">
            <v>28.973189212724058</v>
          </cell>
        </row>
        <row r="82">
          <cell r="D82">
            <v>6.1373457751383098</v>
          </cell>
          <cell r="E82">
            <v>7.6688972751579714</v>
          </cell>
        </row>
        <row r="83">
          <cell r="D83">
            <v>24.523763498020735</v>
          </cell>
          <cell r="E83">
            <v>31.557472062302292</v>
          </cell>
        </row>
        <row r="84">
          <cell r="D84">
            <v>21.00053848018316</v>
          </cell>
          <cell r="E84">
            <v>27.767485431592817</v>
          </cell>
        </row>
        <row r="85">
          <cell r="D85">
            <v>44.886584782884078</v>
          </cell>
          <cell r="E85" t="str">
            <v>NA</v>
          </cell>
        </row>
        <row r="86">
          <cell r="D86">
            <v>33.066827786255402</v>
          </cell>
          <cell r="E86">
            <v>47.325875947777988</v>
          </cell>
        </row>
        <row r="87">
          <cell r="D87">
            <v>4.1232803106199407</v>
          </cell>
          <cell r="E87">
            <v>5.2268644425022064</v>
          </cell>
        </row>
        <row r="88">
          <cell r="D88">
            <v>6.6010854860061876</v>
          </cell>
          <cell r="E88">
            <v>15.173588140864258</v>
          </cell>
        </row>
        <row r="89">
          <cell r="D89">
            <v>17.372103677741311</v>
          </cell>
          <cell r="E89">
            <v>24.556338163192208</v>
          </cell>
        </row>
        <row r="90">
          <cell r="D90">
            <v>6.8686212731549574</v>
          </cell>
          <cell r="E90">
            <v>13.797463726024754</v>
          </cell>
        </row>
        <row r="91">
          <cell r="D91">
            <v>8.4805062604484931</v>
          </cell>
          <cell r="E91">
            <v>10.623141750356048</v>
          </cell>
        </row>
        <row r="92">
          <cell r="D92">
            <v>11.123294375161963</v>
          </cell>
          <cell r="E92">
            <v>17.785997805766645</v>
          </cell>
        </row>
        <row r="93">
          <cell r="D93">
            <v>17.865935315820881</v>
          </cell>
          <cell r="E93">
            <v>32.801254501364184</v>
          </cell>
        </row>
        <row r="94">
          <cell r="D94">
            <v>9.766344776465516</v>
          </cell>
          <cell r="E94">
            <v>24.277437948599516</v>
          </cell>
        </row>
        <row r="95">
          <cell r="D95">
            <v>11.051706687887853</v>
          </cell>
          <cell r="E95">
            <v>19.645123742089805</v>
          </cell>
        </row>
        <row r="96">
          <cell r="D96">
            <v>13.181748254475071</v>
          </cell>
          <cell r="E96">
            <v>19.548638410045896</v>
          </cell>
        </row>
      </sheetData>
      <sheetData sheetId="36">
        <row r="13">
          <cell r="D13">
            <v>8.3060330371957647E-2</v>
          </cell>
          <cell r="G13">
            <v>4.0400000000000005E-2</v>
          </cell>
          <cell r="K13">
            <v>6.9999768589889183E-2</v>
          </cell>
        </row>
        <row r="14">
          <cell r="D14">
            <v>7.943737726321895E-2</v>
          </cell>
          <cell r="G14">
            <v>4.0400000000000005E-2</v>
          </cell>
          <cell r="K14">
            <v>6.9222618611547188E-2</v>
          </cell>
        </row>
        <row r="15">
          <cell r="D15">
            <v>9.8861793445105317E-2</v>
          </cell>
          <cell r="G15">
            <v>4.0400000000000005E-2</v>
          </cell>
          <cell r="K15">
            <v>6.0349680722566433E-2</v>
          </cell>
        </row>
        <row r="16">
          <cell r="D16">
            <v>6.5298342309709073E-2</v>
          </cell>
          <cell r="G16">
            <v>4.0400000000000005E-2</v>
          </cell>
          <cell r="K16">
            <v>6.0328052424553295E-2</v>
          </cell>
        </row>
        <row r="17">
          <cell r="D17">
            <v>8.6331489803932834E-2</v>
          </cell>
          <cell r="G17">
            <v>4.0400000000000005E-2</v>
          </cell>
          <cell r="K17">
            <v>6.8055694982118872E-2</v>
          </cell>
        </row>
        <row r="18">
          <cell r="D18">
            <v>9.5378412371654536E-2</v>
          </cell>
          <cell r="G18">
            <v>4.0400000000000005E-2</v>
          </cell>
          <cell r="K18">
            <v>8.1097559083805781E-2</v>
          </cell>
        </row>
        <row r="19">
          <cell r="D19">
            <v>6.9410667378161581E-2</v>
          </cell>
          <cell r="G19">
            <v>3.3800000000000004E-2</v>
          </cell>
          <cell r="K19">
            <v>3.6944119588191646E-2</v>
          </cell>
        </row>
        <row r="20">
          <cell r="D20">
            <v>5.3878466575052048E-2</v>
          </cell>
          <cell r="G20">
            <v>3.3800000000000004E-2</v>
          </cell>
          <cell r="K20">
            <v>3.5402662799149928E-2</v>
          </cell>
        </row>
        <row r="21">
          <cell r="D21">
            <v>6.3539467819592507E-2</v>
          </cell>
          <cell r="G21">
            <v>4.0400000000000005E-2</v>
          </cell>
          <cell r="K21">
            <v>5.9188242683440931E-2</v>
          </cell>
        </row>
        <row r="22">
          <cell r="D22">
            <v>6.1589010557521848E-2</v>
          </cell>
          <cell r="G22">
            <v>4.0400000000000005E-2</v>
          </cell>
          <cell r="K22">
            <v>5.7059203677229088E-2</v>
          </cell>
        </row>
        <row r="23">
          <cell r="D23">
            <v>7.264568609825281E-2</v>
          </cell>
          <cell r="G23">
            <v>4.0400000000000005E-2</v>
          </cell>
          <cell r="K23">
            <v>5.5383986068055474E-2</v>
          </cell>
        </row>
        <row r="24">
          <cell r="D24">
            <v>6.3305229718644704E-2</v>
          </cell>
          <cell r="G24">
            <v>4.0400000000000005E-2</v>
          </cell>
          <cell r="K24">
            <v>4.1120527496942269E-2</v>
          </cell>
        </row>
        <row r="25">
          <cell r="D25">
            <v>7.395117377923241E-2</v>
          </cell>
          <cell r="G25">
            <v>4.0400000000000005E-2</v>
          </cell>
          <cell r="K25">
            <v>6.7274656828239077E-2</v>
          </cell>
        </row>
        <row r="26">
          <cell r="D26">
            <v>7.3270148851006134E-2</v>
          </cell>
          <cell r="G26">
            <v>4.0400000000000005E-2</v>
          </cell>
          <cell r="K26">
            <v>6.6542614931463184E-2</v>
          </cell>
        </row>
        <row r="27">
          <cell r="D27">
            <v>6.7272018043794873E-2</v>
          </cell>
          <cell r="G27">
            <v>4.0400000000000005E-2</v>
          </cell>
          <cell r="K27">
            <v>5.34820051846676E-2</v>
          </cell>
        </row>
        <row r="28">
          <cell r="D28">
            <v>7.4860028594741418E-2</v>
          </cell>
          <cell r="G28">
            <v>4.0400000000000005E-2</v>
          </cell>
          <cell r="K28">
            <v>6.4806145678525051E-2</v>
          </cell>
        </row>
        <row r="29">
          <cell r="D29">
            <v>8.8905905659361059E-2</v>
          </cell>
          <cell r="G29">
            <v>3.3800000000000004E-2</v>
          </cell>
          <cell r="K29">
            <v>6.9335720044442523E-2</v>
          </cell>
        </row>
        <row r="30">
          <cell r="D30">
            <v>7.3324993042578654E-2</v>
          </cell>
          <cell r="G30">
            <v>4.0400000000000005E-2</v>
          </cell>
          <cell r="K30">
            <v>6.7364116262147292E-2</v>
          </cell>
        </row>
        <row r="31">
          <cell r="D31">
            <v>7.4377352539684763E-2</v>
          </cell>
          <cell r="G31">
            <v>4.4580000000000009E-2</v>
          </cell>
          <cell r="K31">
            <v>6.2299311198082012E-2</v>
          </cell>
        </row>
        <row r="32">
          <cell r="D32">
            <v>7.3984669080423254E-2</v>
          </cell>
          <cell r="G32">
            <v>4.0400000000000005E-2</v>
          </cell>
          <cell r="K32">
            <v>6.9100678604344851E-2</v>
          </cell>
        </row>
        <row r="33">
          <cell r="D33">
            <v>8.634971501747149E-2</v>
          </cell>
          <cell r="G33">
            <v>4.0400000000000005E-2</v>
          </cell>
          <cell r="K33">
            <v>8.1559309073939767E-2</v>
          </cell>
        </row>
        <row r="34">
          <cell r="D34">
            <v>7.5968164786105782E-2</v>
          </cell>
          <cell r="G34">
            <v>4.0400000000000005E-2</v>
          </cell>
          <cell r="K34">
            <v>6.3727582614363232E-2</v>
          </cell>
        </row>
        <row r="35">
          <cell r="D35">
            <v>7.0533653799073254E-2</v>
          </cell>
          <cell r="G35">
            <v>3.3800000000000004E-2</v>
          </cell>
          <cell r="K35">
            <v>5.403249736894087E-2</v>
          </cell>
        </row>
        <row r="36">
          <cell r="D36">
            <v>7.3196051313567198E-2</v>
          </cell>
          <cell r="G36">
            <v>4.4580000000000009E-2</v>
          </cell>
          <cell r="K36">
            <v>6.8978437289514985E-2</v>
          </cell>
        </row>
        <row r="37">
          <cell r="D37">
            <v>7.1779665559875278E-2</v>
          </cell>
          <cell r="G37">
            <v>4.0400000000000005E-2</v>
          </cell>
          <cell r="K37">
            <v>6.6380673158469142E-2</v>
          </cell>
        </row>
        <row r="38">
          <cell r="D38">
            <v>7.1023398851361524E-2</v>
          </cell>
          <cell r="G38">
            <v>4.0400000000000005E-2</v>
          </cell>
          <cell r="K38">
            <v>6.1338521607957094E-2</v>
          </cell>
        </row>
        <row r="39">
          <cell r="D39">
            <v>7.2767480583767932E-2</v>
          </cell>
          <cell r="G39">
            <v>4.0400000000000005E-2</v>
          </cell>
          <cell r="K39">
            <v>6.8082095163011058E-2</v>
          </cell>
        </row>
        <row r="40">
          <cell r="D40">
            <v>8.2992670807730012E-2</v>
          </cell>
          <cell r="G40">
            <v>4.0400000000000005E-2</v>
          </cell>
          <cell r="K40">
            <v>7.064833419978428E-2</v>
          </cell>
        </row>
        <row r="41">
          <cell r="D41">
            <v>8.3497551210962098E-2</v>
          </cell>
          <cell r="G41">
            <v>4.0400000000000005E-2</v>
          </cell>
          <cell r="K41">
            <v>7.7303236556301502E-2</v>
          </cell>
        </row>
        <row r="42">
          <cell r="D42">
            <v>7.4191707412126565E-2</v>
          </cell>
          <cell r="G42">
            <v>4.0400000000000005E-2</v>
          </cell>
          <cell r="K42">
            <v>5.3530129603529909E-2</v>
          </cell>
        </row>
        <row r="43">
          <cell r="D43">
            <v>7.5164709995844473E-2</v>
          </cell>
          <cell r="G43">
            <v>4.0400000000000005E-2</v>
          </cell>
          <cell r="K43">
            <v>6.9140825439765491E-2</v>
          </cell>
        </row>
        <row r="44">
          <cell r="D44">
            <v>7.0037816830512092E-2</v>
          </cell>
          <cell r="G44">
            <v>4.0400000000000005E-2</v>
          </cell>
          <cell r="K44">
            <v>6.0649023598223897E-2</v>
          </cell>
        </row>
        <row r="45">
          <cell r="D45">
            <v>6.5018006226174194E-2</v>
          </cell>
          <cell r="G45">
            <v>4.0400000000000005E-2</v>
          </cell>
          <cell r="K45">
            <v>5.4454129503831633E-2</v>
          </cell>
        </row>
        <row r="46">
          <cell r="D46">
            <v>6.1770082013660223E-2</v>
          </cell>
          <cell r="G46">
            <v>4.0400000000000005E-2</v>
          </cell>
          <cell r="K46">
            <v>3.4916316652523934E-2</v>
          </cell>
        </row>
        <row r="47">
          <cell r="D47">
            <v>6.0284018516156612E-2</v>
          </cell>
          <cell r="G47">
            <v>4.0400000000000005E-2</v>
          </cell>
          <cell r="K47">
            <v>5.4275874159000689E-2</v>
          </cell>
        </row>
        <row r="48">
          <cell r="D48">
            <v>6.0461722300488047E-2</v>
          </cell>
          <cell r="G48">
            <v>4.0400000000000005E-2</v>
          </cell>
          <cell r="K48">
            <v>4.7311547534783116E-2</v>
          </cell>
        </row>
        <row r="49">
          <cell r="D49">
            <v>7.5038387608566709E-2</v>
          </cell>
          <cell r="G49">
            <v>4.0400000000000005E-2</v>
          </cell>
          <cell r="K49">
            <v>6.7973255398918062E-2</v>
          </cell>
        </row>
        <row r="50">
          <cell r="D50">
            <v>6.8058363767854915E-2</v>
          </cell>
          <cell r="G50">
            <v>4.0400000000000005E-2</v>
          </cell>
          <cell r="K50">
            <v>5.5028973028020955E-2</v>
          </cell>
        </row>
        <row r="51">
          <cell r="D51">
            <v>6.9285386809929309E-2</v>
          </cell>
          <cell r="G51">
            <v>4.0400000000000005E-2</v>
          </cell>
          <cell r="K51">
            <v>6.6057327238006558E-2</v>
          </cell>
        </row>
        <row r="52">
          <cell r="D52">
            <v>6.5585445466055076E-2</v>
          </cell>
          <cell r="G52">
            <v>4.0400000000000005E-2</v>
          </cell>
          <cell r="K52">
            <v>5.7883129887982679E-2</v>
          </cell>
        </row>
        <row r="53">
          <cell r="D53">
            <v>7.0623840928894246E-2</v>
          </cell>
          <cell r="G53">
            <v>4.0400000000000005E-2</v>
          </cell>
          <cell r="K53">
            <v>6.760211504292514E-2</v>
          </cell>
        </row>
        <row r="54">
          <cell r="D54">
            <v>9.2745248211621972E-2</v>
          </cell>
          <cell r="G54">
            <v>4.0400000000000005E-2</v>
          </cell>
          <cell r="K54">
            <v>7.7207969910182847E-2</v>
          </cell>
        </row>
        <row r="55">
          <cell r="D55">
            <v>6.5707594366943248E-2</v>
          </cell>
          <cell r="G55">
            <v>4.0400000000000005E-2</v>
          </cell>
          <cell r="K55">
            <v>5.3965908203275223E-2</v>
          </cell>
        </row>
        <row r="56">
          <cell r="D56">
            <v>7.792265229850906E-2</v>
          </cell>
          <cell r="G56">
            <v>4.0400000000000005E-2</v>
          </cell>
          <cell r="K56">
            <v>6.2116731910646567E-2</v>
          </cell>
        </row>
        <row r="57">
          <cell r="D57">
            <v>6.9848448438167524E-2</v>
          </cell>
          <cell r="G57">
            <v>4.0400000000000005E-2</v>
          </cell>
          <cell r="K57">
            <v>6.5870386998923822E-2</v>
          </cell>
        </row>
        <row r="58">
          <cell r="D58">
            <v>8.1772997852902679E-2</v>
          </cell>
          <cell r="G58">
            <v>4.0400000000000005E-2</v>
          </cell>
          <cell r="K58">
            <v>7.6734718797503515E-2</v>
          </cell>
        </row>
        <row r="59">
          <cell r="D59">
            <v>5.6349443140795479E-2</v>
          </cell>
          <cell r="G59">
            <v>3.3800000000000004E-2</v>
          </cell>
          <cell r="K59">
            <v>4.7531977662977037E-2</v>
          </cell>
        </row>
        <row r="60">
          <cell r="D60">
            <v>7.1749753430442223E-2</v>
          </cell>
          <cell r="G60">
            <v>3.3800000000000004E-2</v>
          </cell>
          <cell r="K60">
            <v>4.7480975630000942E-2</v>
          </cell>
        </row>
        <row r="61">
          <cell r="D61">
            <v>6.1584597429682066E-2</v>
          </cell>
          <cell r="G61">
            <v>4.0400000000000005E-2</v>
          </cell>
          <cell r="K61">
            <v>5.4638754611271136E-2</v>
          </cell>
        </row>
        <row r="62">
          <cell r="D62">
            <v>6.0421538953726622E-2</v>
          </cell>
          <cell r="G62">
            <v>4.0400000000000005E-2</v>
          </cell>
          <cell r="K62">
            <v>5.0901150547603302E-2</v>
          </cell>
        </row>
        <row r="63">
          <cell r="D63">
            <v>7.5256636135624319E-2</v>
          </cell>
          <cell r="G63">
            <v>4.0400000000000005E-2</v>
          </cell>
          <cell r="K63">
            <v>6.9917845321614769E-2</v>
          </cell>
        </row>
        <row r="64">
          <cell r="D64">
            <v>7.2830573071781049E-2</v>
          </cell>
          <cell r="G64">
            <v>4.4580000000000009E-2</v>
          </cell>
          <cell r="K64">
            <v>6.4608543780255961E-2</v>
          </cell>
        </row>
        <row r="65">
          <cell r="D65">
            <v>7.2991508536183747E-2</v>
          </cell>
          <cell r="G65">
            <v>4.0400000000000005E-2</v>
          </cell>
          <cell r="K65">
            <v>6.3899998274981593E-2</v>
          </cell>
        </row>
        <row r="66">
          <cell r="D66">
            <v>8.2366134134085403E-2</v>
          </cell>
          <cell r="G66">
            <v>3.3800000000000004E-2</v>
          </cell>
          <cell r="K66">
            <v>7.0236310755428549E-2</v>
          </cell>
        </row>
        <row r="67">
          <cell r="D67">
            <v>9.1859349762782733E-2</v>
          </cell>
          <cell r="G67">
            <v>4.4580000000000009E-2</v>
          </cell>
          <cell r="K67">
            <v>7.5406871721378776E-2</v>
          </cell>
        </row>
        <row r="68">
          <cell r="D68">
            <v>7.6362378864680752E-2</v>
          </cell>
          <cell r="G68">
            <v>4.0400000000000005E-2</v>
          </cell>
          <cell r="K68">
            <v>5.5353669409946564E-2</v>
          </cell>
        </row>
        <row r="69">
          <cell r="D69">
            <v>8.6587786979324163E-2</v>
          </cell>
          <cell r="G69">
            <v>4.0400000000000005E-2</v>
          </cell>
          <cell r="K69">
            <v>6.6814824774440437E-2</v>
          </cell>
        </row>
        <row r="70">
          <cell r="D70">
            <v>6.5668448014540914E-2</v>
          </cell>
          <cell r="G70">
            <v>4.0400000000000005E-2</v>
          </cell>
          <cell r="K70">
            <v>5.6142870474200919E-2</v>
          </cell>
        </row>
        <row r="71">
          <cell r="D71">
            <v>7.4046046999832124E-2</v>
          </cell>
          <cell r="G71">
            <v>4.0400000000000005E-2</v>
          </cell>
          <cell r="K71">
            <v>5.9173689242748143E-2</v>
          </cell>
        </row>
        <row r="72">
          <cell r="D72">
            <v>5.9840012396830414E-2</v>
          </cell>
          <cell r="G72">
            <v>3.3800000000000004E-2</v>
          </cell>
          <cell r="K72">
            <v>4.3417497570527666E-2</v>
          </cell>
        </row>
        <row r="73">
          <cell r="D73">
            <v>6.7599966430768363E-2</v>
          </cell>
          <cell r="G73">
            <v>4.4580000000000009E-2</v>
          </cell>
          <cell r="K73">
            <v>6.3166079802516456E-2</v>
          </cell>
        </row>
        <row r="74">
          <cell r="D74">
            <v>6.415778018026691E-2</v>
          </cell>
          <cell r="G74">
            <v>4.0400000000000005E-2</v>
          </cell>
          <cell r="K74">
            <v>5.7080744787087384E-2</v>
          </cell>
        </row>
        <row r="75">
          <cell r="D75">
            <v>7.1147433496172474E-2</v>
          </cell>
          <cell r="G75">
            <v>3.3800000000000004E-2</v>
          </cell>
          <cell r="K75">
            <v>5.4367140617370774E-2</v>
          </cell>
        </row>
        <row r="76">
          <cell r="D76">
            <v>6.7680432751119263E-2</v>
          </cell>
          <cell r="G76">
            <v>4.0400000000000005E-2</v>
          </cell>
          <cell r="K76">
            <v>4.2261164810986268E-2</v>
          </cell>
        </row>
        <row r="77">
          <cell r="D77">
            <v>6.9291476314520789E-2</v>
          </cell>
          <cell r="G77">
            <v>3.3800000000000004E-2</v>
          </cell>
          <cell r="K77">
            <v>4.5690116707691748E-2</v>
          </cell>
        </row>
        <row r="78">
          <cell r="D78">
            <v>6.2336179965107749E-2</v>
          </cell>
          <cell r="G78">
            <v>4.0400000000000005E-2</v>
          </cell>
          <cell r="K78">
            <v>4.8634710293219911E-2</v>
          </cell>
        </row>
        <row r="79">
          <cell r="D79">
            <v>7.3099761226682963E-2</v>
          </cell>
          <cell r="G79">
            <v>4.0400000000000005E-2</v>
          </cell>
          <cell r="K79">
            <v>6.4546818478198889E-2</v>
          </cell>
        </row>
        <row r="80">
          <cell r="D80">
            <v>9.2954910845839997E-2</v>
          </cell>
          <cell r="G80">
            <v>3.3800000000000004E-2</v>
          </cell>
          <cell r="K80">
            <v>7.6364924022133865E-2</v>
          </cell>
        </row>
        <row r="81">
          <cell r="D81">
            <v>7.7810628627903833E-2</v>
          </cell>
          <cell r="G81">
            <v>4.0400000000000005E-2</v>
          </cell>
          <cell r="K81">
            <v>6.6248841021008725E-2</v>
          </cell>
        </row>
        <row r="82">
          <cell r="D82">
            <v>7.2750279292474337E-2</v>
          </cell>
          <cell r="G82">
            <v>4.0400000000000005E-2</v>
          </cell>
          <cell r="K82">
            <v>6.0113029826456603E-2</v>
          </cell>
        </row>
        <row r="83">
          <cell r="D83">
            <v>7.820132462138861E-2</v>
          </cell>
          <cell r="G83">
            <v>4.0400000000000005E-2</v>
          </cell>
          <cell r="K83">
            <v>7.1499060409062162E-2</v>
          </cell>
        </row>
        <row r="84">
          <cell r="D84">
            <v>6.0893577679731845E-2</v>
          </cell>
          <cell r="G84">
            <v>4.0400000000000005E-2</v>
          </cell>
          <cell r="K84">
            <v>4.8733491847247283E-2</v>
          </cell>
        </row>
        <row r="85">
          <cell r="D85">
            <v>6.8679971786581945E-2</v>
          </cell>
          <cell r="G85">
            <v>3.3800000000000004E-2</v>
          </cell>
          <cell r="K85">
            <v>5.7731311417585508E-2</v>
          </cell>
        </row>
        <row r="86">
          <cell r="D86">
            <v>5.1333693479699877E-2</v>
          </cell>
          <cell r="G86">
            <v>3.3800000000000004E-2</v>
          </cell>
          <cell r="K86">
            <v>4.215106958420755E-2</v>
          </cell>
        </row>
        <row r="87">
          <cell r="D87">
            <v>9.0403039457201712E-2</v>
          </cell>
          <cell r="G87">
            <v>4.4580000000000009E-2</v>
          </cell>
          <cell r="K87">
            <v>8.551332964146964E-2</v>
          </cell>
        </row>
        <row r="88">
          <cell r="D88">
            <v>7.8637538680966942E-2</v>
          </cell>
          <cell r="G88">
            <v>4.0400000000000005E-2</v>
          </cell>
          <cell r="K88">
            <v>6.7521799211602715E-2</v>
          </cell>
        </row>
        <row r="89">
          <cell r="D89">
            <v>8.1313035390914487E-2</v>
          </cell>
          <cell r="G89">
            <v>4.0400000000000005E-2</v>
          </cell>
          <cell r="K89">
            <v>6.6848505609292966E-2</v>
          </cell>
        </row>
        <row r="90">
          <cell r="D90">
            <v>9.7505148433244274E-2</v>
          </cell>
          <cell r="G90">
            <v>4.0400000000000005E-2</v>
          </cell>
          <cell r="K90">
            <v>9.3000856857922795E-2</v>
          </cell>
        </row>
        <row r="91">
          <cell r="D91">
            <v>0.11576969773739119</v>
          </cell>
          <cell r="G91">
            <v>4.0400000000000005E-2</v>
          </cell>
          <cell r="K91">
            <v>0.11239639614573615</v>
          </cell>
        </row>
        <row r="92">
          <cell r="D92">
            <v>7.4198452923570524E-2</v>
          </cell>
          <cell r="G92">
            <v>4.0400000000000005E-2</v>
          </cell>
          <cell r="K92">
            <v>6.1289193051868758E-2</v>
          </cell>
        </row>
        <row r="93">
          <cell r="D93">
            <v>7.4924770872827173E-2</v>
          </cell>
          <cell r="G93">
            <v>4.0400000000000005E-2</v>
          </cell>
          <cell r="K93">
            <v>7.1497613743034941E-2</v>
          </cell>
        </row>
        <row r="94">
          <cell r="D94">
            <v>8.2339839947265361E-2</v>
          </cell>
          <cell r="G94">
            <v>4.4580000000000009E-2</v>
          </cell>
          <cell r="K94">
            <v>8.0602755080260297E-2</v>
          </cell>
        </row>
        <row r="95">
          <cell r="D95">
            <v>7.4510233882297341E-2</v>
          </cell>
          <cell r="G95">
            <v>4.0400000000000005E-2</v>
          </cell>
          <cell r="K95">
            <v>7.1679662262832691E-2</v>
          </cell>
        </row>
        <row r="96">
          <cell r="D96">
            <v>7.8972413397379024E-2</v>
          </cell>
          <cell r="G96">
            <v>4.0400000000000005E-2</v>
          </cell>
          <cell r="K96">
            <v>7.630360915216676E-2</v>
          </cell>
        </row>
        <row r="97">
          <cell r="D97">
            <v>8.1025323964558263E-2</v>
          </cell>
          <cell r="G97">
            <v>4.0400000000000005E-2</v>
          </cell>
          <cell r="K97">
            <v>6.5258252448197163E-2</v>
          </cell>
        </row>
        <row r="98">
          <cell r="D98">
            <v>6.7830960082420261E-2</v>
          </cell>
          <cell r="G98">
            <v>4.0400000000000005E-2</v>
          </cell>
          <cell r="K98">
            <v>5.1651072302534337E-2</v>
          </cell>
        </row>
        <row r="99">
          <cell r="D99">
            <v>7.6708804815244988E-2</v>
          </cell>
          <cell r="G99">
            <v>4.0400000000000005E-2</v>
          </cell>
          <cell r="K99">
            <v>7.2227703396616647E-2</v>
          </cell>
        </row>
        <row r="100">
          <cell r="D100">
            <v>6.0117989101899479E-2</v>
          </cell>
          <cell r="G100">
            <v>4.0400000000000005E-2</v>
          </cell>
          <cell r="K100">
            <v>4.6936398253357228E-2</v>
          </cell>
        </row>
        <row r="101">
          <cell r="D101">
            <v>6.006212857825869E-2</v>
          </cell>
          <cell r="G101">
            <v>4.0400000000000005E-2</v>
          </cell>
          <cell r="K101">
            <v>5.3095331350618682E-2</v>
          </cell>
        </row>
        <row r="102">
          <cell r="D102">
            <v>6.8458991788895501E-2</v>
          </cell>
          <cell r="G102">
            <v>4.0400000000000005E-2</v>
          </cell>
          <cell r="K102">
            <v>5.7436913597772372E-2</v>
          </cell>
        </row>
        <row r="103">
          <cell r="D103">
            <v>5.853376102045485E-2</v>
          </cell>
          <cell r="G103">
            <v>3.3800000000000004E-2</v>
          </cell>
          <cell r="K103">
            <v>4.9107282785750848E-2</v>
          </cell>
        </row>
        <row r="104">
          <cell r="D104">
            <v>7.4548478844400412E-2</v>
          </cell>
          <cell r="G104">
            <v>4.0400000000000005E-2</v>
          </cell>
          <cell r="K104">
            <v>6.1011072454329636E-2</v>
          </cell>
        </row>
        <row r="105">
          <cell r="D105">
            <v>5.7371894361067086E-2</v>
          </cell>
          <cell r="G105">
            <v>3.3800000000000004E-2</v>
          </cell>
          <cell r="K105">
            <v>4.2690776377263026E-2</v>
          </cell>
        </row>
        <row r="106">
          <cell r="D106">
            <v>5.3443265390121626E-2</v>
          </cell>
          <cell r="G106">
            <v>4.0400000000000005E-2</v>
          </cell>
          <cell r="K106">
            <v>4.3888461630943579E-2</v>
          </cell>
        </row>
      </sheetData>
      <sheetData sheetId="37"/>
      <sheetData sheetId="38">
        <row r="2">
          <cell r="F2">
            <v>-4.2051277463476901E-2</v>
          </cell>
        </row>
        <row r="3">
          <cell r="F3">
            <v>0.41790338856432757</v>
          </cell>
        </row>
        <row r="4">
          <cell r="F4">
            <v>-8.2245625276857207E-2</v>
          </cell>
        </row>
        <row r="5">
          <cell r="F5">
            <v>0.22005913661415077</v>
          </cell>
        </row>
        <row r="6">
          <cell r="F6">
            <v>4.6013592236395201E-2</v>
          </cell>
        </row>
        <row r="7">
          <cell r="F7">
            <v>0.11745604445634995</v>
          </cell>
        </row>
        <row r="8">
          <cell r="F8" t="str">
            <v>NA</v>
          </cell>
        </row>
        <row r="9">
          <cell r="F9" t="str">
            <v>NA</v>
          </cell>
        </row>
        <row r="10">
          <cell r="F10">
            <v>8.8092151339660321E-2</v>
          </cell>
        </row>
        <row r="11">
          <cell r="F11">
            <v>-5.1763655911389386E-2</v>
          </cell>
        </row>
        <row r="12">
          <cell r="F12">
            <v>9.6895490447640426E-2</v>
          </cell>
        </row>
        <row r="13">
          <cell r="F13" t="str">
            <v>NA</v>
          </cell>
        </row>
        <row r="14">
          <cell r="F14">
            <v>0.16314694678034158</v>
          </cell>
        </row>
        <row r="15">
          <cell r="F15">
            <v>9.9017269076309228E-2</v>
          </cell>
        </row>
        <row r="16">
          <cell r="F16">
            <v>7.2116223021930015E-3</v>
          </cell>
        </row>
        <row r="17">
          <cell r="F17">
            <v>0.12701261692842419</v>
          </cell>
        </row>
        <row r="18">
          <cell r="F18">
            <v>0.1669565823564432</v>
          </cell>
        </row>
        <row r="19">
          <cell r="F19">
            <v>0.17730838243972824</v>
          </cell>
        </row>
        <row r="20">
          <cell r="F20">
            <v>-1.8569185591852402E-2</v>
          </cell>
        </row>
        <row r="21">
          <cell r="F21">
            <v>0.14396138673690137</v>
          </cell>
        </row>
        <row r="22">
          <cell r="F22">
            <v>2.2248699917148208E-2</v>
          </cell>
        </row>
        <row r="23">
          <cell r="F23">
            <v>0.11058472194030441</v>
          </cell>
        </row>
        <row r="24">
          <cell r="F24">
            <v>-0.20072186982204104</v>
          </cell>
        </row>
        <row r="25">
          <cell r="F25">
            <v>0.17868203186658602</v>
          </cell>
        </row>
        <row r="26">
          <cell r="F26">
            <v>0.15045192833609722</v>
          </cell>
        </row>
        <row r="27">
          <cell r="F27">
            <v>-9.7118872374530353E-3</v>
          </cell>
        </row>
        <row r="28">
          <cell r="F28">
            <v>0.21636832700795189</v>
          </cell>
        </row>
        <row r="29">
          <cell r="F29">
            <v>3.9618789126829777E-2</v>
          </cell>
        </row>
        <row r="30">
          <cell r="F30">
            <v>0.1854858097499861</v>
          </cell>
        </row>
        <row r="31">
          <cell r="F31">
            <v>0.15509123906441288</v>
          </cell>
        </row>
        <row r="32">
          <cell r="F32">
            <v>1.2589916254097097E-2</v>
          </cell>
        </row>
        <row r="33">
          <cell r="F33">
            <v>0.11988952282516137</v>
          </cell>
        </row>
        <row r="34">
          <cell r="F34">
            <v>0.14517355249824865</v>
          </cell>
        </row>
        <row r="35">
          <cell r="F35" t="str">
            <v>NA</v>
          </cell>
        </row>
        <row r="36">
          <cell r="F36">
            <v>0.10013888359708101</v>
          </cell>
        </row>
        <row r="37">
          <cell r="F37">
            <v>4.7295575323680165E-2</v>
          </cell>
        </row>
        <row r="38">
          <cell r="F38">
            <v>4.1233079861456516E-2</v>
          </cell>
        </row>
        <row r="39">
          <cell r="F39">
            <v>6.9564124617874604E-2</v>
          </cell>
        </row>
        <row r="40">
          <cell r="F40">
            <v>0.22638896276122888</v>
          </cell>
        </row>
        <row r="41">
          <cell r="F41">
            <v>-2.2411236119977019E-2</v>
          </cell>
        </row>
        <row r="42">
          <cell r="F42">
            <v>0.20638723073041182</v>
          </cell>
        </row>
        <row r="43">
          <cell r="F43">
            <v>0.57091637826142583</v>
          </cell>
        </row>
        <row r="44">
          <cell r="F44">
            <v>9.3346130447391776E-2</v>
          </cell>
        </row>
        <row r="45">
          <cell r="F45">
            <v>5.0054465886560286E-3</v>
          </cell>
        </row>
        <row r="46">
          <cell r="F46">
            <v>5.7872513269314425E-2</v>
          </cell>
        </row>
        <row r="47">
          <cell r="F47">
            <v>2.9300214371262769E-2</v>
          </cell>
        </row>
        <row r="48">
          <cell r="F48">
            <v>-5.498622431270411E-4</v>
          </cell>
        </row>
        <row r="49">
          <cell r="F49">
            <v>-0.97199846819700952</v>
          </cell>
        </row>
        <row r="50">
          <cell r="F50">
            <v>-0.45338302589606833</v>
          </cell>
        </row>
        <row r="51">
          <cell r="F51" t="str">
            <v>NA</v>
          </cell>
        </row>
        <row r="52">
          <cell r="F52">
            <v>0.25121665584680342</v>
          </cell>
        </row>
        <row r="53">
          <cell r="F53">
            <v>0.10743653015718156</v>
          </cell>
        </row>
        <row r="54">
          <cell r="F54">
            <v>0.12135606420140103</v>
          </cell>
        </row>
        <row r="55">
          <cell r="F55">
            <v>2.3342164039785833E-2</v>
          </cell>
        </row>
        <row r="56">
          <cell r="F56">
            <v>-3.567097690567865E-2</v>
          </cell>
        </row>
        <row r="57">
          <cell r="F57">
            <v>4.3020299058263309E-2</v>
          </cell>
        </row>
        <row r="58">
          <cell r="F58">
            <v>6.5363144339096985E-2</v>
          </cell>
        </row>
        <row r="59">
          <cell r="F59">
            <v>0.13931550194289194</v>
          </cell>
        </row>
        <row r="60">
          <cell r="F60">
            <v>0.18543258905377633</v>
          </cell>
        </row>
        <row r="61">
          <cell r="F61">
            <v>4.2268944512268425E-3</v>
          </cell>
        </row>
        <row r="62">
          <cell r="F62">
            <v>0.11643691868281297</v>
          </cell>
        </row>
        <row r="63">
          <cell r="F63">
            <v>0.10698360809996231</v>
          </cell>
        </row>
        <row r="64">
          <cell r="F64">
            <v>0.74615533449941518</v>
          </cell>
        </row>
        <row r="65">
          <cell r="F65">
            <v>1.805549796470475</v>
          </cell>
        </row>
        <row r="66">
          <cell r="F66">
            <v>1.0397745638673204</v>
          </cell>
        </row>
        <row r="67">
          <cell r="F67">
            <v>0.26767622159097937</v>
          </cell>
        </row>
        <row r="68">
          <cell r="F68">
            <v>0.32800088347109252</v>
          </cell>
        </row>
        <row r="69">
          <cell r="F69">
            <v>-0.43367502275187547</v>
          </cell>
        </row>
        <row r="70">
          <cell r="F70">
            <v>-1.1141502017233879E-2</v>
          </cell>
        </row>
        <row r="71">
          <cell r="F71">
            <v>9.2424792371049308E-2</v>
          </cell>
        </row>
        <row r="72">
          <cell r="F72">
            <v>7.1808409062686832E-2</v>
          </cell>
        </row>
        <row r="73">
          <cell r="F73">
            <v>0.15657276340722556</v>
          </cell>
        </row>
        <row r="74">
          <cell r="F74">
            <v>-1.2389119107692029E-2</v>
          </cell>
        </row>
        <row r="75">
          <cell r="F75">
            <v>-3.9995356730696603E-2</v>
          </cell>
        </row>
        <row r="76">
          <cell r="F76">
            <v>-5.8468336063625094E-2</v>
          </cell>
        </row>
        <row r="77">
          <cell r="F77">
            <v>6.2520644459389166E-2</v>
          </cell>
        </row>
        <row r="78">
          <cell r="F78">
            <v>0.2081095541822757</v>
          </cell>
        </row>
        <row r="79">
          <cell r="F79">
            <v>0.15313389629863478</v>
          </cell>
        </row>
        <row r="80">
          <cell r="F80">
            <v>0.2704854599552205</v>
          </cell>
        </row>
        <row r="81">
          <cell r="F81">
            <v>1.0200342914794207E-2</v>
          </cell>
        </row>
        <row r="82">
          <cell r="F82">
            <v>0.18056994199780721</v>
          </cell>
        </row>
        <row r="83">
          <cell r="F83">
            <v>2.066338149634591E-2</v>
          </cell>
        </row>
        <row r="84">
          <cell r="F84">
            <v>2.7312077990971958E-2</v>
          </cell>
        </row>
        <row r="85">
          <cell r="F85">
            <v>0.1408258346455214</v>
          </cell>
        </row>
        <row r="86">
          <cell r="F86">
            <v>0.13671752017113178</v>
          </cell>
        </row>
        <row r="87">
          <cell r="F87">
            <v>-0.12441445621259659</v>
          </cell>
        </row>
        <row r="88">
          <cell r="F88">
            <v>0.22811243812642415</v>
          </cell>
        </row>
        <row r="89">
          <cell r="F89">
            <v>-3.8524505423840377E-3</v>
          </cell>
        </row>
        <row r="90">
          <cell r="F90">
            <v>0.16848525456718003</v>
          </cell>
        </row>
        <row r="91">
          <cell r="F91">
            <v>4.4481685340909301E-2</v>
          </cell>
        </row>
        <row r="92">
          <cell r="F92">
            <v>6.4249580962183264E-2</v>
          </cell>
        </row>
        <row r="93">
          <cell r="F93">
            <v>7.0322082647387485E-2</v>
          </cell>
        </row>
        <row r="94">
          <cell r="F94">
            <v>-0.19589473774851959</v>
          </cell>
        </row>
        <row r="95">
          <cell r="F95">
            <v>2.0002963148320219E-2</v>
          </cell>
        </row>
      </sheetData>
      <sheetData sheetId="39">
        <row r="2">
          <cell r="B2">
            <v>348</v>
          </cell>
        </row>
      </sheetData>
      <sheetData sheetId="40">
        <row r="11">
          <cell r="C11">
            <v>4.9301099999999966E-2</v>
          </cell>
          <cell r="G11">
            <v>1.4256336664141151E-2</v>
          </cell>
        </row>
        <row r="12">
          <cell r="G12">
            <v>3.0930587252808305E-2</v>
          </cell>
        </row>
        <row r="13">
          <cell r="G13">
            <v>0.12211844838164911</v>
          </cell>
        </row>
        <row r="14">
          <cell r="G14">
            <v>3.7076869963940808E-2</v>
          </cell>
        </row>
        <row r="15">
          <cell r="G15">
            <v>6.8882672628164721E-2</v>
          </cell>
        </row>
        <row r="16">
          <cell r="G16">
            <v>4.5362951932876726E-2</v>
          </cell>
        </row>
        <row r="17">
          <cell r="G17">
            <v>3.2505868811293921E-2</v>
          </cell>
        </row>
        <row r="18">
          <cell r="G18">
            <v>4.7393923824739642E-2</v>
          </cell>
        </row>
        <row r="19">
          <cell r="G19">
            <v>4.1966264950670663E-2</v>
          </cell>
        </row>
        <row r="20">
          <cell r="G20">
            <v>4.4794497319526255E-2</v>
          </cell>
        </row>
        <row r="21">
          <cell r="G21">
            <v>3.3465454747841419E-2</v>
          </cell>
        </row>
        <row r="22">
          <cell r="G22">
            <v>3.0199249157337339E-2</v>
          </cell>
        </row>
        <row r="23">
          <cell r="G23">
            <v>3.7975504885286428E-2</v>
          </cell>
        </row>
        <row r="24">
          <cell r="G24">
            <v>2.2459011396246009E-2</v>
          </cell>
        </row>
        <row r="25">
          <cell r="G25">
            <v>0.10785785727282911</v>
          </cell>
        </row>
        <row r="26">
          <cell r="G26">
            <v>8.3992720908773272E-2</v>
          </cell>
        </row>
        <row r="27">
          <cell r="G27">
            <v>5.3503326097392334E-2</v>
          </cell>
        </row>
        <row r="28">
          <cell r="G28">
            <v>7.2185351096449954E-2</v>
          </cell>
        </row>
        <row r="29">
          <cell r="G29">
            <v>7.1084374464417358E-2</v>
          </cell>
        </row>
        <row r="30">
          <cell r="G30">
            <v>1.4734770045120372E-2</v>
          </cell>
        </row>
        <row r="31">
          <cell r="G31">
            <v>4.6925212227599641E-2</v>
          </cell>
        </row>
        <row r="32">
          <cell r="G32">
            <v>5.3591838303769686E-2</v>
          </cell>
        </row>
        <row r="33">
          <cell r="G33">
            <v>4.5552353048106523E-2</v>
          </cell>
        </row>
        <row r="34">
          <cell r="G34">
            <v>5.6319451162497959E-2</v>
          </cell>
        </row>
        <row r="35">
          <cell r="G35">
            <v>4.8696108167801858E-2</v>
          </cell>
        </row>
        <row r="36">
          <cell r="G36">
            <v>8.2834159461968163E-2</v>
          </cell>
        </row>
        <row r="37">
          <cell r="G37">
            <v>5.5195854997738276E-2</v>
          </cell>
        </row>
        <row r="38">
          <cell r="G38">
            <v>4.7338746910571695E-2</v>
          </cell>
        </row>
        <row r="39">
          <cell r="G39">
            <v>5.9545738343157954E-2</v>
          </cell>
        </row>
        <row r="40">
          <cell r="G40">
            <v>3.6186370330474595E-2</v>
          </cell>
        </row>
        <row r="41">
          <cell r="G41">
            <v>3.6654668666318453E-2</v>
          </cell>
        </row>
        <row r="42">
          <cell r="G42">
            <v>8.2578427228023873E-2</v>
          </cell>
        </row>
        <row r="43">
          <cell r="G43">
            <v>4.9096230468838674E-2</v>
          </cell>
        </row>
        <row r="44">
          <cell r="G44">
            <v>5.2228139761278478E-2</v>
          </cell>
        </row>
        <row r="45">
          <cell r="G45">
            <v>4.9946401579219091E-2</v>
          </cell>
        </row>
        <row r="46">
          <cell r="G46">
            <v>1.1201271599336642E-2</v>
          </cell>
        </row>
        <row r="47">
          <cell r="G47">
            <v>3.3146871685441733E-2</v>
          </cell>
        </row>
        <row r="48">
          <cell r="G48">
            <v>0.36688342795756146</v>
          </cell>
        </row>
        <row r="49">
          <cell r="G49">
            <v>5.6650907968019706E-2</v>
          </cell>
        </row>
        <row r="50">
          <cell r="G50">
            <v>9.6066960026611713E-3</v>
          </cell>
        </row>
        <row r="51">
          <cell r="G51">
            <v>6.6078825855740167E-2</v>
          </cell>
        </row>
        <row r="52">
          <cell r="G52">
            <v>8.8386329782231265E-3</v>
          </cell>
        </row>
        <row r="53">
          <cell r="G53">
            <v>6.4788471197078881E-2</v>
          </cell>
        </row>
        <row r="54">
          <cell r="G54">
            <v>0.1045201553250201</v>
          </cell>
        </row>
        <row r="55">
          <cell r="G55">
            <v>3.5736811720194404E-2</v>
          </cell>
        </row>
        <row r="56">
          <cell r="G56">
            <v>2.8072800633464363E-2</v>
          </cell>
        </row>
        <row r="57">
          <cell r="G57">
            <v>5.9412775338714453E-3</v>
          </cell>
        </row>
        <row r="58">
          <cell r="G58">
            <v>5.0811731053854378E-3</v>
          </cell>
        </row>
        <row r="59">
          <cell r="G59">
            <v>7.2335127135179471E-3</v>
          </cell>
        </row>
        <row r="60">
          <cell r="G60">
            <v>1.2831237553147518E-2</v>
          </cell>
        </row>
        <row r="61">
          <cell r="G61">
            <v>3.8563837623402396E-2</v>
          </cell>
        </row>
        <row r="62">
          <cell r="G62">
            <v>6.4228834131719953E-2</v>
          </cell>
        </row>
        <row r="63">
          <cell r="G63">
            <v>2.7746152386992771E-2</v>
          </cell>
        </row>
        <row r="64">
          <cell r="G64">
            <v>8.2383581625027874E-2</v>
          </cell>
        </row>
        <row r="65">
          <cell r="G65">
            <v>0.22404785093157395</v>
          </cell>
        </row>
        <row r="66">
          <cell r="G66">
            <v>0.10696577717612994</v>
          </cell>
        </row>
        <row r="67">
          <cell r="G67">
            <v>3.8281770162028113E-2</v>
          </cell>
        </row>
        <row r="68">
          <cell r="G68">
            <v>6.4246096782973675E-2</v>
          </cell>
        </row>
        <row r="69">
          <cell r="G69">
            <v>7.4804003045838716E-2</v>
          </cell>
        </row>
        <row r="70">
          <cell r="G70">
            <v>0.16473923320166431</v>
          </cell>
        </row>
        <row r="71">
          <cell r="G71">
            <v>0.15522177245302937</v>
          </cell>
        </row>
        <row r="72">
          <cell r="G72">
            <v>3.0724811606501541E-2</v>
          </cell>
        </row>
        <row r="73">
          <cell r="G73">
            <v>8.7043868668513075E-2</v>
          </cell>
        </row>
        <row r="74">
          <cell r="G74">
            <v>2.6775049730339999E-2</v>
          </cell>
        </row>
        <row r="75">
          <cell r="G75">
            <v>7.5405845668792132E-2</v>
          </cell>
        </row>
        <row r="76">
          <cell r="G76">
            <v>3.2973785267571214E-2</v>
          </cell>
        </row>
        <row r="77">
          <cell r="G77">
            <v>5.6784323565288938E-2</v>
          </cell>
        </row>
        <row r="78">
          <cell r="G78">
            <v>1.3934921282063148E-3</v>
          </cell>
        </row>
        <row r="79">
          <cell r="G79">
            <v>4.4140529596335673E-2</v>
          </cell>
        </row>
        <row r="80">
          <cell r="G80">
            <v>1.9008305142296889E-2</v>
          </cell>
        </row>
        <row r="81">
          <cell r="G81">
            <v>2.1465926760283006E-2</v>
          </cell>
        </row>
        <row r="82">
          <cell r="G82">
            <v>2.8562048295478558E-2</v>
          </cell>
        </row>
        <row r="83">
          <cell r="G83">
            <v>2.610868471618679E-2</v>
          </cell>
        </row>
        <row r="84">
          <cell r="G84">
            <v>2.7462925418268658E-2</v>
          </cell>
        </row>
        <row r="85">
          <cell r="G85">
            <v>8.9748973705093105E-2</v>
          </cell>
        </row>
        <row r="86">
          <cell r="G86">
            <v>1.7355707759161731E-2</v>
          </cell>
        </row>
        <row r="87">
          <cell r="G87">
            <v>5.7511137121447307E-2</v>
          </cell>
        </row>
        <row r="88">
          <cell r="G88">
            <v>0.16275659751404498</v>
          </cell>
        </row>
        <row r="89">
          <cell r="G89">
            <v>6.4554687037555278E-2</v>
          </cell>
        </row>
        <row r="90">
          <cell r="G90">
            <v>8.2039658720536271E-2</v>
          </cell>
        </row>
        <row r="91">
          <cell r="G91">
            <v>1.5748787242825232E-2</v>
          </cell>
        </row>
        <row r="92">
          <cell r="G92">
            <v>9.7483157278038746E-2</v>
          </cell>
        </row>
        <row r="93">
          <cell r="G93">
            <v>6.7568402662837271E-2</v>
          </cell>
        </row>
        <row r="94">
          <cell r="G94">
            <v>6.0715054124616939E-2</v>
          </cell>
        </row>
        <row r="95">
          <cell r="G95">
            <v>4.9431469182001406E-2</v>
          </cell>
        </row>
        <row r="96">
          <cell r="G96">
            <v>0.16150854671787143</v>
          </cell>
        </row>
        <row r="97">
          <cell r="G97">
            <v>3.3236242775729251E-2</v>
          </cell>
        </row>
        <row r="98">
          <cell r="G98">
            <v>0.14744952256958729</v>
          </cell>
        </row>
        <row r="99">
          <cell r="G99">
            <v>2.3246562724591788E-2</v>
          </cell>
        </row>
        <row r="100">
          <cell r="G100">
            <v>4.5641737736397854E-2</v>
          </cell>
        </row>
        <row r="101">
          <cell r="G101">
            <v>0.17324003750331632</v>
          </cell>
        </row>
        <row r="102">
          <cell r="G102">
            <v>7.9256142417247211E-2</v>
          </cell>
        </row>
        <row r="103">
          <cell r="G103">
            <v>0.15870795467633098</v>
          </cell>
        </row>
        <row r="104">
          <cell r="G104">
            <v>0.23466442848800448</v>
          </cell>
        </row>
      </sheetData>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8"/>
  <sheetViews>
    <sheetView zoomScaleNormal="100" workbookViewId="0">
      <selection activeCell="F13" sqref="F13"/>
    </sheetView>
  </sheetViews>
  <sheetFormatPr baseColWidth="10" defaultRowHeight="12"/>
  <cols>
    <col min="1" max="1" width="49.6640625" style="4" customWidth="1"/>
    <col min="2" max="2" width="26.5" style="4" customWidth="1"/>
    <col min="3" max="3" width="17" style="4" customWidth="1"/>
    <col min="4" max="4" width="16.6640625" style="4" customWidth="1"/>
    <col min="5" max="7" width="10.83203125" style="4"/>
    <col min="8" max="8" width="11" style="4" bestFit="1" customWidth="1"/>
    <col min="9" max="9" width="13.5" style="4" customWidth="1"/>
    <col min="10" max="10" width="15" style="4" bestFit="1" customWidth="1"/>
    <col min="11" max="11" width="17.5" style="4" bestFit="1" customWidth="1"/>
    <col min="12" max="16384" width="10.83203125" style="4"/>
  </cols>
  <sheetData>
    <row r="1" spans="1:10" ht="13">
      <c r="A1" s="205" t="s">
        <v>383</v>
      </c>
      <c r="B1" s="225">
        <v>43100</v>
      </c>
      <c r="C1" s="168" t="s">
        <v>384</v>
      </c>
      <c r="D1" s="169"/>
      <c r="E1" s="169"/>
      <c r="F1" s="169"/>
      <c r="G1" s="169"/>
      <c r="H1" s="169"/>
      <c r="I1" s="169"/>
      <c r="J1" s="170"/>
    </row>
    <row r="2" spans="1:10" s="56" customFormat="1" ht="14" thickBot="1">
      <c r="A2" s="53" t="s">
        <v>34</v>
      </c>
      <c r="B2" s="226" t="s">
        <v>682</v>
      </c>
      <c r="C2" s="206" t="s">
        <v>100</v>
      </c>
      <c r="D2" s="81"/>
      <c r="E2" s="81"/>
      <c r="F2" s="81"/>
      <c r="G2" s="81"/>
      <c r="H2" s="81"/>
      <c r="I2" s="81"/>
      <c r="J2" s="207"/>
    </row>
    <row r="3" spans="1:10" s="56" customFormat="1" ht="14" thickBot="1">
      <c r="A3" s="385" t="s">
        <v>428</v>
      </c>
      <c r="B3" s="386"/>
      <c r="C3" s="387"/>
      <c r="D3" s="387"/>
      <c r="E3" s="388"/>
      <c r="F3" s="388"/>
      <c r="G3" s="388"/>
      <c r="H3" s="388"/>
      <c r="I3" s="388"/>
      <c r="J3" s="389"/>
    </row>
    <row r="4" spans="1:10" s="56" customFormat="1" ht="13">
      <c r="A4" s="57"/>
      <c r="B4" s="57" t="s">
        <v>177</v>
      </c>
      <c r="C4" s="171" t="s">
        <v>178</v>
      </c>
      <c r="D4" s="81"/>
      <c r="E4" s="382" t="s">
        <v>700</v>
      </c>
      <c r="F4" s="382"/>
      <c r="G4" s="382"/>
      <c r="H4" s="382"/>
      <c r="I4" s="382"/>
      <c r="J4" s="383"/>
    </row>
    <row r="5" spans="1:10" s="56" customFormat="1" ht="13">
      <c r="A5" s="155" t="s">
        <v>443</v>
      </c>
      <c r="B5" s="229" t="s">
        <v>694</v>
      </c>
      <c r="C5" s="171"/>
      <c r="D5" s="81"/>
      <c r="E5" s="81"/>
      <c r="F5" s="81"/>
      <c r="G5" s="81"/>
      <c r="H5" s="81"/>
      <c r="I5" s="81"/>
    </row>
    <row r="6" spans="1:10" s="56" customFormat="1" ht="13">
      <c r="A6" s="155" t="s">
        <v>433</v>
      </c>
      <c r="B6" s="156" t="s">
        <v>699</v>
      </c>
      <c r="C6" s="81"/>
      <c r="D6" s="81"/>
      <c r="E6" s="81"/>
      <c r="F6" s="81"/>
      <c r="G6" s="81"/>
      <c r="H6" s="81"/>
      <c r="I6" s="81"/>
    </row>
    <row r="7" spans="1:10" s="56" customFormat="1" ht="13">
      <c r="A7" s="155" t="s">
        <v>434</v>
      </c>
      <c r="B7" s="156" t="s">
        <v>699</v>
      </c>
      <c r="C7" s="243" t="s">
        <v>393</v>
      </c>
      <c r="D7" s="243" t="s">
        <v>528</v>
      </c>
      <c r="E7" s="81"/>
      <c r="F7" s="81"/>
      <c r="G7" s="81"/>
      <c r="H7" s="81"/>
      <c r="I7" s="81"/>
    </row>
    <row r="8" spans="1:10" s="56" customFormat="1" ht="13">
      <c r="A8" s="60" t="s">
        <v>11</v>
      </c>
      <c r="B8" s="366">
        <v>32357222</v>
      </c>
      <c r="C8" s="366">
        <v>49306938</v>
      </c>
      <c r="D8" s="242">
        <v>1.25</v>
      </c>
    </row>
    <row r="9" spans="1:10" s="56" customFormat="1" ht="13">
      <c r="A9" s="60" t="s">
        <v>29</v>
      </c>
      <c r="B9" s="366">
        <v>-250829</v>
      </c>
      <c r="C9" s="366">
        <v>1113646</v>
      </c>
      <c r="D9" s="242">
        <v>1.25</v>
      </c>
    </row>
    <row r="10" spans="1:10" s="56" customFormat="1" ht="13">
      <c r="A10" s="60" t="s">
        <v>436</v>
      </c>
      <c r="B10" s="366">
        <v>351778</v>
      </c>
      <c r="C10" s="366">
        <v>349904</v>
      </c>
      <c r="D10" s="61"/>
    </row>
    <row r="11" spans="1:10" s="56" customFormat="1" ht="13">
      <c r="A11" s="60" t="s">
        <v>30</v>
      </c>
      <c r="B11" s="366">
        <v>14405108</v>
      </c>
      <c r="C11" s="366">
        <v>17468081</v>
      </c>
      <c r="D11" s="61"/>
    </row>
    <row r="12" spans="1:10" s="56" customFormat="1" ht="13">
      <c r="A12" s="60" t="s">
        <v>31</v>
      </c>
      <c r="B12" s="366">
        <v>16715192</v>
      </c>
      <c r="C12" s="366">
        <v>14751920</v>
      </c>
      <c r="D12" s="61"/>
    </row>
    <row r="13" spans="1:10" s="56" customFormat="1" ht="13">
      <c r="A13" s="159" t="s">
        <v>423</v>
      </c>
      <c r="B13" s="195" t="s">
        <v>57</v>
      </c>
      <c r="C13" s="196" t="s">
        <v>424</v>
      </c>
      <c r="D13" s="61"/>
    </row>
    <row r="14" spans="1:10" s="56" customFormat="1" ht="13">
      <c r="A14" s="60" t="s">
        <v>243</v>
      </c>
      <c r="B14" s="84" t="s">
        <v>51</v>
      </c>
      <c r="C14" s="61" t="s">
        <v>246</v>
      </c>
      <c r="D14" s="61"/>
    </row>
    <row r="15" spans="1:10" s="56" customFormat="1" ht="13">
      <c r="A15" s="60" t="s">
        <v>511</v>
      </c>
      <c r="B15" s="366">
        <v>6699463</v>
      </c>
      <c r="C15" s="366">
        <v>4573146</v>
      </c>
      <c r="D15" s="61"/>
    </row>
    <row r="16" spans="1:10" s="56" customFormat="1" ht="13">
      <c r="A16" s="60" t="s">
        <v>512</v>
      </c>
      <c r="B16" s="367">
        <v>0</v>
      </c>
      <c r="C16" s="366">
        <v>0</v>
      </c>
      <c r="D16" s="61"/>
    </row>
    <row r="17" spans="1:11" s="56" customFormat="1" ht="13">
      <c r="A17" s="60" t="s">
        <v>389</v>
      </c>
      <c r="B17" s="367">
        <v>0</v>
      </c>
      <c r="C17" s="366">
        <v>0</v>
      </c>
      <c r="D17" s="61"/>
    </row>
    <row r="18" spans="1:11" s="56" customFormat="1" ht="14" thickBot="1">
      <c r="A18" s="60" t="s">
        <v>32</v>
      </c>
      <c r="B18" s="157">
        <v>83.6</v>
      </c>
      <c r="C18" s="361"/>
    </row>
    <row r="19" spans="1:11" s="56" customFormat="1" ht="13">
      <c r="A19" s="60" t="s">
        <v>33</v>
      </c>
      <c r="B19" s="366">
        <v>273500</v>
      </c>
      <c r="C19" s="361"/>
      <c r="E19" s="85" t="s">
        <v>242</v>
      </c>
      <c r="F19" s="54"/>
      <c r="G19" s="54"/>
      <c r="H19" s="54"/>
      <c r="I19" s="54"/>
      <c r="J19" s="54"/>
      <c r="K19" s="55"/>
    </row>
    <row r="20" spans="1:11" s="56" customFormat="1" ht="13">
      <c r="A20" s="62" t="s">
        <v>104</v>
      </c>
      <c r="B20" s="63">
        <v>0.25</v>
      </c>
      <c r="C20" s="61"/>
      <c r="E20" s="204" t="s">
        <v>427</v>
      </c>
      <c r="F20" s="81"/>
      <c r="G20" s="81"/>
      <c r="H20" s="81"/>
      <c r="I20" s="81"/>
      <c r="J20" s="81"/>
      <c r="K20" s="87"/>
    </row>
    <row r="21" spans="1:11" s="56" customFormat="1" ht="13">
      <c r="A21" s="62" t="s">
        <v>105</v>
      </c>
      <c r="B21" s="63">
        <v>0.25</v>
      </c>
      <c r="C21" s="61"/>
      <c r="E21" s="154"/>
      <c r="F21" s="81"/>
      <c r="G21" s="81"/>
      <c r="H21" s="81"/>
      <c r="I21" s="159" t="s">
        <v>238</v>
      </c>
      <c r="J21" s="159" t="s">
        <v>240</v>
      </c>
      <c r="K21" s="87" t="s">
        <v>435</v>
      </c>
    </row>
    <row r="22" spans="1:11" s="56" customFormat="1" ht="13">
      <c r="A22" s="64" t="s">
        <v>35</v>
      </c>
      <c r="B22" s="65"/>
      <c r="C22" s="61"/>
      <c r="E22" s="86" t="s">
        <v>173</v>
      </c>
      <c r="F22" s="81"/>
      <c r="G22" s="81"/>
      <c r="H22" s="81"/>
      <c r="I22" s="255">
        <f>IF(C8&gt;0,(B8/C8)^(1/D8)-1, "NA")</f>
        <v>-0.28607834365618212</v>
      </c>
      <c r="J22" s="255">
        <f>VLOOKUP(B6,'Industry Averages(US)'!A2:S95,3)</f>
        <v>0.17722259999999992</v>
      </c>
      <c r="K22" s="378">
        <f>VLOOKUP(B7,'Industry Average Beta (Global)'!A2:N95,3)</f>
        <v>0.145828258642766</v>
      </c>
    </row>
    <row r="23" spans="1:11" s="56" customFormat="1" ht="13">
      <c r="A23" s="345" t="s">
        <v>655</v>
      </c>
      <c r="B23" s="344">
        <v>0.5</v>
      </c>
      <c r="C23" s="61"/>
      <c r="E23" s="86" t="s">
        <v>174</v>
      </c>
      <c r="F23" s="81"/>
      <c r="G23" s="81"/>
      <c r="H23" s="81"/>
      <c r="I23" s="255">
        <f>'Valuation output'!B4</f>
        <v>-6.5022331027057888E-3</v>
      </c>
      <c r="J23" s="256">
        <f>VLOOKUP(B6,'Industry Averages(US)'!A2:AA95,4)</f>
        <v>0.24021702846099471</v>
      </c>
      <c r="K23" s="378">
        <f>VLOOKUP(B7,'Industry Average Beta (Global)'!A2:N95,4)</f>
        <v>0.20319437339736357</v>
      </c>
    </row>
    <row r="24" spans="1:11" s="56" customFormat="1" ht="13">
      <c r="A24" s="345" t="s">
        <v>657</v>
      </c>
      <c r="B24" s="344">
        <v>0.03</v>
      </c>
      <c r="C24" s="61"/>
      <c r="E24" s="86" t="s">
        <v>175</v>
      </c>
      <c r="F24" s="81"/>
      <c r="G24" s="81"/>
      <c r="H24" s="81"/>
      <c r="I24" s="257">
        <f>B8/'Valuation output'!B39</f>
        <v>1.2868599302764292</v>
      </c>
      <c r="J24" s="257">
        <f>VLOOKUP(B6,'Industry Averages(US)'!A2:S95,14)</f>
        <v>0.99595802099630049</v>
      </c>
      <c r="K24" s="379">
        <f>VLOOKUP(B7,'Industry Average Beta (Global)'!A2:N95,14)</f>
        <v>1.0378903576603373</v>
      </c>
    </row>
    <row r="25" spans="1:11" s="56" customFormat="1" ht="13">
      <c r="A25" s="60" t="s">
        <v>656</v>
      </c>
      <c r="B25" s="66">
        <v>0.05</v>
      </c>
      <c r="C25" s="61" t="s">
        <v>515</v>
      </c>
      <c r="E25" s="86" t="s">
        <v>176</v>
      </c>
      <c r="F25" s="81"/>
      <c r="G25" s="81"/>
      <c r="H25" s="81"/>
      <c r="I25" s="256">
        <f>'Valuation output'!B7/'Valuation output'!B39</f>
        <v>-8.3674632371890621E-3</v>
      </c>
      <c r="J25" s="256">
        <f>VLOOKUP(B6,'Industry Averages(US)'!A2:S95,5)</f>
        <v>0.25031590754955452</v>
      </c>
      <c r="K25" s="378">
        <f>VLOOKUP(B7,'Industry Average Beta (Global)'!A2:N95,5)</f>
        <v>0.21376743005087168</v>
      </c>
    </row>
    <row r="26" spans="1:11" s="56" customFormat="1" ht="13">
      <c r="A26" s="60" t="s">
        <v>49</v>
      </c>
      <c r="B26" s="66">
        <v>7.4999999999999997E-2</v>
      </c>
      <c r="C26" s="61" t="s">
        <v>513</v>
      </c>
      <c r="E26" s="86" t="s">
        <v>382</v>
      </c>
      <c r="F26" s="81"/>
      <c r="G26" s="81"/>
      <c r="H26" s="81"/>
      <c r="I26" s="167"/>
      <c r="J26" s="258">
        <f>VLOOKUP(B6,'Industry Averages(US)'!A2:S95,10)</f>
        <v>0.45739896259792873</v>
      </c>
      <c r="K26" s="378">
        <f>VLOOKUP(B6,'Industry Average Beta (Global)'!A2:Z95,10)</f>
        <v>0.39592214923174668</v>
      </c>
    </row>
    <row r="27" spans="1:11" s="56" customFormat="1" ht="14" thickBot="1">
      <c r="A27" s="60" t="s">
        <v>584</v>
      </c>
      <c r="B27" s="67">
        <v>10</v>
      </c>
      <c r="C27" s="61" t="s">
        <v>585</v>
      </c>
      <c r="E27" s="58" t="s">
        <v>381</v>
      </c>
      <c r="F27" s="59"/>
      <c r="G27" s="59"/>
      <c r="H27" s="59"/>
      <c r="I27" s="59"/>
      <c r="J27" s="259">
        <f>VLOOKUP(B6,'Industry Averages(US)'!A2:S95,13)</f>
        <v>6.1489569931495326E-2</v>
      </c>
      <c r="K27" s="380">
        <f>VLOOKUP(B6,'Industry Average Beta (Global)'!A2:Z95,13)</f>
        <v>7.630360915216676E-2</v>
      </c>
    </row>
    <row r="28" spans="1:11" s="56" customFormat="1" ht="14" thickBot="1">
      <c r="A28" s="60" t="s">
        <v>679</v>
      </c>
      <c r="B28" s="67">
        <v>10</v>
      </c>
      <c r="C28" s="61" t="s">
        <v>514</v>
      </c>
    </row>
    <row r="29" spans="1:11" s="56" customFormat="1" ht="13">
      <c r="A29" s="60" t="s">
        <v>680</v>
      </c>
      <c r="B29" s="67">
        <v>5</v>
      </c>
      <c r="C29" s="61"/>
      <c r="E29" s="390" t="s">
        <v>516</v>
      </c>
      <c r="F29" s="391"/>
      <c r="G29" s="391"/>
      <c r="H29" s="391"/>
      <c r="I29" s="391"/>
      <c r="J29" s="392"/>
    </row>
    <row r="30" spans="1:11" s="56" customFormat="1" ht="13">
      <c r="A30" s="60" t="s">
        <v>678</v>
      </c>
      <c r="B30" s="67">
        <v>1.5</v>
      </c>
      <c r="C30" s="61"/>
      <c r="E30" s="244" t="s">
        <v>517</v>
      </c>
      <c r="F30" s="62"/>
      <c r="G30" s="62"/>
      <c r="H30" s="62"/>
      <c r="I30" s="62"/>
      <c r="J30" s="254">
        <f>'Valuation output'!M3</f>
        <v>70427932.234707221</v>
      </c>
    </row>
    <row r="31" spans="1:11" s="56" customFormat="1" ht="13">
      <c r="A31" s="64" t="s">
        <v>36</v>
      </c>
      <c r="B31" s="68"/>
      <c r="C31" s="61"/>
      <c r="E31" s="244" t="s">
        <v>519</v>
      </c>
      <c r="F31" s="62"/>
      <c r="G31" s="62"/>
      <c r="H31" s="62"/>
      <c r="I31" s="62"/>
      <c r="J31" s="254">
        <f>'Valuation output'!M5</f>
        <v>5282094.917603041</v>
      </c>
    </row>
    <row r="32" spans="1:11" s="56" customFormat="1" ht="13">
      <c r="A32" s="60" t="s">
        <v>27</v>
      </c>
      <c r="B32" s="66">
        <v>1.6899999999999998E-2</v>
      </c>
      <c r="C32" s="61"/>
      <c r="E32" s="244" t="s">
        <v>518</v>
      </c>
      <c r="F32" s="62"/>
      <c r="G32" s="62"/>
      <c r="H32" s="62"/>
      <c r="I32" s="62"/>
      <c r="J32" s="255">
        <f>'Valuation output'!L40</f>
        <v>0.10535141756022461</v>
      </c>
    </row>
    <row r="33" spans="1:14" s="56" customFormat="1" ht="14" thickBot="1">
      <c r="A33" s="60" t="s">
        <v>38</v>
      </c>
      <c r="B33" s="158">
        <f>'Cost of capital worksheet'!E50</f>
        <v>7.3122455580355072E-2</v>
      </c>
      <c r="C33" s="61"/>
      <c r="E33" s="245" t="s">
        <v>520</v>
      </c>
      <c r="F33" s="59"/>
      <c r="G33" s="59"/>
      <c r="H33" s="59"/>
      <c r="I33" s="59"/>
      <c r="J33" s="246"/>
    </row>
    <row r="34" spans="1:14" s="56" customFormat="1" ht="13">
      <c r="A34" s="64" t="s">
        <v>89</v>
      </c>
      <c r="B34" s="69"/>
      <c r="C34" s="69"/>
      <c r="D34" s="61"/>
    </row>
    <row r="35" spans="1:14" s="56" customFormat="1" ht="14">
      <c r="A35" s="62" t="s">
        <v>245</v>
      </c>
      <c r="B35" s="158" t="s">
        <v>51</v>
      </c>
      <c r="C35"/>
      <c r="D35" s="61"/>
    </row>
    <row r="36" spans="1:14" s="56" customFormat="1" ht="13">
      <c r="A36" s="62" t="s">
        <v>90</v>
      </c>
      <c r="B36" s="67">
        <v>7.72</v>
      </c>
      <c r="C36" s="253"/>
      <c r="D36" s="61"/>
    </row>
    <row r="37" spans="1:14" s="73" customFormat="1" ht="13">
      <c r="A37" s="62" t="s">
        <v>91</v>
      </c>
      <c r="B37" s="70">
        <v>1.29</v>
      </c>
      <c r="C37" s="252"/>
      <c r="D37" s="61"/>
      <c r="H37" s="56"/>
      <c r="I37" s="56"/>
      <c r="J37" s="56"/>
      <c r="K37" s="56"/>
      <c r="L37" s="56"/>
      <c r="M37" s="56"/>
      <c r="N37" s="56"/>
    </row>
    <row r="38" spans="1:14" s="56" customFormat="1" ht="13">
      <c r="A38" s="62" t="s">
        <v>92</v>
      </c>
      <c r="B38" s="67">
        <v>7</v>
      </c>
      <c r="C38" s="253"/>
      <c r="D38" s="61"/>
    </row>
    <row r="39" spans="1:14" s="56" customFormat="1" ht="13">
      <c r="A39" s="62" t="s">
        <v>93</v>
      </c>
      <c r="B39" s="66">
        <v>0.45</v>
      </c>
      <c r="C39" s="61"/>
      <c r="N39" s="73"/>
    </row>
    <row r="40" spans="1:14" s="73" customFormat="1" ht="13">
      <c r="A40" s="62"/>
      <c r="B40" s="71"/>
      <c r="C40" s="69"/>
      <c r="D40" s="61"/>
      <c r="N40" s="56"/>
    </row>
    <row r="41" spans="1:14" s="56" customFormat="1" ht="13">
      <c r="A41" s="384" t="s">
        <v>106</v>
      </c>
      <c r="B41" s="384"/>
      <c r="C41" s="82"/>
      <c r="D41" s="61"/>
    </row>
    <row r="42" spans="1:14" s="56" customFormat="1" ht="13">
      <c r="A42" s="72" t="s">
        <v>107</v>
      </c>
      <c r="B42" s="72"/>
      <c r="C42" s="83"/>
      <c r="D42" s="61"/>
      <c r="N42" s="73"/>
    </row>
    <row r="43" spans="1:14" s="56" customFormat="1" ht="13">
      <c r="A43" s="74" t="s">
        <v>39</v>
      </c>
      <c r="B43" s="75" t="s">
        <v>51</v>
      </c>
      <c r="C43" s="61" t="s">
        <v>54</v>
      </c>
      <c r="H43" s="73"/>
      <c r="I43" s="73"/>
      <c r="J43" s="73"/>
      <c r="K43" s="73"/>
      <c r="L43" s="73"/>
      <c r="M43" s="73"/>
    </row>
    <row r="44" spans="1:14" s="56" customFormat="1" ht="13">
      <c r="A44" s="74" t="s">
        <v>41</v>
      </c>
      <c r="B44" s="158">
        <v>7.4999999999999997E-2</v>
      </c>
      <c r="C44" s="61" t="s">
        <v>681</v>
      </c>
    </row>
    <row r="45" spans="1:14" s="56" customFormat="1" ht="13">
      <c r="A45" s="73" t="s">
        <v>108</v>
      </c>
      <c r="B45" s="73"/>
      <c r="C45" s="61"/>
      <c r="D45" s="73"/>
    </row>
    <row r="46" spans="1:14" s="56" customFormat="1" ht="13">
      <c r="A46" s="56" t="s">
        <v>39</v>
      </c>
      <c r="B46" s="75" t="s">
        <v>51</v>
      </c>
      <c r="C46" s="61" t="s">
        <v>53</v>
      </c>
    </row>
    <row r="47" spans="1:14" s="56" customFormat="1" ht="13">
      <c r="A47" s="56" t="s">
        <v>40</v>
      </c>
      <c r="B47" s="76">
        <v>0.1</v>
      </c>
      <c r="C47" s="61" t="s">
        <v>143</v>
      </c>
    </row>
    <row r="48" spans="1:14" s="56" customFormat="1" ht="13">
      <c r="A48" s="73" t="s">
        <v>139</v>
      </c>
      <c r="C48" s="61"/>
    </row>
    <row r="49" spans="1:14" s="56" customFormat="1" ht="13">
      <c r="A49" s="56" t="s">
        <v>39</v>
      </c>
      <c r="B49" s="75" t="s">
        <v>57</v>
      </c>
      <c r="C49" s="61" t="s">
        <v>114</v>
      </c>
    </row>
    <row r="50" spans="1:14" s="56" customFormat="1" ht="13">
      <c r="A50" s="56" t="s">
        <v>109</v>
      </c>
      <c r="B50" s="76">
        <v>0.12</v>
      </c>
      <c r="C50" s="61" t="s">
        <v>55</v>
      </c>
    </row>
    <row r="51" spans="1:14" s="56" customFormat="1" ht="13">
      <c r="A51" s="56" t="s">
        <v>112</v>
      </c>
      <c r="B51" s="76" t="s">
        <v>235</v>
      </c>
      <c r="C51" s="61" t="s">
        <v>103</v>
      </c>
    </row>
    <row r="52" spans="1:14" s="56" customFormat="1" ht="13">
      <c r="A52" s="56" t="s">
        <v>236</v>
      </c>
      <c r="B52" s="76">
        <v>0.5</v>
      </c>
      <c r="C52" s="61" t="s">
        <v>113</v>
      </c>
    </row>
    <row r="53" spans="1:14" s="56" customFormat="1" ht="13">
      <c r="A53" s="73" t="s">
        <v>141</v>
      </c>
      <c r="B53" s="77"/>
      <c r="C53" s="61"/>
    </row>
    <row r="54" spans="1:14" s="56" customFormat="1" ht="13">
      <c r="A54" s="56" t="s">
        <v>39</v>
      </c>
      <c r="B54" s="76" t="s">
        <v>51</v>
      </c>
      <c r="C54" s="61"/>
    </row>
    <row r="55" spans="1:14" s="56" customFormat="1" ht="13">
      <c r="A55" s="73" t="s">
        <v>138</v>
      </c>
      <c r="C55" s="61"/>
    </row>
    <row r="56" spans="1:14" s="56" customFormat="1" ht="13">
      <c r="A56" s="56" t="s">
        <v>39</v>
      </c>
      <c r="B56" s="75" t="s">
        <v>57</v>
      </c>
      <c r="C56" s="61" t="s">
        <v>56</v>
      </c>
    </row>
    <row r="57" spans="1:14" s="56" customFormat="1" ht="13">
      <c r="A57" s="56" t="s">
        <v>48</v>
      </c>
      <c r="B57" s="70">
        <f>474.8+256.6</f>
        <v>731.40000000000009</v>
      </c>
      <c r="C57" s="61" t="s">
        <v>144</v>
      </c>
    </row>
    <row r="58" spans="1:14" s="56" customFormat="1" ht="13">
      <c r="A58" s="56" t="s">
        <v>650</v>
      </c>
      <c r="B58" s="329"/>
      <c r="C58" s="61"/>
    </row>
    <row r="59" spans="1:14" s="247" customFormat="1" ht="13">
      <c r="A59" s="56" t="s">
        <v>39</v>
      </c>
      <c r="B59" s="70" t="s">
        <v>57</v>
      </c>
      <c r="C59" s="61" t="s">
        <v>652</v>
      </c>
      <c r="D59" s="56"/>
      <c r="H59" s="73"/>
      <c r="I59" s="73"/>
      <c r="J59" s="73"/>
      <c r="K59" s="73"/>
      <c r="L59" s="73"/>
      <c r="M59" s="73"/>
      <c r="N59" s="73"/>
    </row>
    <row r="60" spans="1:14" ht="13">
      <c r="A60" s="56" t="s">
        <v>651</v>
      </c>
      <c r="B60" s="251">
        <v>0.02</v>
      </c>
      <c r="C60" s="61" t="s">
        <v>653</v>
      </c>
      <c r="D60" s="56"/>
      <c r="H60" s="56"/>
      <c r="I60" s="56"/>
      <c r="J60" s="56"/>
      <c r="K60" s="56"/>
      <c r="L60" s="56"/>
      <c r="M60" s="56"/>
      <c r="N60" s="56"/>
    </row>
    <row r="61" spans="1:14" ht="13">
      <c r="A61" s="56" t="s">
        <v>524</v>
      </c>
      <c r="B61" s="252"/>
      <c r="C61" s="61"/>
      <c r="D61" s="56"/>
      <c r="H61" s="56"/>
      <c r="I61" s="56"/>
      <c r="J61" s="56"/>
      <c r="K61" s="56"/>
      <c r="L61" s="56"/>
      <c r="M61" s="56"/>
    </row>
    <row r="62" spans="1:14" ht="13">
      <c r="A62" s="56" t="s">
        <v>39</v>
      </c>
      <c r="B62" s="70" t="s">
        <v>51</v>
      </c>
      <c r="C62" s="61" t="s">
        <v>654</v>
      </c>
      <c r="D62" s="56"/>
    </row>
    <row r="63" spans="1:14" ht="13">
      <c r="A63" s="56" t="s">
        <v>525</v>
      </c>
      <c r="B63" s="251">
        <v>-0.05</v>
      </c>
      <c r="C63" s="61" t="s">
        <v>526</v>
      </c>
      <c r="D63" s="56"/>
    </row>
    <row r="64" spans="1:14">
      <c r="A64" s="247" t="s">
        <v>529</v>
      </c>
      <c r="B64" s="247"/>
      <c r="C64" s="247"/>
      <c r="D64" s="247"/>
    </row>
    <row r="65" spans="1:3">
      <c r="A65" s="4" t="s">
        <v>521</v>
      </c>
      <c r="B65" s="248" t="s">
        <v>51</v>
      </c>
    </row>
    <row r="66" spans="1:3" ht="13">
      <c r="A66" s="4" t="s">
        <v>532</v>
      </c>
      <c r="B66" s="181">
        <v>140000</v>
      </c>
      <c r="C66" s="261" t="s">
        <v>530</v>
      </c>
    </row>
    <row r="67" spans="1:3">
      <c r="A67" s="260" t="s">
        <v>522</v>
      </c>
      <c r="B67" s="249">
        <v>0.15</v>
      </c>
      <c r="C67" s="261" t="s">
        <v>531</v>
      </c>
    </row>
    <row r="68" spans="1:3">
      <c r="A68" s="144"/>
    </row>
  </sheetData>
  <mergeCells count="3">
    <mergeCell ref="A41:B41"/>
    <mergeCell ref="A3:J3"/>
    <mergeCell ref="E29:J29"/>
  </mergeCells>
  <phoneticPr fontId="8" type="noConversion"/>
  <dataValidations count="1">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xr:uid="{9846F544-2799-0344-9A2C-8142BE214C52}">
      <formula1>0</formula1>
      <formula2>1</formula2>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'Industry Averages(US)'!$A$2:$A$95</xm:f>
          </x14:formula1>
          <xm:sqref>B6</xm:sqref>
        </x14:dataValidation>
        <x14:dataValidation type="list" allowBlank="1" showInputMessage="1" showErrorMessage="1" xr:uid="{00000000-0002-0000-0000-000003000000}">
          <x14:formula1>
            <xm:f>'Industry Average Beta (Global)'!$A$2:$A$95</xm:f>
          </x14:formula1>
          <xm:sqref>B7</xm:sqref>
        </x14:dataValidation>
        <x14:dataValidation type="list" allowBlank="1" showInputMessage="1" showErrorMessage="1" xr:uid="{00000000-0002-0000-0000-000004000000}">
          <x14:formula1>
            <xm:f>'Answer keys'!$A$2:$A$3</xm:f>
          </x14:formula1>
          <xm:sqref>B13:B14 B35 B43 B46 B49 B54 B56 B62 B65 B59</xm:sqref>
        </x14:dataValidation>
        <x14:dataValidation type="list" allowBlank="1" showInputMessage="1" showErrorMessage="1" xr:uid="{00000000-0002-0000-0000-000005000000}">
          <x14:formula1>
            <xm:f>'Answer keys'!$B$2:$B$3</xm:f>
          </x14:formula1>
          <xm:sqref>B51</xm:sqref>
        </x14:dataValidation>
        <x14:dataValidation type="list" allowBlank="1" showInputMessage="1" showErrorMessage="1" xr:uid="{00000000-0002-0000-0000-000001000000}">
          <x14:formula1>
            <xm:f>'Country equity risk premiums'!$A$5:$A$181</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94"/>
  <sheetViews>
    <sheetView tabSelected="1" workbookViewId="0">
      <selection activeCell="A2" sqref="A2:XFD2"/>
    </sheetView>
  </sheetViews>
  <sheetFormatPr baseColWidth="10" defaultRowHeight="13"/>
  <cols>
    <col min="1" max="1" width="27.5" bestFit="1" customWidth="1"/>
    <col min="2" max="2" width="15" bestFit="1" customWidth="1"/>
    <col min="3" max="3" width="18.5" bestFit="1" customWidth="1"/>
    <col min="4" max="4" width="21" bestFit="1" customWidth="1"/>
    <col min="5" max="5" width="20" bestFit="1" customWidth="1"/>
    <col min="6" max="6" width="17.6640625" bestFit="1" customWidth="1"/>
  </cols>
  <sheetData>
    <row r="1" spans="1:6">
      <c r="A1" t="s">
        <v>634</v>
      </c>
      <c r="B1" s="315">
        <v>4.24E-2</v>
      </c>
      <c r="C1" t="s">
        <v>689</v>
      </c>
    </row>
    <row r="2" spans="1:6" s="16" customFormat="1" ht="14">
      <c r="A2" s="16" t="s">
        <v>701</v>
      </c>
    </row>
    <row r="4" spans="1:6" ht="16">
      <c r="A4" s="318" t="s">
        <v>351</v>
      </c>
      <c r="B4" s="50" t="s">
        <v>586</v>
      </c>
      <c r="C4" s="318" t="s">
        <v>352</v>
      </c>
      <c r="D4" s="43" t="s">
        <v>587</v>
      </c>
      <c r="E4" s="338" t="s">
        <v>353</v>
      </c>
      <c r="F4" s="338" t="s">
        <v>523</v>
      </c>
    </row>
    <row r="5" spans="1:6" ht="16">
      <c r="A5" s="44" t="s">
        <v>482</v>
      </c>
      <c r="B5" s="50" t="s">
        <v>588</v>
      </c>
      <c r="C5" s="319">
        <v>4.2218747505715949E-3</v>
      </c>
      <c r="D5" s="319">
        <f>$B$1+E5</f>
        <v>4.730690122813145E-2</v>
      </c>
      <c r="E5" s="339">
        <v>4.9069012281314477E-3</v>
      </c>
      <c r="F5" s="339">
        <v>0.55000000000000004</v>
      </c>
    </row>
    <row r="6" spans="1:6" ht="16">
      <c r="A6" s="44" t="s">
        <v>247</v>
      </c>
      <c r="B6" s="50" t="s">
        <v>589</v>
      </c>
      <c r="C6" s="319">
        <v>3.8303918191549574E-2</v>
      </c>
      <c r="D6" s="319">
        <f t="shared" ref="D6:D69" si="0">$B$1+E6</f>
        <v>8.6918976597047143E-2</v>
      </c>
      <c r="E6" s="339">
        <v>4.451897659704715E-2</v>
      </c>
      <c r="F6" s="339">
        <v>0.15</v>
      </c>
    </row>
    <row r="7" spans="1:6" ht="16">
      <c r="A7" s="320" t="s">
        <v>590</v>
      </c>
      <c r="B7" s="375">
        <v>62.25</v>
      </c>
      <c r="C7" s="340">
        <v>5.5344939912038545E-2</v>
      </c>
      <c r="D7" s="319">
        <f t="shared" si="0"/>
        <v>0.10672501428150497</v>
      </c>
      <c r="E7" s="341">
        <v>6.4325014281504972E-2</v>
      </c>
      <c r="F7" s="342">
        <v>0.26</v>
      </c>
    </row>
    <row r="8" spans="1:6" ht="16">
      <c r="A8" s="44" t="s">
        <v>500</v>
      </c>
      <c r="B8" s="50" t="s">
        <v>591</v>
      </c>
      <c r="C8" s="319">
        <v>1.6196646770374669E-2</v>
      </c>
      <c r="D8" s="319">
        <f t="shared" si="0"/>
        <v>6.1224657438831556E-2</v>
      </c>
      <c r="E8" s="339">
        <v>1.8824657438831559E-2</v>
      </c>
      <c r="F8" s="339">
        <v>0.1898</v>
      </c>
    </row>
    <row r="9" spans="1:6" ht="16">
      <c r="A9" s="44" t="s">
        <v>248</v>
      </c>
      <c r="B9" s="50" t="s">
        <v>601</v>
      </c>
      <c r="C9" s="319">
        <v>5.5344939912038545E-2</v>
      </c>
      <c r="D9" s="319">
        <f t="shared" si="0"/>
        <v>0.10672501428150497</v>
      </c>
      <c r="E9" s="339">
        <v>6.4325014281504972E-2</v>
      </c>
      <c r="F9" s="339">
        <v>0.25</v>
      </c>
    </row>
    <row r="10" spans="1:6" ht="16">
      <c r="A10" s="44" t="s">
        <v>249</v>
      </c>
      <c r="B10" s="50" t="s">
        <v>658</v>
      </c>
      <c r="C10" s="319">
        <v>0.10209260760473131</v>
      </c>
      <c r="D10" s="319">
        <f t="shared" si="0"/>
        <v>0.16105779333481501</v>
      </c>
      <c r="E10" s="339">
        <v>0.11865779333481502</v>
      </c>
      <c r="F10" s="339">
        <v>0.25</v>
      </c>
    </row>
    <row r="11" spans="1:6" ht="16">
      <c r="A11" s="44" t="s">
        <v>250</v>
      </c>
      <c r="B11" s="50" t="s">
        <v>598</v>
      </c>
      <c r="C11" s="319">
        <v>3.0627782281419401E-2</v>
      </c>
      <c r="D11" s="319">
        <f t="shared" si="0"/>
        <v>7.7997338000444505E-2</v>
      </c>
      <c r="E11" s="339">
        <v>3.5597338000444512E-2</v>
      </c>
      <c r="F11" s="339">
        <v>0.18</v>
      </c>
    </row>
    <row r="12" spans="1:6" ht="16">
      <c r="A12" s="44" t="s">
        <v>251</v>
      </c>
      <c r="B12" s="50" t="s">
        <v>591</v>
      </c>
      <c r="C12" s="319">
        <v>1.6196646770374669E-2</v>
      </c>
      <c r="D12" s="319">
        <f t="shared" si="0"/>
        <v>6.1224657438831556E-2</v>
      </c>
      <c r="E12" s="339">
        <v>1.8824657438831559E-2</v>
      </c>
      <c r="F12" s="339">
        <v>0.25</v>
      </c>
    </row>
    <row r="13" spans="1:6" ht="16">
      <c r="A13" s="44" t="s">
        <v>252</v>
      </c>
      <c r="B13" s="50" t="s">
        <v>594</v>
      </c>
      <c r="C13" s="319">
        <v>0</v>
      </c>
      <c r="D13" s="319">
        <f t="shared" si="0"/>
        <v>4.24E-2</v>
      </c>
      <c r="E13" s="339">
        <v>0</v>
      </c>
      <c r="F13" s="339">
        <v>0.3</v>
      </c>
    </row>
    <row r="14" spans="1:6" ht="16">
      <c r="A14" s="44" t="s">
        <v>253</v>
      </c>
      <c r="B14" s="50" t="s">
        <v>595</v>
      </c>
      <c r="C14" s="319">
        <v>3.3774998004572764E-3</v>
      </c>
      <c r="D14" s="319">
        <f t="shared" si="0"/>
        <v>4.6325520982505156E-2</v>
      </c>
      <c r="E14" s="339">
        <v>3.925520982505158E-3</v>
      </c>
      <c r="F14" s="339">
        <v>0.25</v>
      </c>
    </row>
    <row r="15" spans="1:6" ht="16">
      <c r="A15" s="44" t="s">
        <v>360</v>
      </c>
      <c r="B15" s="50" t="s">
        <v>596</v>
      </c>
      <c r="C15" s="319">
        <v>2.5561532580733477E-2</v>
      </c>
      <c r="D15" s="319">
        <f t="shared" si="0"/>
        <v>7.2109056526686768E-2</v>
      </c>
      <c r="E15" s="339">
        <v>2.9709056526686765E-2</v>
      </c>
      <c r="F15" s="339">
        <v>0.2</v>
      </c>
    </row>
    <row r="16" spans="1:6" ht="16">
      <c r="A16" s="44" t="s">
        <v>254</v>
      </c>
      <c r="B16" s="50" t="s">
        <v>598</v>
      </c>
      <c r="C16" s="319">
        <v>3.0627782281419401E-2</v>
      </c>
      <c r="D16" s="319">
        <f t="shared" si="0"/>
        <v>7.7997338000444505E-2</v>
      </c>
      <c r="E16" s="339">
        <v>3.5597338000444512E-2</v>
      </c>
      <c r="F16" s="339">
        <v>0</v>
      </c>
    </row>
    <row r="17" spans="1:6" ht="16">
      <c r="A17" s="44" t="s">
        <v>255</v>
      </c>
      <c r="B17" s="50" t="s">
        <v>592</v>
      </c>
      <c r="C17" s="319">
        <v>4.6824429051794063E-2</v>
      </c>
      <c r="D17" s="319">
        <f t="shared" si="0"/>
        <v>9.6821995439276054E-2</v>
      </c>
      <c r="E17" s="339">
        <v>5.4421995439276061E-2</v>
      </c>
      <c r="F17" s="339">
        <v>0</v>
      </c>
    </row>
    <row r="18" spans="1:6" ht="16">
      <c r="A18" s="44" t="s">
        <v>256</v>
      </c>
      <c r="B18" s="50" t="s">
        <v>598</v>
      </c>
      <c r="C18" s="319">
        <v>3.0627782281419401E-2</v>
      </c>
      <c r="D18" s="319">
        <f t="shared" si="0"/>
        <v>7.7997338000444505E-2</v>
      </c>
      <c r="E18" s="339">
        <v>3.5597338000444512E-2</v>
      </c>
      <c r="F18" s="339">
        <v>0.32500000000000001</v>
      </c>
    </row>
    <row r="19" spans="1:6" ht="16">
      <c r="A19" s="44" t="s">
        <v>257</v>
      </c>
      <c r="B19" s="50" t="s">
        <v>599</v>
      </c>
      <c r="C19" s="319">
        <v>6.3788689413181762E-2</v>
      </c>
      <c r="D19" s="319">
        <f t="shared" si="0"/>
        <v>0.11653881673776789</v>
      </c>
      <c r="E19" s="339">
        <v>7.4138816737767899E-2</v>
      </c>
      <c r="F19" s="339">
        <v>5.5E-2</v>
      </c>
    </row>
    <row r="20" spans="1:6" ht="16">
      <c r="A20" s="44" t="s">
        <v>258</v>
      </c>
      <c r="B20" s="50" t="s">
        <v>601</v>
      </c>
      <c r="C20" s="319">
        <v>5.5344939912038545E-2</v>
      </c>
      <c r="D20" s="319">
        <f t="shared" si="0"/>
        <v>0.10672501428150497</v>
      </c>
      <c r="E20" s="339">
        <v>6.4325014281504972E-2</v>
      </c>
      <c r="F20" s="339">
        <v>0.18</v>
      </c>
    </row>
    <row r="21" spans="1:6" ht="16">
      <c r="A21" s="44" t="s">
        <v>259</v>
      </c>
      <c r="B21" s="50" t="s">
        <v>600</v>
      </c>
      <c r="C21" s="319">
        <v>5.1430110597872171E-3</v>
      </c>
      <c r="D21" s="319">
        <f t="shared" si="0"/>
        <v>4.8377497859723763E-2</v>
      </c>
      <c r="E21" s="339">
        <v>5.9774978597237644E-3</v>
      </c>
      <c r="F21" s="339">
        <v>0.25</v>
      </c>
    </row>
    <row r="22" spans="1:6" ht="16">
      <c r="A22" s="44" t="s">
        <v>363</v>
      </c>
      <c r="B22" s="50" t="s">
        <v>659</v>
      </c>
      <c r="C22" s="319">
        <v>8.5051585884242345E-2</v>
      </c>
      <c r="D22" s="319">
        <f t="shared" si="0"/>
        <v>0.14125175565035719</v>
      </c>
      <c r="E22" s="339">
        <v>9.8851755650357198E-2</v>
      </c>
      <c r="F22" s="339">
        <v>0.27179999999999999</v>
      </c>
    </row>
    <row r="23" spans="1:6" ht="16">
      <c r="A23" s="44" t="s">
        <v>602</v>
      </c>
      <c r="B23" s="50" t="s">
        <v>589</v>
      </c>
      <c r="C23" s="319">
        <v>3.8303918191549574E-2</v>
      </c>
      <c r="D23" s="319">
        <f t="shared" si="0"/>
        <v>8.6918976597047143E-2</v>
      </c>
      <c r="E23" s="339">
        <v>4.451897659704715E-2</v>
      </c>
      <c r="F23" s="339">
        <v>0.3</v>
      </c>
    </row>
    <row r="24" spans="1:6" ht="16">
      <c r="A24" s="44" t="s">
        <v>260</v>
      </c>
      <c r="B24" s="50" t="s">
        <v>603</v>
      </c>
      <c r="C24" s="319">
        <v>7.2155677555223634E-3</v>
      </c>
      <c r="D24" s="319">
        <f t="shared" si="0"/>
        <v>5.0786340280806475E-2</v>
      </c>
      <c r="E24" s="339">
        <v>8.3863402808064744E-3</v>
      </c>
      <c r="F24" s="339">
        <v>0</v>
      </c>
    </row>
    <row r="25" spans="1:6" ht="16">
      <c r="A25" s="44" t="s">
        <v>261</v>
      </c>
      <c r="B25" s="50" t="s">
        <v>592</v>
      </c>
      <c r="C25" s="319">
        <v>4.6824429051794063E-2</v>
      </c>
      <c r="D25" s="319">
        <f t="shared" si="0"/>
        <v>9.6821995439276054E-2</v>
      </c>
      <c r="E25" s="339">
        <v>5.4421995439276061E-2</v>
      </c>
      <c r="F25" s="339">
        <v>0.25</v>
      </c>
    </row>
    <row r="26" spans="1:6" ht="16">
      <c r="A26" s="44" t="s">
        <v>262</v>
      </c>
      <c r="B26" s="50" t="s">
        <v>601</v>
      </c>
      <c r="C26" s="319">
        <v>5.5344939912038545E-2</v>
      </c>
      <c r="D26" s="319">
        <f t="shared" si="0"/>
        <v>0.10672501428150497</v>
      </c>
      <c r="E26" s="339">
        <v>6.4325014281504972E-2</v>
      </c>
      <c r="F26" s="339">
        <v>0.1</v>
      </c>
    </row>
    <row r="27" spans="1:6" ht="16">
      <c r="A27" s="44" t="s">
        <v>263</v>
      </c>
      <c r="B27" s="50" t="s">
        <v>607</v>
      </c>
      <c r="C27" s="319">
        <v>1.0209260760473134E-2</v>
      </c>
      <c r="D27" s="319">
        <f t="shared" si="0"/>
        <v>5.4265779333481506E-2</v>
      </c>
      <c r="E27" s="339">
        <v>1.1865779333481504E-2</v>
      </c>
      <c r="F27" s="339">
        <v>0.22</v>
      </c>
    </row>
    <row r="28" spans="1:6" ht="16">
      <c r="A28" s="44" t="s">
        <v>264</v>
      </c>
      <c r="B28" s="50" t="s">
        <v>596</v>
      </c>
      <c r="C28" s="319">
        <v>2.5561532580733477E-2</v>
      </c>
      <c r="D28" s="319">
        <f t="shared" si="0"/>
        <v>7.2109056526686768E-2</v>
      </c>
      <c r="E28" s="339">
        <v>2.9709056526686765E-2</v>
      </c>
      <c r="F28" s="339">
        <v>0.34</v>
      </c>
    </row>
    <row r="29" spans="1:6" ht="16">
      <c r="A29" s="337" t="s">
        <v>604</v>
      </c>
      <c r="B29" s="375">
        <v>79</v>
      </c>
      <c r="C29" s="319">
        <v>7.2155677555223625E-3</v>
      </c>
      <c r="D29" s="319">
        <f t="shared" si="0"/>
        <v>5.0786340280806475E-2</v>
      </c>
      <c r="E29" s="339">
        <v>8.3863402808064744E-3</v>
      </c>
      <c r="F29" s="339">
        <v>0.185</v>
      </c>
    </row>
    <row r="30" spans="1:6" ht="16">
      <c r="A30" s="320" t="s">
        <v>265</v>
      </c>
      <c r="B30" s="50" t="s">
        <v>593</v>
      </c>
      <c r="C30" s="340">
        <v>1.358676056093041E-2</v>
      </c>
      <c r="D30" s="319">
        <f t="shared" si="0"/>
        <v>5.8191300315986662E-2</v>
      </c>
      <c r="E30" s="341">
        <v>1.5791300315986662E-2</v>
      </c>
      <c r="F30" s="342">
        <v>0.1</v>
      </c>
    </row>
    <row r="31" spans="1:6" ht="16">
      <c r="A31" s="44" t="s">
        <v>483</v>
      </c>
      <c r="B31" s="50" t="s">
        <v>592</v>
      </c>
      <c r="C31" s="319">
        <v>4.6824429051794063E-2</v>
      </c>
      <c r="D31" s="319">
        <f t="shared" si="0"/>
        <v>9.6821995439276054E-2</v>
      </c>
      <c r="E31" s="339">
        <v>5.4421995439276061E-2</v>
      </c>
      <c r="F31" s="339">
        <v>0.28000000000000003</v>
      </c>
    </row>
    <row r="32" spans="1:6" ht="16">
      <c r="A32" s="44" t="s">
        <v>266</v>
      </c>
      <c r="B32" s="50" t="s">
        <v>592</v>
      </c>
      <c r="C32" s="319">
        <v>4.6824429051794063E-2</v>
      </c>
      <c r="D32" s="319">
        <f t="shared" si="0"/>
        <v>9.6821995439276054E-2</v>
      </c>
      <c r="E32" s="339">
        <v>5.4421995439276061E-2</v>
      </c>
      <c r="F32" s="339">
        <v>0.2</v>
      </c>
    </row>
    <row r="33" spans="1:6" ht="16">
      <c r="A33" s="44" t="s">
        <v>484</v>
      </c>
      <c r="B33" s="50" t="s">
        <v>592</v>
      </c>
      <c r="C33" s="319">
        <v>4.6824429051794063E-2</v>
      </c>
      <c r="D33" s="319">
        <f t="shared" si="0"/>
        <v>9.6821995439276054E-2</v>
      </c>
      <c r="E33" s="339">
        <v>5.4421995439276061E-2</v>
      </c>
      <c r="F33" s="339">
        <v>0.33</v>
      </c>
    </row>
    <row r="34" spans="1:6" ht="16">
      <c r="A34" s="44" t="s">
        <v>267</v>
      </c>
      <c r="B34" s="50" t="s">
        <v>594</v>
      </c>
      <c r="C34" s="319">
        <v>0</v>
      </c>
      <c r="D34" s="319">
        <f t="shared" si="0"/>
        <v>4.24E-2</v>
      </c>
      <c r="E34" s="339">
        <v>0</v>
      </c>
      <c r="F34" s="339">
        <v>0.26500000000000001</v>
      </c>
    </row>
    <row r="35" spans="1:6" ht="16">
      <c r="A35" s="44" t="s">
        <v>485</v>
      </c>
      <c r="B35" s="50" t="s">
        <v>601</v>
      </c>
      <c r="C35" s="319">
        <v>5.5344939912038545E-2</v>
      </c>
      <c r="D35" s="319">
        <f t="shared" si="0"/>
        <v>0.10672501428150497</v>
      </c>
      <c r="E35" s="339">
        <v>6.4325014281504972E-2</v>
      </c>
      <c r="F35" s="339">
        <v>0</v>
      </c>
    </row>
    <row r="36" spans="1:6" ht="16">
      <c r="A36" s="44" t="s">
        <v>268</v>
      </c>
      <c r="B36" s="50" t="s">
        <v>600</v>
      </c>
      <c r="C36" s="319">
        <v>5.1430110597872171E-3</v>
      </c>
      <c r="D36" s="319">
        <f t="shared" si="0"/>
        <v>4.8377497859723763E-2</v>
      </c>
      <c r="E36" s="339">
        <v>5.9774978597237644E-3</v>
      </c>
      <c r="F36" s="339">
        <v>0</v>
      </c>
    </row>
    <row r="37" spans="1:6" ht="16">
      <c r="A37" s="44" t="s">
        <v>269</v>
      </c>
      <c r="B37" s="50" t="s">
        <v>605</v>
      </c>
      <c r="C37" s="319">
        <v>5.987386009901537E-3</v>
      </c>
      <c r="D37" s="319">
        <f t="shared" si="0"/>
        <v>4.9358878105350057E-2</v>
      </c>
      <c r="E37" s="339">
        <v>6.958878105350055E-3</v>
      </c>
      <c r="F37" s="339">
        <v>0.27</v>
      </c>
    </row>
    <row r="38" spans="1:6" ht="16">
      <c r="A38" s="44" t="s">
        <v>270</v>
      </c>
      <c r="B38" s="50" t="s">
        <v>605</v>
      </c>
      <c r="C38" s="319">
        <v>5.987386009901537E-3</v>
      </c>
      <c r="D38" s="319">
        <f t="shared" si="0"/>
        <v>4.9358878105350057E-2</v>
      </c>
      <c r="E38" s="339">
        <v>6.958878105350055E-3</v>
      </c>
      <c r="F38" s="339">
        <v>0.25</v>
      </c>
    </row>
    <row r="39" spans="1:6" ht="16">
      <c r="A39" s="44" t="s">
        <v>271</v>
      </c>
      <c r="B39" s="50" t="s">
        <v>591</v>
      </c>
      <c r="C39" s="319">
        <v>1.6196646770374669E-2</v>
      </c>
      <c r="D39" s="319">
        <f t="shared" si="0"/>
        <v>6.1224657438831556E-2</v>
      </c>
      <c r="E39" s="339">
        <v>1.8824657438831559E-2</v>
      </c>
      <c r="F39" s="339">
        <v>0.31</v>
      </c>
    </row>
    <row r="40" spans="1:6" ht="16">
      <c r="A40" s="44" t="s">
        <v>501</v>
      </c>
      <c r="B40" s="50" t="s">
        <v>599</v>
      </c>
      <c r="C40" s="319">
        <v>6.3788689413181762E-2</v>
      </c>
      <c r="D40" s="319">
        <f t="shared" si="0"/>
        <v>0.11653881673776789</v>
      </c>
      <c r="E40" s="339">
        <v>7.4138816737767899E-2</v>
      </c>
      <c r="F40" s="339">
        <v>0.3</v>
      </c>
    </row>
    <row r="41" spans="1:6" ht="16">
      <c r="A41" s="44" t="s">
        <v>502</v>
      </c>
      <c r="B41" s="50" t="s">
        <v>606</v>
      </c>
      <c r="C41" s="319">
        <v>7.6607836383099148E-2</v>
      </c>
      <c r="D41" s="319">
        <f t="shared" si="0"/>
        <v>0.13143795319409429</v>
      </c>
      <c r="E41" s="339">
        <v>8.9037953194094299E-2</v>
      </c>
      <c r="F41" s="339">
        <v>0.28000000000000003</v>
      </c>
    </row>
    <row r="42" spans="1:6" ht="16">
      <c r="A42" s="44" t="s">
        <v>486</v>
      </c>
      <c r="B42" s="50" t="s">
        <v>589</v>
      </c>
      <c r="C42" s="319">
        <v>3.8303918191549574E-2</v>
      </c>
      <c r="D42" s="319">
        <f t="shared" si="0"/>
        <v>8.6918976597047143E-2</v>
      </c>
      <c r="E42" s="339">
        <v>4.451897659704715E-2</v>
      </c>
      <c r="F42" s="339">
        <v>0.2843</v>
      </c>
    </row>
    <row r="43" spans="1:6" ht="16">
      <c r="A43" s="44" t="s">
        <v>272</v>
      </c>
      <c r="B43" s="50" t="s">
        <v>592</v>
      </c>
      <c r="C43" s="319">
        <v>4.6824429051794063E-2</v>
      </c>
      <c r="D43" s="319">
        <f t="shared" si="0"/>
        <v>9.6821995439276054E-2</v>
      </c>
      <c r="E43" s="339">
        <v>5.4421995439276061E-2</v>
      </c>
      <c r="F43" s="339">
        <v>0.3</v>
      </c>
    </row>
    <row r="44" spans="1:6" ht="16">
      <c r="A44" s="44" t="s">
        <v>690</v>
      </c>
      <c r="B44" s="50" t="s">
        <v>598</v>
      </c>
      <c r="C44" s="319">
        <v>3.0627782281419401E-2</v>
      </c>
      <c r="D44" s="319">
        <f t="shared" si="0"/>
        <v>7.7997338000444505E-2</v>
      </c>
      <c r="E44" s="339">
        <v>3.5597338000444512E-2</v>
      </c>
      <c r="F44" s="339">
        <v>0.25</v>
      </c>
    </row>
    <row r="45" spans="1:6" ht="16">
      <c r="A45" s="44" t="s">
        <v>273</v>
      </c>
      <c r="B45" s="50" t="s">
        <v>609</v>
      </c>
      <c r="C45" s="319">
        <v>2.1262896471060586E-2</v>
      </c>
      <c r="D45" s="319">
        <f t="shared" si="0"/>
        <v>6.7112938912589293E-2</v>
      </c>
      <c r="E45" s="339">
        <v>2.47129389125893E-2</v>
      </c>
      <c r="F45" s="339">
        <v>0.18</v>
      </c>
    </row>
    <row r="46" spans="1:6" ht="16">
      <c r="A46" s="44" t="s">
        <v>365</v>
      </c>
      <c r="B46" s="50" t="s">
        <v>658</v>
      </c>
      <c r="C46" s="319">
        <v>0.10209260760473131</v>
      </c>
      <c r="D46" s="319">
        <f t="shared" si="0"/>
        <v>0.16105779333481501</v>
      </c>
      <c r="E46" s="339">
        <v>0.11865779333481502</v>
      </c>
      <c r="F46" s="339">
        <v>0.27179999999999999</v>
      </c>
    </row>
    <row r="47" spans="1:6" ht="16">
      <c r="A47" s="337" t="s">
        <v>691</v>
      </c>
      <c r="B47" s="50" t="s">
        <v>591</v>
      </c>
      <c r="C47" s="319">
        <v>1.6196646770374669E-2</v>
      </c>
      <c r="D47" s="319">
        <f t="shared" si="0"/>
        <v>6.1224657438831556E-2</v>
      </c>
      <c r="E47" s="339">
        <v>1.8824657438831559E-2</v>
      </c>
      <c r="F47" s="339">
        <v>0.22</v>
      </c>
    </row>
    <row r="48" spans="1:6" ht="16">
      <c r="A48" s="44" t="s">
        <v>274</v>
      </c>
      <c r="B48" s="50" t="s">
        <v>609</v>
      </c>
      <c r="C48" s="319">
        <v>2.1262896471060586E-2</v>
      </c>
      <c r="D48" s="319">
        <f t="shared" si="0"/>
        <v>6.7112938912589293E-2</v>
      </c>
      <c r="E48" s="339">
        <v>2.47129389125893E-2</v>
      </c>
      <c r="F48" s="339">
        <v>0.125</v>
      </c>
    </row>
    <row r="49" spans="1:6" ht="16">
      <c r="A49" s="44" t="s">
        <v>275</v>
      </c>
      <c r="B49" s="50" t="s">
        <v>600</v>
      </c>
      <c r="C49" s="319">
        <v>5.1430110597872171E-3</v>
      </c>
      <c r="D49" s="319">
        <f t="shared" si="0"/>
        <v>4.8377497859723763E-2</v>
      </c>
      <c r="E49" s="339">
        <v>5.9774978597237644E-3</v>
      </c>
      <c r="F49" s="339">
        <v>0.19</v>
      </c>
    </row>
    <row r="50" spans="1:6" ht="16">
      <c r="A50" s="44" t="s">
        <v>276</v>
      </c>
      <c r="B50" s="50" t="s">
        <v>594</v>
      </c>
      <c r="C50" s="319">
        <v>0</v>
      </c>
      <c r="D50" s="319">
        <f t="shared" si="0"/>
        <v>4.24E-2</v>
      </c>
      <c r="E50" s="339">
        <v>0</v>
      </c>
      <c r="F50" s="339">
        <v>0.22</v>
      </c>
    </row>
    <row r="51" spans="1:6" ht="16">
      <c r="A51" s="44" t="s">
        <v>277</v>
      </c>
      <c r="B51" s="50" t="s">
        <v>598</v>
      </c>
      <c r="C51" s="319">
        <v>3.0627782281419401E-2</v>
      </c>
      <c r="D51" s="319">
        <f t="shared" si="0"/>
        <v>7.7997338000444505E-2</v>
      </c>
      <c r="E51" s="339">
        <v>3.5597338000444512E-2</v>
      </c>
      <c r="F51" s="339">
        <v>0.27</v>
      </c>
    </row>
    <row r="52" spans="1:6" ht="16">
      <c r="A52" s="44" t="s">
        <v>278</v>
      </c>
      <c r="B52" s="50" t="s">
        <v>659</v>
      </c>
      <c r="C52" s="319">
        <v>8.5051585884242345E-2</v>
      </c>
      <c r="D52" s="319">
        <f t="shared" si="0"/>
        <v>0.14125175565035719</v>
      </c>
      <c r="E52" s="339">
        <v>9.8851755650357198E-2</v>
      </c>
      <c r="F52" s="339">
        <v>0.25</v>
      </c>
    </row>
    <row r="53" spans="1:6" ht="16">
      <c r="A53" s="44" t="s">
        <v>279</v>
      </c>
      <c r="B53" s="50" t="s">
        <v>592</v>
      </c>
      <c r="C53" s="319">
        <v>4.6824429051794063E-2</v>
      </c>
      <c r="D53" s="319">
        <f t="shared" si="0"/>
        <v>9.6821995439276054E-2</v>
      </c>
      <c r="E53" s="339">
        <v>5.4421995439276061E-2</v>
      </c>
      <c r="F53" s="339">
        <v>0.22500000000000001</v>
      </c>
    </row>
    <row r="54" spans="1:6" ht="16">
      <c r="A54" s="44" t="s">
        <v>366</v>
      </c>
      <c r="B54" s="50" t="s">
        <v>599</v>
      </c>
      <c r="C54" s="319">
        <v>6.3788689413181762E-2</v>
      </c>
      <c r="D54" s="319">
        <f t="shared" si="0"/>
        <v>0.11653881673776789</v>
      </c>
      <c r="E54" s="339">
        <v>7.4138816737767899E-2</v>
      </c>
      <c r="F54" s="339">
        <v>0.3</v>
      </c>
    </row>
    <row r="55" spans="1:6" ht="16">
      <c r="A55" s="44" t="s">
        <v>280</v>
      </c>
      <c r="B55" s="50" t="s">
        <v>605</v>
      </c>
      <c r="C55" s="319">
        <v>5.987386009901537E-3</v>
      </c>
      <c r="D55" s="319">
        <f t="shared" si="0"/>
        <v>4.9358878105350057E-2</v>
      </c>
      <c r="E55" s="339">
        <v>6.958878105350055E-3</v>
      </c>
      <c r="F55" s="339">
        <v>0.2</v>
      </c>
    </row>
    <row r="56" spans="1:6" ht="16">
      <c r="A56" s="44" t="s">
        <v>503</v>
      </c>
      <c r="B56" s="50" t="s">
        <v>606</v>
      </c>
      <c r="C56" s="319">
        <v>7.6607836383099148E-2</v>
      </c>
      <c r="D56" s="319">
        <f t="shared" si="0"/>
        <v>0.13143795319409429</v>
      </c>
      <c r="E56" s="339">
        <v>8.9037953194094299E-2</v>
      </c>
      <c r="F56" s="339">
        <v>0.3</v>
      </c>
    </row>
    <row r="57" spans="1:6" ht="16">
      <c r="A57" s="44" t="s">
        <v>281</v>
      </c>
      <c r="B57" s="50" t="s">
        <v>589</v>
      </c>
      <c r="C57" s="319">
        <v>3.8303918191549574E-2</v>
      </c>
      <c r="D57" s="319">
        <f t="shared" si="0"/>
        <v>8.6918976597047143E-2</v>
      </c>
      <c r="E57" s="339">
        <v>4.451897659704715E-2</v>
      </c>
      <c r="F57" s="339">
        <v>0.2</v>
      </c>
    </row>
    <row r="58" spans="1:6" ht="16">
      <c r="A58" s="44" t="s">
        <v>282</v>
      </c>
      <c r="B58" s="50" t="s">
        <v>595</v>
      </c>
      <c r="C58" s="319">
        <v>3.3774998004572764E-3</v>
      </c>
      <c r="D58" s="319">
        <f t="shared" si="0"/>
        <v>4.6325520982505156E-2</v>
      </c>
      <c r="E58" s="339">
        <v>3.925520982505158E-3</v>
      </c>
      <c r="F58" s="339">
        <v>0.2</v>
      </c>
    </row>
    <row r="59" spans="1:6" ht="16">
      <c r="A59" s="44" t="s">
        <v>283</v>
      </c>
      <c r="B59" s="50" t="s">
        <v>588</v>
      </c>
      <c r="C59" s="319">
        <v>4.2218747505715949E-3</v>
      </c>
      <c r="D59" s="319">
        <f t="shared" si="0"/>
        <v>4.730690122813145E-2</v>
      </c>
      <c r="E59" s="339">
        <v>4.9069012281314477E-3</v>
      </c>
      <c r="F59" s="339">
        <v>0.26500000000000001</v>
      </c>
    </row>
    <row r="60" spans="1:6" ht="16">
      <c r="A60" s="44" t="s">
        <v>487</v>
      </c>
      <c r="B60" s="50" t="s">
        <v>599</v>
      </c>
      <c r="C60" s="319">
        <v>6.3788689413181762E-2</v>
      </c>
      <c r="D60" s="319">
        <f t="shared" si="0"/>
        <v>0.11653881673776789</v>
      </c>
      <c r="E60" s="339">
        <v>7.4138816737767899E-2</v>
      </c>
      <c r="F60" s="339">
        <v>0.3</v>
      </c>
    </row>
    <row r="61" spans="1:6" ht="16">
      <c r="A61" s="320" t="s">
        <v>608</v>
      </c>
      <c r="B61" s="375">
        <v>65.75</v>
      </c>
      <c r="C61" s="340">
        <v>4.6824429051794056E-2</v>
      </c>
      <c r="D61" s="319">
        <f t="shared" si="0"/>
        <v>9.6821995439276054E-2</v>
      </c>
      <c r="E61" s="341">
        <v>5.4421995439276054E-2</v>
      </c>
      <c r="F61" s="342">
        <v>0.31</v>
      </c>
    </row>
    <row r="62" spans="1:6" ht="16">
      <c r="A62" s="44" t="s">
        <v>367</v>
      </c>
      <c r="B62" s="50" t="s">
        <v>596</v>
      </c>
      <c r="C62" s="319">
        <v>2.5561532580733477E-2</v>
      </c>
      <c r="D62" s="319">
        <f t="shared" si="0"/>
        <v>7.2109056526686768E-2</v>
      </c>
      <c r="E62" s="339">
        <v>2.9709056526686765E-2</v>
      </c>
      <c r="F62" s="339">
        <v>0.15</v>
      </c>
    </row>
    <row r="63" spans="1:6" ht="16">
      <c r="A63" s="44" t="s">
        <v>284</v>
      </c>
      <c r="B63" s="50" t="s">
        <v>594</v>
      </c>
      <c r="C63" s="319">
        <v>0</v>
      </c>
      <c r="D63" s="319">
        <f t="shared" si="0"/>
        <v>4.24E-2</v>
      </c>
      <c r="E63" s="339">
        <v>0</v>
      </c>
      <c r="F63" s="339">
        <v>0.3</v>
      </c>
    </row>
    <row r="64" spans="1:6" ht="16">
      <c r="A64" s="44" t="s">
        <v>488</v>
      </c>
      <c r="B64" s="50" t="s">
        <v>601</v>
      </c>
      <c r="C64" s="319">
        <v>5.5344939912038545E-2</v>
      </c>
      <c r="D64" s="319">
        <f t="shared" si="0"/>
        <v>0.10672501428150497</v>
      </c>
      <c r="E64" s="339">
        <v>6.4325014281504972E-2</v>
      </c>
      <c r="F64" s="339">
        <v>0.25</v>
      </c>
    </row>
    <row r="65" spans="1:6" ht="16">
      <c r="A65" s="44" t="s">
        <v>285</v>
      </c>
      <c r="B65" s="50" t="s">
        <v>598</v>
      </c>
      <c r="C65" s="319">
        <v>3.0627782281419401E-2</v>
      </c>
      <c r="D65" s="319">
        <f t="shared" si="0"/>
        <v>7.7997338000444505E-2</v>
      </c>
      <c r="E65" s="339">
        <v>3.5597338000444512E-2</v>
      </c>
      <c r="F65" s="339">
        <v>0.24</v>
      </c>
    </row>
    <row r="66" spans="1:6" ht="16">
      <c r="A66" s="44" t="s">
        <v>286</v>
      </c>
      <c r="B66" s="50" t="s">
        <v>609</v>
      </c>
      <c r="C66" s="319">
        <v>2.1262896471060586E-2</v>
      </c>
      <c r="D66" s="319">
        <f t="shared" si="0"/>
        <v>6.7112938912589293E-2</v>
      </c>
      <c r="E66" s="339">
        <v>2.47129389125893E-2</v>
      </c>
      <c r="F66" s="339">
        <v>0.25</v>
      </c>
    </row>
    <row r="67" spans="1:6" ht="16">
      <c r="A67" s="44" t="s">
        <v>692</v>
      </c>
      <c r="B67" s="50" t="s">
        <v>600</v>
      </c>
      <c r="C67" s="319">
        <v>5.1430110597872171E-3</v>
      </c>
      <c r="D67" s="319">
        <f t="shared" si="0"/>
        <v>4.8377497859723763E-2</v>
      </c>
      <c r="E67" s="339">
        <v>5.9774978597237644E-3</v>
      </c>
      <c r="F67" s="339">
        <v>0</v>
      </c>
    </row>
    <row r="68" spans="1:6" ht="16">
      <c r="A68" s="320" t="s">
        <v>610</v>
      </c>
      <c r="B68" s="375">
        <v>57.5</v>
      </c>
      <c r="C68" s="340">
        <v>7.6607836383099148E-2</v>
      </c>
      <c r="D68" s="319">
        <f t="shared" si="0"/>
        <v>0.13143795319409429</v>
      </c>
      <c r="E68" s="341">
        <v>8.9037953194094299E-2</v>
      </c>
      <c r="F68" s="342">
        <v>0.29149999999999998</v>
      </c>
    </row>
    <row r="69" spans="1:6" ht="16">
      <c r="A69" s="320" t="s">
        <v>611</v>
      </c>
      <c r="B69" s="375">
        <v>62.75</v>
      </c>
      <c r="C69" s="340">
        <v>5.5344939912038545E-2</v>
      </c>
      <c r="D69" s="319">
        <f t="shared" si="0"/>
        <v>0.10672501428150497</v>
      </c>
      <c r="E69" s="341">
        <v>6.4325014281504972E-2</v>
      </c>
      <c r="F69" s="342">
        <v>0.29149999999999998</v>
      </c>
    </row>
    <row r="70" spans="1:6" ht="16">
      <c r="A70" s="320" t="s">
        <v>612</v>
      </c>
      <c r="B70" s="375">
        <v>66.25</v>
      </c>
      <c r="C70" s="340">
        <v>3.8303918191549574E-2</v>
      </c>
      <c r="D70" s="319">
        <f t="shared" ref="D70:D133" si="1">$B$1+E70</f>
        <v>8.6918976597047143E-2</v>
      </c>
      <c r="E70" s="341">
        <v>4.4518976597047143E-2</v>
      </c>
      <c r="F70" s="342">
        <v>0.18640000000000001</v>
      </c>
    </row>
    <row r="71" spans="1:6" ht="16">
      <c r="A71" s="320" t="s">
        <v>613</v>
      </c>
      <c r="B71" s="375">
        <v>56.25</v>
      </c>
      <c r="C71" s="340">
        <v>8.5051585884242345E-2</v>
      </c>
      <c r="D71" s="319">
        <f t="shared" si="1"/>
        <v>0.14125175565035719</v>
      </c>
      <c r="E71" s="341">
        <v>9.8851755650357198E-2</v>
      </c>
      <c r="F71" s="342">
        <v>0.18640000000000001</v>
      </c>
    </row>
    <row r="72" spans="1:6" ht="16">
      <c r="A72" s="44" t="s">
        <v>287</v>
      </c>
      <c r="B72" s="50" t="s">
        <v>589</v>
      </c>
      <c r="C72" s="319">
        <v>3.8303918191549574E-2</v>
      </c>
      <c r="D72" s="319">
        <f t="shared" si="1"/>
        <v>8.6918976597047143E-2</v>
      </c>
      <c r="E72" s="339">
        <v>4.451897659704715E-2</v>
      </c>
      <c r="F72" s="339">
        <v>0.25</v>
      </c>
    </row>
    <row r="73" spans="1:6" ht="16">
      <c r="A73" s="44" t="s">
        <v>288</v>
      </c>
      <c r="B73" s="50" t="s">
        <v>600</v>
      </c>
      <c r="C73" s="319">
        <v>5.1430110597872171E-3</v>
      </c>
      <c r="D73" s="319">
        <f t="shared" si="1"/>
        <v>4.8377497859723763E-2</v>
      </c>
      <c r="E73" s="339">
        <v>5.9774978597237644E-3</v>
      </c>
      <c r="F73" s="339">
        <v>0.16500000000000001</v>
      </c>
    </row>
    <row r="74" spans="1:6" ht="16">
      <c r="A74" s="44" t="s">
        <v>289</v>
      </c>
      <c r="B74" s="50" t="s">
        <v>591</v>
      </c>
      <c r="C74" s="319">
        <v>1.6196646770374669E-2</v>
      </c>
      <c r="D74" s="319">
        <f t="shared" si="1"/>
        <v>6.1224657438831556E-2</v>
      </c>
      <c r="E74" s="339">
        <v>1.8824657438831559E-2</v>
      </c>
      <c r="F74" s="339">
        <v>0.09</v>
      </c>
    </row>
    <row r="75" spans="1:6" ht="16">
      <c r="A75" s="44" t="s">
        <v>290</v>
      </c>
      <c r="B75" s="50" t="s">
        <v>603</v>
      </c>
      <c r="C75" s="319">
        <v>7.2155677555223634E-3</v>
      </c>
      <c r="D75" s="319">
        <f t="shared" si="1"/>
        <v>5.0786340280806475E-2</v>
      </c>
      <c r="E75" s="339">
        <v>8.3863402808064744E-3</v>
      </c>
      <c r="F75" s="339">
        <v>0.2</v>
      </c>
    </row>
    <row r="76" spans="1:6" ht="16">
      <c r="A76" s="44" t="s">
        <v>291</v>
      </c>
      <c r="B76" s="50" t="s">
        <v>597</v>
      </c>
      <c r="C76" s="319">
        <v>1.8729771620717626E-2</v>
      </c>
      <c r="D76" s="319">
        <f t="shared" si="1"/>
        <v>6.4168798175710431E-2</v>
      </c>
      <c r="E76" s="339">
        <v>2.1768798175710428E-2</v>
      </c>
      <c r="F76" s="339">
        <v>0.3</v>
      </c>
    </row>
    <row r="77" spans="1:6" ht="16">
      <c r="A77" s="44" t="s">
        <v>292</v>
      </c>
      <c r="B77" s="50" t="s">
        <v>591</v>
      </c>
      <c r="C77" s="319">
        <v>1.6196646770374669E-2</v>
      </c>
      <c r="D77" s="319">
        <f t="shared" si="1"/>
        <v>6.1224657438831556E-2</v>
      </c>
      <c r="E77" s="339">
        <v>1.8824657438831559E-2</v>
      </c>
      <c r="F77" s="339">
        <v>0.35</v>
      </c>
    </row>
    <row r="78" spans="1:6" ht="16">
      <c r="A78" s="320" t="s">
        <v>614</v>
      </c>
      <c r="B78" s="375">
        <v>63.75</v>
      </c>
      <c r="C78" s="340">
        <v>5.5344939912038545E-2</v>
      </c>
      <c r="D78" s="319">
        <f t="shared" si="1"/>
        <v>0.10672501428150497</v>
      </c>
      <c r="E78" s="341">
        <v>6.4325014281504972E-2</v>
      </c>
      <c r="F78" s="342">
        <v>0.20230000000000001</v>
      </c>
    </row>
    <row r="79" spans="1:6" ht="16">
      <c r="A79" s="44" t="s">
        <v>561</v>
      </c>
      <c r="B79" s="50" t="s">
        <v>599</v>
      </c>
      <c r="C79" s="319">
        <v>6.3788689413181762E-2</v>
      </c>
      <c r="D79" s="319">
        <f t="shared" si="1"/>
        <v>0.11653881673776789</v>
      </c>
      <c r="E79" s="339">
        <v>7.4138816737767899E-2</v>
      </c>
      <c r="F79" s="339">
        <v>0.35</v>
      </c>
    </row>
    <row r="80" spans="1:6" ht="16">
      <c r="A80" s="44" t="s">
        <v>293</v>
      </c>
      <c r="B80" s="50" t="s">
        <v>603</v>
      </c>
      <c r="C80" s="319">
        <v>7.2155677555223634E-3</v>
      </c>
      <c r="D80" s="319">
        <f t="shared" si="1"/>
        <v>5.0786340280806475E-2</v>
      </c>
      <c r="E80" s="339">
        <v>8.3863402808064744E-3</v>
      </c>
      <c r="F80" s="339">
        <v>0.125</v>
      </c>
    </row>
    <row r="81" spans="1:6" ht="16">
      <c r="A81" s="44" t="s">
        <v>294</v>
      </c>
      <c r="B81" s="50" t="s">
        <v>600</v>
      </c>
      <c r="C81" s="319">
        <v>5.1430110597872171E-3</v>
      </c>
      <c r="D81" s="319">
        <f t="shared" si="1"/>
        <v>4.8377497859723763E-2</v>
      </c>
      <c r="E81" s="339">
        <v>5.9774978597237644E-3</v>
      </c>
      <c r="F81" s="339">
        <v>0</v>
      </c>
    </row>
    <row r="82" spans="1:6" ht="16">
      <c r="A82" s="44" t="s">
        <v>295</v>
      </c>
      <c r="B82" s="50" t="s">
        <v>605</v>
      </c>
      <c r="C82" s="319">
        <v>5.987386009901537E-3</v>
      </c>
      <c r="D82" s="319">
        <f t="shared" si="1"/>
        <v>4.9358878105350057E-2</v>
      </c>
      <c r="E82" s="339">
        <v>6.958878105350055E-3</v>
      </c>
      <c r="F82" s="339">
        <v>0.23</v>
      </c>
    </row>
    <row r="83" spans="1:6" ht="16">
      <c r="A83" s="44" t="s">
        <v>296</v>
      </c>
      <c r="B83" s="50" t="s">
        <v>597</v>
      </c>
      <c r="C83" s="319">
        <v>1.8729771620717626E-2</v>
      </c>
      <c r="D83" s="319">
        <f t="shared" si="1"/>
        <v>6.4168798175710431E-2</v>
      </c>
      <c r="E83" s="339">
        <v>2.1768798175710428E-2</v>
      </c>
      <c r="F83" s="339">
        <v>0.24</v>
      </c>
    </row>
    <row r="84" spans="1:6" ht="16">
      <c r="A84" s="337" t="s">
        <v>297</v>
      </c>
      <c r="B84" s="50" t="s">
        <v>592</v>
      </c>
      <c r="C84" s="319">
        <v>4.6824429051794063E-2</v>
      </c>
      <c r="D84" s="319">
        <f t="shared" si="1"/>
        <v>9.6821995439276054E-2</v>
      </c>
      <c r="E84" s="339">
        <v>5.4421995439276061E-2</v>
      </c>
      <c r="F84" s="339">
        <v>0.25</v>
      </c>
    </row>
    <row r="85" spans="1:6" ht="16">
      <c r="A85" s="44" t="s">
        <v>298</v>
      </c>
      <c r="B85" s="50" t="s">
        <v>605</v>
      </c>
      <c r="C85" s="319">
        <v>5.987386009901537E-3</v>
      </c>
      <c r="D85" s="319">
        <f t="shared" si="1"/>
        <v>4.9358878105350057E-2</v>
      </c>
      <c r="E85" s="339">
        <v>6.958878105350055E-3</v>
      </c>
      <c r="F85" s="339">
        <v>0.30620000000000003</v>
      </c>
    </row>
    <row r="86" spans="1:6" ht="16">
      <c r="A86" s="44" t="s">
        <v>693</v>
      </c>
      <c r="B86" s="50" t="s">
        <v>594</v>
      </c>
      <c r="C86" s="319">
        <v>0</v>
      </c>
      <c r="D86" s="319">
        <f t="shared" si="1"/>
        <v>4.24E-2</v>
      </c>
      <c r="E86" s="339">
        <v>0</v>
      </c>
      <c r="F86" s="339">
        <v>0</v>
      </c>
    </row>
    <row r="87" spans="1:6" ht="16">
      <c r="A87" s="44" t="s">
        <v>299</v>
      </c>
      <c r="B87" s="50" t="s">
        <v>589</v>
      </c>
      <c r="C87" s="319">
        <v>3.8303918191549574E-2</v>
      </c>
      <c r="D87" s="319">
        <f t="shared" si="1"/>
        <v>8.6918976597047143E-2</v>
      </c>
      <c r="E87" s="339">
        <v>4.451897659704715E-2</v>
      </c>
      <c r="F87" s="339">
        <v>0.2</v>
      </c>
    </row>
    <row r="88" spans="1:6" ht="16">
      <c r="A88" s="44" t="s">
        <v>300</v>
      </c>
      <c r="B88" s="50" t="s">
        <v>591</v>
      </c>
      <c r="C88" s="319">
        <v>1.6196646770374669E-2</v>
      </c>
      <c r="D88" s="319">
        <f t="shared" si="1"/>
        <v>6.1224657438831556E-2</v>
      </c>
      <c r="E88" s="339">
        <v>1.8824657438831559E-2</v>
      </c>
      <c r="F88" s="339">
        <v>0.2</v>
      </c>
    </row>
    <row r="89" spans="1:6" ht="16">
      <c r="A89" s="44" t="s">
        <v>430</v>
      </c>
      <c r="B89" s="50" t="s">
        <v>592</v>
      </c>
      <c r="C89" s="319">
        <v>4.6824429051794063E-2</v>
      </c>
      <c r="D89" s="319">
        <f t="shared" si="1"/>
        <v>9.6821995439276054E-2</v>
      </c>
      <c r="E89" s="339">
        <v>5.4421995439276061E-2</v>
      </c>
      <c r="F89" s="339">
        <v>0.3</v>
      </c>
    </row>
    <row r="90" spans="1:6" ht="16">
      <c r="A90" s="44" t="s">
        <v>694</v>
      </c>
      <c r="B90" s="50" t="s">
        <v>588</v>
      </c>
      <c r="C90" s="319">
        <v>4.2218747505715949E-3</v>
      </c>
      <c r="D90" s="319">
        <f t="shared" si="1"/>
        <v>4.730690122813145E-2</v>
      </c>
      <c r="E90" s="339">
        <v>4.9069012281314477E-3</v>
      </c>
      <c r="F90" s="339">
        <v>0.25</v>
      </c>
    </row>
    <row r="91" spans="1:6" ht="16">
      <c r="A91" s="320" t="s">
        <v>615</v>
      </c>
      <c r="B91" s="375">
        <v>51.5</v>
      </c>
      <c r="C91" s="340">
        <v>0.10209260760473131</v>
      </c>
      <c r="D91" s="319">
        <f t="shared" si="1"/>
        <v>0.16105779333481501</v>
      </c>
      <c r="E91" s="341">
        <v>0.11865779333481502</v>
      </c>
      <c r="F91" s="342">
        <v>0.23100000000000001</v>
      </c>
    </row>
    <row r="92" spans="1:6" ht="16">
      <c r="A92" s="44" t="s">
        <v>301</v>
      </c>
      <c r="B92" s="50" t="s">
        <v>605</v>
      </c>
      <c r="C92" s="319">
        <v>5.987386009901537E-3</v>
      </c>
      <c r="D92" s="319">
        <f t="shared" si="1"/>
        <v>4.9358878105350057E-2</v>
      </c>
      <c r="E92" s="339">
        <v>6.958878105350055E-3</v>
      </c>
      <c r="F92" s="339">
        <v>0.15</v>
      </c>
    </row>
    <row r="93" spans="1:6" ht="16">
      <c r="A93" s="44" t="s">
        <v>489</v>
      </c>
      <c r="B93" s="50" t="s">
        <v>592</v>
      </c>
      <c r="C93" s="319">
        <v>4.6824429051794063E-2</v>
      </c>
      <c r="D93" s="319">
        <f t="shared" si="1"/>
        <v>9.6821995439276054E-2</v>
      </c>
      <c r="E93" s="339">
        <v>5.4421995439276061E-2</v>
      </c>
      <c r="F93" s="339">
        <v>0.1</v>
      </c>
    </row>
    <row r="94" spans="1:6" ht="16">
      <c r="A94" s="337" t="s">
        <v>648</v>
      </c>
      <c r="B94" s="50" t="s">
        <v>606</v>
      </c>
      <c r="C94" s="319">
        <v>7.6607836383099148E-2</v>
      </c>
      <c r="D94" s="319">
        <f t="shared" si="1"/>
        <v>0.13143795319409429</v>
      </c>
      <c r="E94" s="339">
        <v>8.9037953194094299E-2</v>
      </c>
      <c r="F94" s="339">
        <v>0.2281</v>
      </c>
    </row>
    <row r="95" spans="1:6" ht="16">
      <c r="A95" s="44" t="s">
        <v>302</v>
      </c>
      <c r="B95" s="50" t="s">
        <v>607</v>
      </c>
      <c r="C95" s="319">
        <v>1.0209260760473134E-2</v>
      </c>
      <c r="D95" s="319">
        <f t="shared" si="1"/>
        <v>5.4265779333481506E-2</v>
      </c>
      <c r="E95" s="339">
        <v>1.1865779333481504E-2</v>
      </c>
      <c r="F95" s="339">
        <v>0.2</v>
      </c>
    </row>
    <row r="96" spans="1:6" ht="16">
      <c r="A96" s="44" t="s">
        <v>368</v>
      </c>
      <c r="B96" s="50" t="s">
        <v>640</v>
      </c>
      <c r="C96" s="319">
        <v>0.17499999999999999</v>
      </c>
      <c r="D96" s="319">
        <f t="shared" si="1"/>
        <v>0.24579488157642376</v>
      </c>
      <c r="E96" s="339">
        <v>0.20339488157642377</v>
      </c>
      <c r="F96" s="339">
        <v>0.17</v>
      </c>
    </row>
    <row r="97" spans="1:6" ht="16">
      <c r="A97" s="320" t="s">
        <v>616</v>
      </c>
      <c r="B97" s="375">
        <v>59</v>
      </c>
      <c r="C97" s="340">
        <v>7.6607836383099148E-2</v>
      </c>
      <c r="D97" s="319">
        <f t="shared" si="1"/>
        <v>0.13143795319409429</v>
      </c>
      <c r="E97" s="341">
        <v>8.9037953194094299E-2</v>
      </c>
      <c r="F97" s="342">
        <v>0.29149999999999998</v>
      </c>
    </row>
    <row r="98" spans="1:6" ht="16">
      <c r="A98" s="320" t="s">
        <v>617</v>
      </c>
      <c r="B98" s="375">
        <v>66.25</v>
      </c>
      <c r="C98" s="340">
        <v>3.8303918191549574E-2</v>
      </c>
      <c r="D98" s="319">
        <f t="shared" si="1"/>
        <v>8.6918976597047143E-2</v>
      </c>
      <c r="E98" s="341">
        <v>4.4518976597047143E-2</v>
      </c>
      <c r="F98" s="342">
        <v>0.2</v>
      </c>
    </row>
    <row r="99" spans="1:6" ht="16">
      <c r="A99" s="44" t="s">
        <v>303</v>
      </c>
      <c r="B99" s="50" t="s">
        <v>594</v>
      </c>
      <c r="C99" s="319">
        <v>0</v>
      </c>
      <c r="D99" s="319">
        <f t="shared" si="1"/>
        <v>4.24E-2</v>
      </c>
      <c r="E99" s="339">
        <v>0</v>
      </c>
      <c r="F99" s="339">
        <v>0.125</v>
      </c>
    </row>
    <row r="100" spans="1:6" ht="16">
      <c r="A100" s="44" t="s">
        <v>304</v>
      </c>
      <c r="B100" s="50" t="s">
        <v>603</v>
      </c>
      <c r="C100" s="319">
        <v>7.2155677555223634E-3</v>
      </c>
      <c r="D100" s="319">
        <f t="shared" si="1"/>
        <v>5.0786340280806475E-2</v>
      </c>
      <c r="E100" s="339">
        <v>8.3863402808064744E-3</v>
      </c>
      <c r="F100" s="339">
        <v>0.15</v>
      </c>
    </row>
    <row r="101" spans="1:6" ht="16">
      <c r="A101" s="44" t="s">
        <v>305</v>
      </c>
      <c r="B101" s="50" t="s">
        <v>594</v>
      </c>
      <c r="C101" s="319">
        <v>0</v>
      </c>
      <c r="D101" s="319">
        <f t="shared" si="1"/>
        <v>4.24E-2</v>
      </c>
      <c r="E101" s="339">
        <v>0</v>
      </c>
      <c r="F101" s="339">
        <v>0.24940000000000001</v>
      </c>
    </row>
    <row r="102" spans="1:6" ht="16">
      <c r="A102" s="44" t="s">
        <v>637</v>
      </c>
      <c r="B102" s="50" t="s">
        <v>600</v>
      </c>
      <c r="C102" s="319">
        <v>5.1430110597872171E-3</v>
      </c>
      <c r="D102" s="319">
        <f t="shared" si="1"/>
        <v>4.8377497859723763E-2</v>
      </c>
      <c r="E102" s="339">
        <v>5.9774978597237644E-3</v>
      </c>
      <c r="F102" s="339">
        <v>0.2281</v>
      </c>
    </row>
    <row r="103" spans="1:6" ht="16">
      <c r="A103" s="44" t="s">
        <v>306</v>
      </c>
      <c r="B103" s="50" t="s">
        <v>598</v>
      </c>
      <c r="C103" s="319">
        <v>3.0627782281419401E-2</v>
      </c>
      <c r="D103" s="319">
        <f t="shared" si="1"/>
        <v>7.7997338000444505E-2</v>
      </c>
      <c r="E103" s="339">
        <v>3.5597338000444512E-2</v>
      </c>
      <c r="F103" s="339">
        <v>0.1</v>
      </c>
    </row>
    <row r="104" spans="1:6" ht="16">
      <c r="A104" s="320" t="s">
        <v>618</v>
      </c>
      <c r="B104" s="375">
        <v>63.5</v>
      </c>
      <c r="C104" s="340">
        <v>5.5344939912038545E-2</v>
      </c>
      <c r="D104" s="319">
        <f t="shared" si="1"/>
        <v>0.10672501428150497</v>
      </c>
      <c r="E104" s="341">
        <v>6.4325014281504972E-2</v>
      </c>
      <c r="F104" s="342">
        <v>0.2</v>
      </c>
    </row>
    <row r="105" spans="1:6" ht="16">
      <c r="A105" s="320" t="s">
        <v>619</v>
      </c>
      <c r="B105" s="375">
        <v>59.75</v>
      </c>
      <c r="C105" s="340">
        <v>7.6607836383099148E-2</v>
      </c>
      <c r="D105" s="319">
        <f t="shared" si="1"/>
        <v>0.13143795319409429</v>
      </c>
      <c r="E105" s="341">
        <v>8.9037953194094299E-2</v>
      </c>
      <c r="F105" s="342">
        <v>0.3</v>
      </c>
    </row>
    <row r="106" spans="1:6" ht="16">
      <c r="A106" s="44" t="s">
        <v>307</v>
      </c>
      <c r="B106" s="50" t="s">
        <v>607</v>
      </c>
      <c r="C106" s="319">
        <v>1.0209260760473134E-2</v>
      </c>
      <c r="D106" s="319">
        <f t="shared" si="1"/>
        <v>5.4265779333481506E-2</v>
      </c>
      <c r="E106" s="339">
        <v>1.1865779333481504E-2</v>
      </c>
      <c r="F106" s="339">
        <v>0.24</v>
      </c>
    </row>
    <row r="107" spans="1:6" ht="16">
      <c r="A107" s="44" t="s">
        <v>695</v>
      </c>
      <c r="B107" s="50" t="s">
        <v>599</v>
      </c>
      <c r="C107" s="319">
        <v>6.3788689413181762E-2</v>
      </c>
      <c r="D107" s="319">
        <f t="shared" si="1"/>
        <v>0.11653881673776789</v>
      </c>
      <c r="E107" s="339">
        <v>7.4138816737767899E-2</v>
      </c>
      <c r="F107" s="339">
        <v>0.2281</v>
      </c>
    </row>
    <row r="108" spans="1:6" ht="16">
      <c r="A108" s="44" t="s">
        <v>620</v>
      </c>
      <c r="B108" s="50" t="s">
        <v>599</v>
      </c>
      <c r="C108" s="319">
        <v>6.3788689413181762E-2</v>
      </c>
      <c r="D108" s="319">
        <f t="shared" si="1"/>
        <v>0.11653881673776789</v>
      </c>
      <c r="E108" s="339">
        <v>7.4138816737767899E-2</v>
      </c>
      <c r="F108" s="339">
        <v>0.2281</v>
      </c>
    </row>
    <row r="109" spans="1:6" ht="16">
      <c r="A109" s="44" t="s">
        <v>308</v>
      </c>
      <c r="B109" s="50" t="s">
        <v>603</v>
      </c>
      <c r="C109" s="319">
        <v>7.2155677555223634E-3</v>
      </c>
      <c r="D109" s="319">
        <f t="shared" si="1"/>
        <v>5.0786340280806475E-2</v>
      </c>
      <c r="E109" s="339">
        <v>8.3863402808064744E-3</v>
      </c>
      <c r="F109" s="339">
        <v>0.35</v>
      </c>
    </row>
    <row r="110" spans="1:6" ht="16">
      <c r="A110" s="44" t="s">
        <v>309</v>
      </c>
      <c r="B110" s="50" t="s">
        <v>591</v>
      </c>
      <c r="C110" s="319">
        <v>1.6196646770374669E-2</v>
      </c>
      <c r="D110" s="319">
        <f t="shared" si="1"/>
        <v>6.1224657438831556E-2</v>
      </c>
      <c r="E110" s="339">
        <v>1.8824657438831559E-2</v>
      </c>
      <c r="F110" s="339">
        <v>0.15</v>
      </c>
    </row>
    <row r="111" spans="1:6" ht="16">
      <c r="A111" s="44" t="s">
        <v>310</v>
      </c>
      <c r="B111" s="50" t="s">
        <v>593</v>
      </c>
      <c r="C111" s="319">
        <v>1.358676056093041E-2</v>
      </c>
      <c r="D111" s="319">
        <f t="shared" si="1"/>
        <v>5.8191300315986662E-2</v>
      </c>
      <c r="E111" s="339">
        <v>1.5791300315986662E-2</v>
      </c>
      <c r="F111" s="339">
        <v>0.3</v>
      </c>
    </row>
    <row r="112" spans="1:6" ht="16">
      <c r="A112" s="44" t="s">
        <v>369</v>
      </c>
      <c r="B112" s="50" t="s">
        <v>601</v>
      </c>
      <c r="C112" s="319">
        <v>5.5344939912038545E-2</v>
      </c>
      <c r="D112" s="319">
        <f t="shared" si="1"/>
        <v>0.10672501428150497</v>
      </c>
      <c r="E112" s="339">
        <v>6.4325014281504972E-2</v>
      </c>
      <c r="F112" s="339">
        <v>0.12</v>
      </c>
    </row>
    <row r="113" spans="1:6" ht="16">
      <c r="A113" s="44" t="s">
        <v>370</v>
      </c>
      <c r="B113" s="50" t="s">
        <v>601</v>
      </c>
      <c r="C113" s="319">
        <v>5.5344939912038545E-2</v>
      </c>
      <c r="D113" s="319">
        <f t="shared" si="1"/>
        <v>0.10672501428150497</v>
      </c>
      <c r="E113" s="339">
        <v>6.4325014281504972E-2</v>
      </c>
      <c r="F113" s="339">
        <v>0.25</v>
      </c>
    </row>
    <row r="114" spans="1:6" ht="16">
      <c r="A114" s="44" t="s">
        <v>311</v>
      </c>
      <c r="B114" s="50" t="s">
        <v>589</v>
      </c>
      <c r="C114" s="319">
        <v>3.8303918191549574E-2</v>
      </c>
      <c r="D114" s="319">
        <f t="shared" si="1"/>
        <v>8.6918976597047143E-2</v>
      </c>
      <c r="E114" s="339">
        <v>4.451897659704715E-2</v>
      </c>
      <c r="F114" s="339">
        <v>0.09</v>
      </c>
    </row>
    <row r="115" spans="1:6" ht="16">
      <c r="A115" s="44" t="s">
        <v>490</v>
      </c>
      <c r="B115" s="50" t="s">
        <v>597</v>
      </c>
      <c r="C115" s="319">
        <v>1.8729771620717626E-2</v>
      </c>
      <c r="D115" s="319">
        <f t="shared" si="1"/>
        <v>6.4168798175710431E-2</v>
      </c>
      <c r="E115" s="339">
        <v>2.1768798175710428E-2</v>
      </c>
      <c r="F115" s="339">
        <v>0.27179999999999999</v>
      </c>
    </row>
    <row r="116" spans="1:6" ht="16">
      <c r="A116" s="44" t="s">
        <v>371</v>
      </c>
      <c r="B116" s="50" t="s">
        <v>609</v>
      </c>
      <c r="C116" s="319">
        <v>2.1262896471060586E-2</v>
      </c>
      <c r="D116" s="319">
        <f t="shared" si="1"/>
        <v>6.7112938912589293E-2</v>
      </c>
      <c r="E116" s="339">
        <v>2.47129389125893E-2</v>
      </c>
      <c r="F116" s="339">
        <v>0.31</v>
      </c>
    </row>
    <row r="117" spans="1:6" ht="16">
      <c r="A117" s="320" t="s">
        <v>312</v>
      </c>
      <c r="B117" s="50" t="s">
        <v>606</v>
      </c>
      <c r="C117" s="340">
        <v>7.6607836383099148E-2</v>
      </c>
      <c r="D117" s="319">
        <f t="shared" si="1"/>
        <v>0.13143795319409429</v>
      </c>
      <c r="E117" s="341">
        <v>8.9037953194094299E-2</v>
      </c>
      <c r="F117" s="342">
        <v>0.32</v>
      </c>
    </row>
    <row r="118" spans="1:6" ht="16">
      <c r="A118" s="44" t="s">
        <v>621</v>
      </c>
      <c r="B118" s="375">
        <v>53</v>
      </c>
      <c r="C118" s="319">
        <v>0.10209260760473131</v>
      </c>
      <c r="D118" s="319">
        <f t="shared" si="1"/>
        <v>0.16105779333481501</v>
      </c>
      <c r="E118" s="339">
        <v>0.11865779333481502</v>
      </c>
      <c r="F118" s="339">
        <v>0.25</v>
      </c>
    </row>
    <row r="119" spans="1:6" ht="16">
      <c r="A119" s="44" t="s">
        <v>313</v>
      </c>
      <c r="B119" s="50" t="s">
        <v>598</v>
      </c>
      <c r="C119" s="319">
        <v>3.0627782281419401E-2</v>
      </c>
      <c r="D119" s="319">
        <f t="shared" si="1"/>
        <v>7.7997338000444505E-2</v>
      </c>
      <c r="E119" s="339">
        <v>3.5597338000444512E-2</v>
      </c>
      <c r="F119" s="339">
        <v>0.32</v>
      </c>
    </row>
    <row r="120" spans="1:6" ht="16">
      <c r="A120" s="44" t="s">
        <v>314</v>
      </c>
      <c r="B120" s="50" t="s">
        <v>594</v>
      </c>
      <c r="C120" s="319">
        <v>0</v>
      </c>
      <c r="D120" s="319">
        <f t="shared" si="1"/>
        <v>4.24E-2</v>
      </c>
      <c r="E120" s="339">
        <v>0</v>
      </c>
      <c r="F120" s="339">
        <v>0.25</v>
      </c>
    </row>
    <row r="121" spans="1:6" ht="16">
      <c r="A121" s="44" t="s">
        <v>315</v>
      </c>
      <c r="B121" s="50" t="s">
        <v>594</v>
      </c>
      <c r="C121" s="319">
        <v>0</v>
      </c>
      <c r="D121" s="319">
        <f t="shared" si="1"/>
        <v>4.24E-2</v>
      </c>
      <c r="E121" s="339">
        <v>0</v>
      </c>
      <c r="F121" s="339">
        <v>0.28000000000000003</v>
      </c>
    </row>
    <row r="122" spans="1:6" ht="16">
      <c r="A122" s="44" t="s">
        <v>372</v>
      </c>
      <c r="B122" s="50" t="s">
        <v>601</v>
      </c>
      <c r="C122" s="319">
        <v>5.5344939912038545E-2</v>
      </c>
      <c r="D122" s="319">
        <f t="shared" si="1"/>
        <v>0.10672501428150497</v>
      </c>
      <c r="E122" s="339">
        <v>6.4325014281504972E-2</v>
      </c>
      <c r="F122" s="339">
        <v>0.3</v>
      </c>
    </row>
    <row r="123" spans="1:6" ht="16">
      <c r="A123" s="44" t="s">
        <v>622</v>
      </c>
      <c r="B123" s="50" t="s">
        <v>601</v>
      </c>
      <c r="C123" s="319">
        <v>5.5344939912038545E-2</v>
      </c>
      <c r="D123" s="319">
        <f t="shared" si="1"/>
        <v>0.10672501428150497</v>
      </c>
      <c r="E123" s="339">
        <v>6.4325014281504972E-2</v>
      </c>
      <c r="F123" s="339">
        <v>0.2281</v>
      </c>
    </row>
    <row r="124" spans="1:6" ht="16">
      <c r="A124" s="44" t="s">
        <v>316</v>
      </c>
      <c r="B124" s="50" t="s">
        <v>592</v>
      </c>
      <c r="C124" s="319">
        <v>4.6824429051794063E-2</v>
      </c>
      <c r="D124" s="319">
        <f t="shared" si="1"/>
        <v>9.6821995439276054E-2</v>
      </c>
      <c r="E124" s="339">
        <v>5.4421995439276061E-2</v>
      </c>
      <c r="F124" s="339">
        <v>0.3</v>
      </c>
    </row>
    <row r="125" spans="1:6" ht="16">
      <c r="A125" s="44" t="s">
        <v>317</v>
      </c>
      <c r="B125" s="50" t="s">
        <v>594</v>
      </c>
      <c r="C125" s="319">
        <v>0</v>
      </c>
      <c r="D125" s="319">
        <f t="shared" si="1"/>
        <v>4.24E-2</v>
      </c>
      <c r="E125" s="339">
        <v>0</v>
      </c>
      <c r="F125" s="339">
        <v>0.22</v>
      </c>
    </row>
    <row r="126" spans="1:6" ht="16">
      <c r="A126" s="44" t="s">
        <v>318</v>
      </c>
      <c r="B126" s="50" t="s">
        <v>598</v>
      </c>
      <c r="C126" s="319">
        <v>3.0627782281419401E-2</v>
      </c>
      <c r="D126" s="319">
        <f t="shared" si="1"/>
        <v>7.7997338000444505E-2</v>
      </c>
      <c r="E126" s="339">
        <v>3.5597338000444512E-2</v>
      </c>
      <c r="F126" s="339">
        <v>0.15</v>
      </c>
    </row>
    <row r="127" spans="1:6" ht="16">
      <c r="A127" s="44" t="s">
        <v>319</v>
      </c>
      <c r="B127" s="50" t="s">
        <v>601</v>
      </c>
      <c r="C127" s="319">
        <v>5.5344939912038545E-2</v>
      </c>
      <c r="D127" s="319">
        <f t="shared" si="1"/>
        <v>0.10672501428150497</v>
      </c>
      <c r="E127" s="339">
        <v>6.4325014281504972E-2</v>
      </c>
      <c r="F127" s="339">
        <v>0.28999999999999998</v>
      </c>
    </row>
    <row r="128" spans="1:6" ht="16">
      <c r="A128" s="44" t="s">
        <v>320</v>
      </c>
      <c r="B128" s="50" t="s">
        <v>591</v>
      </c>
      <c r="C128" s="319">
        <v>1.6196646770374669E-2</v>
      </c>
      <c r="D128" s="319">
        <f t="shared" si="1"/>
        <v>6.1224657438831556E-2</v>
      </c>
      <c r="E128" s="339">
        <v>1.8824657438831559E-2</v>
      </c>
      <c r="F128" s="339">
        <v>0.25</v>
      </c>
    </row>
    <row r="129" spans="1:6" ht="16">
      <c r="A129" s="44" t="s">
        <v>321</v>
      </c>
      <c r="B129" s="50" t="s">
        <v>592</v>
      </c>
      <c r="C129" s="319">
        <v>4.6824429051794063E-2</v>
      </c>
      <c r="D129" s="319">
        <f t="shared" si="1"/>
        <v>9.6821995439276054E-2</v>
      </c>
      <c r="E129" s="339">
        <v>5.4421995439276061E-2</v>
      </c>
      <c r="F129" s="339">
        <v>0.3</v>
      </c>
    </row>
    <row r="130" spans="1:6" ht="16">
      <c r="A130" s="44" t="s">
        <v>322</v>
      </c>
      <c r="B130" s="50" t="s">
        <v>609</v>
      </c>
      <c r="C130" s="319">
        <v>2.1262896471060586E-2</v>
      </c>
      <c r="D130" s="319">
        <f t="shared" si="1"/>
        <v>6.7112938912589293E-2</v>
      </c>
      <c r="E130" s="339">
        <v>2.47129389125893E-2</v>
      </c>
      <c r="F130" s="339">
        <v>0.1</v>
      </c>
    </row>
    <row r="131" spans="1:6" ht="16">
      <c r="A131" s="44" t="s">
        <v>323</v>
      </c>
      <c r="B131" s="50" t="s">
        <v>593</v>
      </c>
      <c r="C131" s="319">
        <v>1.358676056093041E-2</v>
      </c>
      <c r="D131" s="319">
        <f t="shared" si="1"/>
        <v>5.8191300315986662E-2</v>
      </c>
      <c r="E131" s="339">
        <v>1.5791300315986662E-2</v>
      </c>
      <c r="F131" s="339">
        <v>0.29499999999999998</v>
      </c>
    </row>
    <row r="132" spans="1:6" ht="16">
      <c r="A132" s="44" t="s">
        <v>324</v>
      </c>
      <c r="B132" s="50" t="s">
        <v>591</v>
      </c>
      <c r="C132" s="319">
        <v>1.6196646770374669E-2</v>
      </c>
      <c r="D132" s="319">
        <f t="shared" si="1"/>
        <v>6.1224657438831556E-2</v>
      </c>
      <c r="E132" s="339">
        <v>1.8824657438831559E-2</v>
      </c>
      <c r="F132" s="339">
        <v>0.3</v>
      </c>
    </row>
    <row r="133" spans="1:6" ht="16">
      <c r="A133" s="44" t="s">
        <v>325</v>
      </c>
      <c r="B133" s="50" t="s">
        <v>603</v>
      </c>
      <c r="C133" s="319">
        <v>7.2155677555223634E-3</v>
      </c>
      <c r="D133" s="319">
        <f t="shared" si="1"/>
        <v>5.0786340280806475E-2</v>
      </c>
      <c r="E133" s="339">
        <v>8.3863402808064744E-3</v>
      </c>
      <c r="F133" s="339">
        <v>0.19</v>
      </c>
    </row>
    <row r="134" spans="1:6" ht="16">
      <c r="A134" s="44" t="s">
        <v>326</v>
      </c>
      <c r="B134" s="50" t="s">
        <v>591</v>
      </c>
      <c r="C134" s="319">
        <v>1.6196646770374669E-2</v>
      </c>
      <c r="D134" s="319">
        <f t="shared" ref="D134:D181" si="2">$B$1+E134</f>
        <v>6.1224657438831556E-2</v>
      </c>
      <c r="E134" s="339">
        <v>1.8824657438831559E-2</v>
      </c>
      <c r="F134" s="339">
        <v>0.21</v>
      </c>
    </row>
    <row r="135" spans="1:6" ht="16">
      <c r="A135" s="44" t="s">
        <v>327</v>
      </c>
      <c r="B135" s="50" t="s">
        <v>600</v>
      </c>
      <c r="C135" s="319">
        <v>5.1430110597872171E-3</v>
      </c>
      <c r="D135" s="319">
        <f t="shared" si="2"/>
        <v>4.8377497859723763E-2</v>
      </c>
      <c r="E135" s="339">
        <v>5.9774978597237644E-3</v>
      </c>
      <c r="F135" s="339">
        <v>0.1</v>
      </c>
    </row>
    <row r="136" spans="1:6" ht="16">
      <c r="A136" s="44" t="s">
        <v>504</v>
      </c>
      <c r="B136" s="50" t="s">
        <v>607</v>
      </c>
      <c r="C136" s="319">
        <v>1.0209260760473134E-2</v>
      </c>
      <c r="D136" s="319">
        <f t="shared" si="2"/>
        <v>5.4265779333481506E-2</v>
      </c>
      <c r="E136" s="339">
        <v>1.1865779333481504E-2</v>
      </c>
      <c r="F136" s="339">
        <v>0</v>
      </c>
    </row>
    <row r="137" spans="1:6" ht="16">
      <c r="A137" s="44" t="s">
        <v>328</v>
      </c>
      <c r="B137" s="50" t="s">
        <v>597</v>
      </c>
      <c r="C137" s="319">
        <v>1.8729771620717626E-2</v>
      </c>
      <c r="D137" s="319">
        <f t="shared" si="2"/>
        <v>6.4168798175710431E-2</v>
      </c>
      <c r="E137" s="339">
        <v>2.1768798175710428E-2</v>
      </c>
      <c r="F137" s="339">
        <v>0.16</v>
      </c>
    </row>
    <row r="138" spans="1:6" ht="16">
      <c r="A138" s="44" t="s">
        <v>329</v>
      </c>
      <c r="B138" s="50" t="s">
        <v>597</v>
      </c>
      <c r="C138" s="319">
        <v>1.8729771620717626E-2</v>
      </c>
      <c r="D138" s="319">
        <f t="shared" si="2"/>
        <v>6.4168798175710431E-2</v>
      </c>
      <c r="E138" s="339">
        <v>2.1768798175710428E-2</v>
      </c>
      <c r="F138" s="339">
        <v>0.2</v>
      </c>
    </row>
    <row r="139" spans="1:6" ht="16">
      <c r="A139" s="337" t="s">
        <v>491</v>
      </c>
      <c r="B139" s="50" t="s">
        <v>592</v>
      </c>
      <c r="C139" s="319">
        <v>4.6824429051794063E-2</v>
      </c>
      <c r="D139" s="319">
        <f t="shared" si="2"/>
        <v>9.6821995439276054E-2</v>
      </c>
      <c r="E139" s="339">
        <v>5.4421995439276061E-2</v>
      </c>
      <c r="F139" s="339">
        <v>0.3</v>
      </c>
    </row>
    <row r="140" spans="1:6" ht="16">
      <c r="A140" s="44" t="s">
        <v>330</v>
      </c>
      <c r="B140" s="50" t="s">
        <v>605</v>
      </c>
      <c r="C140" s="319">
        <v>5.987386009901537E-3</v>
      </c>
      <c r="D140" s="319">
        <f t="shared" si="2"/>
        <v>4.9358878105350057E-2</v>
      </c>
      <c r="E140" s="339">
        <v>6.958878105350055E-3</v>
      </c>
      <c r="F140" s="339">
        <v>0.2</v>
      </c>
    </row>
    <row r="141" spans="1:6" ht="16">
      <c r="A141" s="44" t="s">
        <v>373</v>
      </c>
      <c r="B141" s="50" t="s">
        <v>598</v>
      </c>
      <c r="C141" s="319">
        <v>3.0627782281419401E-2</v>
      </c>
      <c r="D141" s="319">
        <f t="shared" si="2"/>
        <v>7.7997338000444505E-2</v>
      </c>
      <c r="E141" s="339">
        <v>3.5597338000444512E-2</v>
      </c>
      <c r="F141" s="339">
        <v>0.3</v>
      </c>
    </row>
    <row r="142" spans="1:6" ht="16">
      <c r="A142" s="44" t="s">
        <v>331</v>
      </c>
      <c r="B142" s="50" t="s">
        <v>596</v>
      </c>
      <c r="C142" s="319">
        <v>2.5561532580733477E-2</v>
      </c>
      <c r="D142" s="319">
        <f t="shared" si="2"/>
        <v>7.2109056526686768E-2</v>
      </c>
      <c r="E142" s="339">
        <v>2.9709056526686765E-2</v>
      </c>
      <c r="F142" s="339">
        <v>0.15</v>
      </c>
    </row>
    <row r="143" spans="1:6" ht="16">
      <c r="A143" s="44" t="s">
        <v>505</v>
      </c>
      <c r="B143" s="50" t="s">
        <v>597</v>
      </c>
      <c r="C143" s="319">
        <v>1.8729771620717626E-2</v>
      </c>
      <c r="D143" s="319">
        <f t="shared" si="2"/>
        <v>6.4168798175710431E-2</v>
      </c>
      <c r="E143" s="339">
        <v>2.1768798175710428E-2</v>
      </c>
      <c r="F143" s="339">
        <v>0</v>
      </c>
    </row>
    <row r="144" spans="1:6" ht="16">
      <c r="A144" s="320" t="s">
        <v>623</v>
      </c>
      <c r="B144" s="375">
        <v>57</v>
      </c>
      <c r="C144" s="340">
        <v>8.5051585884242345E-2</v>
      </c>
      <c r="D144" s="319">
        <f t="shared" si="2"/>
        <v>0.14125175565035719</v>
      </c>
      <c r="E144" s="341">
        <v>9.8851755650357198E-2</v>
      </c>
      <c r="F144" s="342">
        <v>0.3</v>
      </c>
    </row>
    <row r="145" spans="1:6" ht="16">
      <c r="A145" s="44" t="s">
        <v>332</v>
      </c>
      <c r="B145" s="50" t="s">
        <v>594</v>
      </c>
      <c r="C145" s="319">
        <v>0</v>
      </c>
      <c r="D145" s="319">
        <f t="shared" si="2"/>
        <v>4.24E-2</v>
      </c>
      <c r="E145" s="339">
        <v>0</v>
      </c>
      <c r="F145" s="339">
        <v>0.17</v>
      </c>
    </row>
    <row r="146" spans="1:6" ht="16">
      <c r="A146" s="44" t="s">
        <v>374</v>
      </c>
      <c r="B146" s="50" t="s">
        <v>603</v>
      </c>
      <c r="C146" s="319">
        <v>7.2155677555223634E-3</v>
      </c>
      <c r="D146" s="319">
        <f t="shared" si="2"/>
        <v>5.0786340280806475E-2</v>
      </c>
      <c r="E146" s="339">
        <v>8.3863402808064744E-3</v>
      </c>
      <c r="F146" s="339">
        <v>0.21</v>
      </c>
    </row>
    <row r="147" spans="1:6" ht="16">
      <c r="A147" s="44" t="s">
        <v>333</v>
      </c>
      <c r="B147" s="50" t="s">
        <v>607</v>
      </c>
      <c r="C147" s="319">
        <v>1.0209260760473134E-2</v>
      </c>
      <c r="D147" s="319">
        <f t="shared" si="2"/>
        <v>5.4265779333481506E-2</v>
      </c>
      <c r="E147" s="339">
        <v>1.1865779333481504E-2</v>
      </c>
      <c r="F147" s="339">
        <v>0.19</v>
      </c>
    </row>
    <row r="148" spans="1:6" ht="16">
      <c r="A148" s="44" t="s">
        <v>624</v>
      </c>
      <c r="B148" s="50" t="s">
        <v>599</v>
      </c>
      <c r="C148" s="319">
        <v>6.3788689413181762E-2</v>
      </c>
      <c r="D148" s="319">
        <f t="shared" si="2"/>
        <v>0.11653881673776789</v>
      </c>
      <c r="E148" s="339">
        <v>7.4138816737767899E-2</v>
      </c>
      <c r="F148" s="339">
        <v>0.3</v>
      </c>
    </row>
    <row r="149" spans="1:6" ht="16">
      <c r="A149" s="320" t="s">
        <v>625</v>
      </c>
      <c r="B149" s="375">
        <v>51.5</v>
      </c>
      <c r="C149" s="340">
        <v>0.10209260760473131</v>
      </c>
      <c r="D149" s="319">
        <f t="shared" si="2"/>
        <v>0.16105779333481501</v>
      </c>
      <c r="E149" s="341">
        <v>0.11865779333481502</v>
      </c>
      <c r="F149" s="342">
        <v>0.29149999999999998</v>
      </c>
    </row>
    <row r="150" spans="1:6" ht="16">
      <c r="A150" s="44" t="s">
        <v>334</v>
      </c>
      <c r="B150" s="50" t="s">
        <v>596</v>
      </c>
      <c r="C150" s="319">
        <v>2.5561532580733477E-2</v>
      </c>
      <c r="D150" s="319">
        <f t="shared" si="2"/>
        <v>7.2109056526686768E-2</v>
      </c>
      <c r="E150" s="339">
        <v>2.9709056526686765E-2</v>
      </c>
      <c r="F150" s="339">
        <v>0.28000000000000003</v>
      </c>
    </row>
    <row r="151" spans="1:6" ht="16">
      <c r="A151" s="44" t="s">
        <v>335</v>
      </c>
      <c r="B151" s="50" t="s">
        <v>593</v>
      </c>
      <c r="C151" s="319">
        <v>1.358676056093041E-2</v>
      </c>
      <c r="D151" s="319">
        <f t="shared" si="2"/>
        <v>5.8191300315986662E-2</v>
      </c>
      <c r="E151" s="339">
        <v>1.5791300315986662E-2</v>
      </c>
      <c r="F151" s="339">
        <v>0.25</v>
      </c>
    </row>
    <row r="152" spans="1:6" ht="16">
      <c r="A152" s="44" t="s">
        <v>336</v>
      </c>
      <c r="B152" s="50" t="s">
        <v>606</v>
      </c>
      <c r="C152" s="319">
        <v>7.6607836383099148E-2</v>
      </c>
      <c r="D152" s="319">
        <f t="shared" si="2"/>
        <v>0.13143795319409429</v>
      </c>
      <c r="E152" s="339">
        <v>8.9037953194094299E-2</v>
      </c>
      <c r="F152" s="339">
        <v>0.24</v>
      </c>
    </row>
    <row r="153" spans="1:6" ht="16">
      <c r="A153" s="44" t="s">
        <v>431</v>
      </c>
      <c r="B153" s="50" t="s">
        <v>596</v>
      </c>
      <c r="C153" s="319">
        <v>2.5561532580733477E-2</v>
      </c>
      <c r="D153" s="319">
        <f t="shared" si="2"/>
        <v>7.2109056526686768E-2</v>
      </c>
      <c r="E153" s="339">
        <v>2.9709056526686765E-2</v>
      </c>
      <c r="F153" s="339">
        <v>0.27179999999999999</v>
      </c>
    </row>
    <row r="154" spans="1:6" ht="16">
      <c r="A154" s="44" t="s">
        <v>375</v>
      </c>
      <c r="B154" s="50" t="s">
        <v>601</v>
      </c>
      <c r="C154" s="319">
        <v>5.5344939912038545E-2</v>
      </c>
      <c r="D154" s="319">
        <f t="shared" si="2"/>
        <v>0.10672501428150497</v>
      </c>
      <c r="E154" s="339">
        <v>6.4325014281504972E-2</v>
      </c>
      <c r="F154" s="339">
        <v>0.27179999999999999</v>
      </c>
    </row>
    <row r="155" spans="1:6" ht="16">
      <c r="A155" s="44" t="s">
        <v>626</v>
      </c>
      <c r="B155" s="375">
        <v>36.25</v>
      </c>
      <c r="C155" s="319">
        <v>0.17499999999999999</v>
      </c>
      <c r="D155" s="319">
        <f t="shared" si="2"/>
        <v>0.24579488157642376</v>
      </c>
      <c r="E155" s="339">
        <v>0.20339488157642377</v>
      </c>
      <c r="F155" s="339">
        <v>0.35</v>
      </c>
    </row>
    <row r="156" spans="1:6" ht="16">
      <c r="A156" s="320" t="s">
        <v>376</v>
      </c>
      <c r="B156" s="50" t="s">
        <v>659</v>
      </c>
      <c r="C156" s="340">
        <v>8.5051585884242345E-2</v>
      </c>
      <c r="D156" s="319">
        <f t="shared" si="2"/>
        <v>0.14125175565035719</v>
      </c>
      <c r="E156" s="341">
        <v>9.8851755650357198E-2</v>
      </c>
      <c r="F156" s="342">
        <v>0.36</v>
      </c>
    </row>
    <row r="157" spans="1:6" ht="16">
      <c r="A157" s="44" t="s">
        <v>627</v>
      </c>
      <c r="B157" s="50" t="s">
        <v>601</v>
      </c>
      <c r="C157" s="319">
        <v>5.5344939912038545E-2</v>
      </c>
      <c r="D157" s="319">
        <f t="shared" si="2"/>
        <v>0.10672501428150497</v>
      </c>
      <c r="E157" s="339">
        <v>6.4325014281504972E-2</v>
      </c>
      <c r="F157" s="339">
        <v>0.27500000000000002</v>
      </c>
    </row>
    <row r="158" spans="1:6" ht="16">
      <c r="A158" s="44" t="s">
        <v>337</v>
      </c>
      <c r="B158" s="50" t="s">
        <v>594</v>
      </c>
      <c r="C158" s="319">
        <v>0</v>
      </c>
      <c r="D158" s="319">
        <f t="shared" si="2"/>
        <v>4.24E-2</v>
      </c>
      <c r="E158" s="339">
        <v>0</v>
      </c>
      <c r="F158" s="339">
        <v>0.20600000000000002</v>
      </c>
    </row>
    <row r="159" spans="1:6" ht="16">
      <c r="A159" s="44" t="s">
        <v>338</v>
      </c>
      <c r="B159" s="50" t="s">
        <v>594</v>
      </c>
      <c r="C159" s="319">
        <v>0</v>
      </c>
      <c r="D159" s="319">
        <f t="shared" si="2"/>
        <v>4.24E-2</v>
      </c>
      <c r="E159" s="339">
        <v>0</v>
      </c>
      <c r="F159" s="339">
        <v>0.14929999999999999</v>
      </c>
    </row>
    <row r="160" spans="1:6" ht="16">
      <c r="A160" s="44" t="s">
        <v>628</v>
      </c>
      <c r="B160" s="375">
        <v>45.5</v>
      </c>
      <c r="C160" s="319">
        <v>0.17499999999999999</v>
      </c>
      <c r="D160" s="319">
        <f t="shared" si="2"/>
        <v>0.24579488157642376</v>
      </c>
      <c r="E160" s="339">
        <v>0.20339488157642377</v>
      </c>
      <c r="F160" s="339">
        <v>0.28000000000000003</v>
      </c>
    </row>
    <row r="161" spans="1:6" ht="16">
      <c r="A161" s="320" t="s">
        <v>339</v>
      </c>
      <c r="B161" s="50" t="s">
        <v>600</v>
      </c>
      <c r="C161" s="340">
        <v>5.1430110597872171E-3</v>
      </c>
      <c r="D161" s="319">
        <f t="shared" si="2"/>
        <v>4.8377497859723763E-2</v>
      </c>
      <c r="E161" s="341">
        <v>5.9774978597237644E-3</v>
      </c>
      <c r="F161" s="342">
        <v>0.2</v>
      </c>
    </row>
    <row r="162" spans="1:6" ht="16">
      <c r="A162" s="44" t="s">
        <v>629</v>
      </c>
      <c r="B162" s="50" t="s">
        <v>601</v>
      </c>
      <c r="C162" s="319">
        <v>5.5344939912038545E-2</v>
      </c>
      <c r="D162" s="319">
        <f t="shared" si="2"/>
        <v>0.10672501428150497</v>
      </c>
      <c r="E162" s="339">
        <v>6.4325014281504972E-2</v>
      </c>
      <c r="F162" s="339">
        <v>0.2281</v>
      </c>
    </row>
    <row r="163" spans="1:6" ht="16">
      <c r="A163" s="44" t="s">
        <v>630</v>
      </c>
      <c r="B163" s="50" t="s">
        <v>592</v>
      </c>
      <c r="C163" s="319">
        <v>4.6824429051794063E-2</v>
      </c>
      <c r="D163" s="319">
        <f t="shared" si="2"/>
        <v>9.6821995439276054E-2</v>
      </c>
      <c r="E163" s="321">
        <v>5.4421995439276061E-2</v>
      </c>
      <c r="F163" s="321">
        <v>0.3</v>
      </c>
    </row>
    <row r="164" spans="1:6" ht="16">
      <c r="A164" s="44" t="s">
        <v>340</v>
      </c>
      <c r="B164" s="50" t="s">
        <v>593</v>
      </c>
      <c r="C164" s="319">
        <v>1.358676056093041E-2</v>
      </c>
      <c r="D164" s="319">
        <f t="shared" si="2"/>
        <v>5.8191300315986662E-2</v>
      </c>
      <c r="E164" s="321">
        <v>1.5791300315986662E-2</v>
      </c>
      <c r="F164" s="321">
        <v>0.2</v>
      </c>
    </row>
    <row r="165" spans="1:6" ht="16">
      <c r="A165" s="44" t="s">
        <v>631</v>
      </c>
      <c r="B165" s="50" t="s">
        <v>601</v>
      </c>
      <c r="C165" s="319">
        <v>5.5344939912038545E-2</v>
      </c>
      <c r="D165" s="319">
        <f t="shared" si="2"/>
        <v>0.10672501428150497</v>
      </c>
      <c r="E165" s="321">
        <v>6.4325014281504972E-2</v>
      </c>
      <c r="F165" s="321">
        <v>0.2281</v>
      </c>
    </row>
    <row r="166" spans="1:6" ht="16">
      <c r="A166" s="44" t="s">
        <v>638</v>
      </c>
      <c r="B166" s="50" t="s">
        <v>596</v>
      </c>
      <c r="C166" s="319">
        <v>2.5561532580733477E-2</v>
      </c>
      <c r="D166" s="319">
        <f t="shared" si="2"/>
        <v>7.2109056526686768E-2</v>
      </c>
      <c r="E166" s="321">
        <v>2.9709056526686765E-2</v>
      </c>
      <c r="F166" s="321">
        <v>0.3</v>
      </c>
    </row>
    <row r="167" spans="1:6" ht="16">
      <c r="A167" s="44" t="s">
        <v>341</v>
      </c>
      <c r="B167" s="50" t="s">
        <v>599</v>
      </c>
      <c r="C167" s="319">
        <v>6.3788689413181762E-2</v>
      </c>
      <c r="D167" s="319">
        <f t="shared" si="2"/>
        <v>0.11653881673776789</v>
      </c>
      <c r="E167" s="321">
        <v>7.4138816737767899E-2</v>
      </c>
      <c r="F167" s="321">
        <v>0.15</v>
      </c>
    </row>
    <row r="168" spans="1:6" ht="16">
      <c r="A168" s="44" t="s">
        <v>342</v>
      </c>
      <c r="B168" s="50" t="s">
        <v>592</v>
      </c>
      <c r="C168" s="319">
        <v>4.6824429051794063E-2</v>
      </c>
      <c r="D168" s="319">
        <f t="shared" si="2"/>
        <v>9.6821995439276054E-2</v>
      </c>
      <c r="E168" s="321">
        <v>5.4421995439276061E-2</v>
      </c>
      <c r="F168" s="321">
        <v>0.2</v>
      </c>
    </row>
    <row r="169" spans="1:6" ht="16">
      <c r="A169" s="44" t="s">
        <v>639</v>
      </c>
      <c r="B169" s="50" t="s">
        <v>593</v>
      </c>
      <c r="C169" s="319">
        <v>1.358676056093041E-2</v>
      </c>
      <c r="D169" s="319">
        <f t="shared" si="2"/>
        <v>5.8191300315986662E-2</v>
      </c>
      <c r="E169" s="321">
        <v>1.5791300315986662E-2</v>
      </c>
      <c r="F169" s="321">
        <v>0</v>
      </c>
    </row>
    <row r="170" spans="1:6" ht="16">
      <c r="A170" s="44" t="s">
        <v>432</v>
      </c>
      <c r="B170" s="50" t="s">
        <v>592</v>
      </c>
      <c r="C170" s="319">
        <v>4.6824429051794063E-2</v>
      </c>
      <c r="D170" s="319">
        <f t="shared" si="2"/>
        <v>9.6821995439276054E-2</v>
      </c>
      <c r="E170" s="321">
        <v>5.4421995439276061E-2</v>
      </c>
      <c r="F170" s="321">
        <v>0.3</v>
      </c>
    </row>
    <row r="171" spans="1:6" ht="16">
      <c r="A171" s="44" t="s">
        <v>343</v>
      </c>
      <c r="B171" s="50" t="s">
        <v>601</v>
      </c>
      <c r="C171" s="319">
        <v>5.5344939912038545E-2</v>
      </c>
      <c r="D171" s="319">
        <f t="shared" si="2"/>
        <v>0.10672501428150497</v>
      </c>
      <c r="E171" s="321">
        <v>6.4325014281504972E-2</v>
      </c>
      <c r="F171" s="321">
        <v>0.18</v>
      </c>
    </row>
    <row r="172" spans="1:6" ht="16">
      <c r="A172" s="44" t="s">
        <v>344</v>
      </c>
      <c r="B172" s="50" t="s">
        <v>588</v>
      </c>
      <c r="C172" s="319">
        <v>4.2218747505715949E-3</v>
      </c>
      <c r="D172" s="319">
        <f t="shared" si="2"/>
        <v>4.730690122813145E-2</v>
      </c>
      <c r="E172" s="321">
        <v>4.9069012281314477E-3</v>
      </c>
      <c r="F172" s="321">
        <v>0.55000000000000004</v>
      </c>
    </row>
    <row r="173" spans="1:6" ht="16">
      <c r="A173" s="44" t="s">
        <v>345</v>
      </c>
      <c r="B173" s="50" t="s">
        <v>600</v>
      </c>
      <c r="C173" s="319">
        <v>5.1430110597872171E-3</v>
      </c>
      <c r="D173" s="319">
        <f t="shared" si="2"/>
        <v>4.8377497859723763E-2</v>
      </c>
      <c r="E173" s="321">
        <v>5.9774978597237644E-3</v>
      </c>
      <c r="F173" s="321">
        <v>0.19</v>
      </c>
    </row>
    <row r="174" spans="1:6" ht="16">
      <c r="A174" s="44" t="s">
        <v>346</v>
      </c>
      <c r="B174" s="50" t="s">
        <v>594</v>
      </c>
      <c r="C174" s="319">
        <v>0</v>
      </c>
      <c r="D174" s="319">
        <f t="shared" si="2"/>
        <v>4.24E-2</v>
      </c>
      <c r="E174" s="321">
        <v>0</v>
      </c>
      <c r="F174" s="321">
        <v>0.27</v>
      </c>
    </row>
    <row r="175" spans="1:6" ht="16">
      <c r="A175" s="44" t="s">
        <v>347</v>
      </c>
      <c r="B175" s="50" t="s">
        <v>591</v>
      </c>
      <c r="C175" s="319">
        <v>1.6196646770374669E-2</v>
      </c>
      <c r="D175" s="319">
        <f t="shared" si="2"/>
        <v>6.1224657438831556E-2</v>
      </c>
      <c r="E175" s="321">
        <v>1.8824657438831559E-2</v>
      </c>
      <c r="F175" s="321">
        <v>0.25</v>
      </c>
    </row>
    <row r="176" spans="1:6" ht="16">
      <c r="A176" s="44" t="s">
        <v>696</v>
      </c>
      <c r="B176" s="50" t="s">
        <v>589</v>
      </c>
      <c r="C176" s="319">
        <v>3.8303918191549574E-2</v>
      </c>
      <c r="D176" s="319">
        <f t="shared" si="2"/>
        <v>8.6918976597047143E-2</v>
      </c>
      <c r="E176" s="321">
        <v>4.451897659704715E-2</v>
      </c>
      <c r="F176" s="321">
        <v>7.4999999999999997E-2</v>
      </c>
    </row>
    <row r="177" spans="1:6" ht="16">
      <c r="A177" s="44" t="s">
        <v>348</v>
      </c>
      <c r="B177" s="50" t="s">
        <v>640</v>
      </c>
      <c r="C177" s="319">
        <v>0.17499999999999999</v>
      </c>
      <c r="D177" s="319">
        <f t="shared" si="2"/>
        <v>0.24579488157642376</v>
      </c>
      <c r="E177" s="321">
        <v>0.20339488157642377</v>
      </c>
      <c r="F177" s="321">
        <v>0.34</v>
      </c>
    </row>
    <row r="178" spans="1:6" ht="16">
      <c r="A178" s="44" t="s">
        <v>349</v>
      </c>
      <c r="B178" s="50" t="s">
        <v>598</v>
      </c>
      <c r="C178" s="319">
        <v>3.0627782281419401E-2</v>
      </c>
      <c r="D178" s="319">
        <f t="shared" si="2"/>
        <v>7.7997338000444505E-2</v>
      </c>
      <c r="E178" s="321">
        <v>3.5597338000444512E-2</v>
      </c>
      <c r="F178" s="321">
        <v>0.2</v>
      </c>
    </row>
    <row r="179" spans="1:6" ht="16">
      <c r="A179" s="320" t="s">
        <v>697</v>
      </c>
      <c r="B179" s="375">
        <v>52.75</v>
      </c>
      <c r="C179" s="340">
        <v>0.10209260760473131</v>
      </c>
      <c r="D179" s="319">
        <f t="shared" si="2"/>
        <v>0.16105779333481501</v>
      </c>
      <c r="E179" s="3">
        <v>0.11865779333481502</v>
      </c>
      <c r="F179" s="180">
        <v>0.2</v>
      </c>
    </row>
    <row r="180" spans="1:6" ht="16">
      <c r="A180" s="44" t="s">
        <v>350</v>
      </c>
      <c r="B180" s="50" t="s">
        <v>658</v>
      </c>
      <c r="C180" s="319">
        <v>0.10209260760473131</v>
      </c>
      <c r="D180" s="319">
        <f t="shared" si="2"/>
        <v>0.16105779333481501</v>
      </c>
      <c r="E180" s="321">
        <v>0.11865779333481502</v>
      </c>
      <c r="F180" s="321">
        <v>0.35</v>
      </c>
    </row>
    <row r="181" spans="1:6" ht="16">
      <c r="A181" s="320" t="s">
        <v>632</v>
      </c>
      <c r="B181" s="375">
        <v>61</v>
      </c>
      <c r="C181" s="340">
        <v>6.3788689413181762E-2</v>
      </c>
      <c r="D181" s="319">
        <f t="shared" si="2"/>
        <v>0.11653881673776789</v>
      </c>
      <c r="E181" s="3">
        <v>7.4138816737767899E-2</v>
      </c>
      <c r="F181" s="180">
        <v>0.25</v>
      </c>
    </row>
    <row r="184" spans="1:6">
      <c r="A184" s="250" t="s">
        <v>354</v>
      </c>
      <c r="B184" s="313" t="s">
        <v>698</v>
      </c>
      <c r="C184" s="313" t="s">
        <v>633</v>
      </c>
      <c r="D184" s="313" t="s">
        <v>140</v>
      </c>
      <c r="E184" s="316" t="s">
        <v>635</v>
      </c>
    </row>
    <row r="185" spans="1:6">
      <c r="A185" s="1" t="s">
        <v>357</v>
      </c>
      <c r="B185" s="3">
        <f>$B$1+E185</f>
        <v>9.4863031763856354E-2</v>
      </c>
      <c r="C185" s="3">
        <v>4.5138945914060154E-2</v>
      </c>
      <c r="D185" s="3">
        <v>0.27463605993681611</v>
      </c>
      <c r="E185" s="3">
        <v>5.2463031763856346E-2</v>
      </c>
    </row>
    <row r="186" spans="1:6">
      <c r="A186" s="1" t="s">
        <v>429</v>
      </c>
      <c r="B186" s="3">
        <f t="shared" ref="B186:B194" si="3">$B$1+E186</f>
        <v>5.280042054620946E-2</v>
      </c>
      <c r="C186" s="3">
        <v>8.9484729481886186E-3</v>
      </c>
      <c r="D186" s="3">
        <v>0.26525334594108319</v>
      </c>
      <c r="E186" s="3">
        <v>1.0400420546209462E-2</v>
      </c>
    </row>
    <row r="187" spans="1:6">
      <c r="A187" s="1" t="s">
        <v>359</v>
      </c>
      <c r="B187" s="3">
        <f t="shared" si="3"/>
        <v>4.2411073748184321E-2</v>
      </c>
      <c r="C187" s="3">
        <v>9.5278008828761312E-6</v>
      </c>
      <c r="D187" s="3">
        <v>0.29724332182252894</v>
      </c>
      <c r="E187" s="3">
        <v>1.1073748184321925E-5</v>
      </c>
    </row>
    <row r="188" spans="1:6">
      <c r="A188" s="1" t="s">
        <v>361</v>
      </c>
      <c r="B188" s="3">
        <f t="shared" si="3"/>
        <v>0.11074131396810463</v>
      </c>
      <c r="C188" s="3">
        <v>5.8800545282770816E-2</v>
      </c>
      <c r="D188" s="3">
        <v>0.24064845855271644</v>
      </c>
      <c r="E188" s="3">
        <v>6.8341313968104625E-2</v>
      </c>
    </row>
    <row r="189" spans="1:6">
      <c r="A189" s="1" t="s">
        <v>358</v>
      </c>
      <c r="B189" s="3">
        <f t="shared" si="3"/>
        <v>8.0293505095550305E-2</v>
      </c>
      <c r="C189" s="3">
        <v>3.2603393656342468E-2</v>
      </c>
      <c r="D189" s="3">
        <v>0.30299876566366352</v>
      </c>
      <c r="E189" s="3">
        <v>3.7893505095550298E-2</v>
      </c>
    </row>
    <row r="190" spans="1:6">
      <c r="A190" s="1" t="s">
        <v>356</v>
      </c>
      <c r="B190" s="3">
        <f t="shared" si="3"/>
        <v>6.3548808485696898E-2</v>
      </c>
      <c r="C190" s="3">
        <v>1.8196335405846111E-2</v>
      </c>
      <c r="D190" s="3">
        <v>0.18228312688302731</v>
      </c>
      <c r="E190" s="3">
        <v>2.1148808485696901E-2</v>
      </c>
    </row>
    <row r="191" spans="1:6">
      <c r="A191" s="1" t="s">
        <v>362</v>
      </c>
      <c r="B191" s="3">
        <f t="shared" si="3"/>
        <v>5.8408061096789698E-2</v>
      </c>
      <c r="C191" s="3">
        <v>1.3773260517795243E-2</v>
      </c>
      <c r="D191" s="3">
        <v>0.29699168338265175</v>
      </c>
      <c r="E191" s="3">
        <v>1.6008061096789695E-2</v>
      </c>
    </row>
    <row r="192" spans="1:6">
      <c r="A192" s="1" t="s">
        <v>364</v>
      </c>
      <c r="B192" s="3">
        <f t="shared" si="3"/>
        <v>4.24E-2</v>
      </c>
      <c r="C192" s="3">
        <v>0</v>
      </c>
      <c r="D192" s="3">
        <v>0.26963609224584861</v>
      </c>
      <c r="E192" s="3">
        <v>0</v>
      </c>
    </row>
    <row r="193" spans="1:5">
      <c r="A193" s="1" t="s">
        <v>355</v>
      </c>
      <c r="B193" s="3">
        <f t="shared" si="3"/>
        <v>5.072150753049072E-2</v>
      </c>
      <c r="C193" s="3">
        <v>7.1597859619131968E-3</v>
      </c>
      <c r="D193" s="3">
        <v>0.23935184032736981</v>
      </c>
      <c r="E193" s="3">
        <v>8.3215075304907214E-3</v>
      </c>
    </row>
    <row r="194" spans="1:5">
      <c r="A194" s="1" t="s">
        <v>492</v>
      </c>
      <c r="B194" s="3">
        <f t="shared" si="3"/>
        <v>5.2593828389785449E-2</v>
      </c>
      <c r="C194" s="3">
        <v>8.77072202793934E-3</v>
      </c>
      <c r="D194" s="376">
        <v>0.26066367871534224</v>
      </c>
      <c r="E194" s="376">
        <v>1.0193828389785449E-2</v>
      </c>
    </row>
  </sheetData>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57"/>
  <sheetViews>
    <sheetView topLeftCell="A13" workbookViewId="0">
      <selection activeCell="H53" sqref="G38:H53"/>
    </sheetView>
  </sheetViews>
  <sheetFormatPr baseColWidth="10" defaultRowHeight="13"/>
  <sheetData>
    <row r="1" spans="1:20" ht="19">
      <c r="A1" s="6" t="s">
        <v>211</v>
      </c>
    </row>
    <row r="2" spans="1:20" ht="19">
      <c r="A2" s="6" t="s">
        <v>212</v>
      </c>
    </row>
    <row r="3" spans="1:20" s="129" customFormat="1" ht="17" thickBot="1">
      <c r="A3" s="128" t="s">
        <v>213</v>
      </c>
    </row>
    <row r="4" spans="1:20" s="130" customFormat="1" ht="15" thickBot="1">
      <c r="A4" s="8" t="s">
        <v>214</v>
      </c>
      <c r="B4" s="8"/>
      <c r="C4" s="234">
        <f>'Cost of capital worksheet'!B24</f>
        <v>2</v>
      </c>
      <c r="D4" s="8"/>
      <c r="E4" s="8"/>
      <c r="F4" s="8"/>
      <c r="G4" s="8"/>
      <c r="H4" s="8"/>
      <c r="I4" s="8"/>
      <c r="J4" s="8"/>
    </row>
    <row r="5" spans="1:20" s="130" customFormat="1" ht="15" thickBot="1">
      <c r="A5" s="8" t="s">
        <v>215</v>
      </c>
      <c r="B5" s="8"/>
      <c r="C5" s="8"/>
      <c r="D5" s="8"/>
      <c r="E5" s="113"/>
      <c r="F5" s="120">
        <f>IF('Input sheet'!B14="Yes",'Input sheet'!B9+'Operating lease converter'!F32,'Input sheet'!B9)</f>
        <v>-250829</v>
      </c>
      <c r="G5" s="8" t="s">
        <v>216</v>
      </c>
      <c r="H5" s="8"/>
      <c r="I5" s="8"/>
      <c r="J5" s="8"/>
    </row>
    <row r="6" spans="1:20" s="130" customFormat="1" ht="15" thickBot="1">
      <c r="A6" s="8" t="s">
        <v>217</v>
      </c>
      <c r="B6" s="8"/>
      <c r="C6" s="8"/>
      <c r="D6" s="8"/>
      <c r="E6" s="8"/>
      <c r="F6" s="203">
        <f>IF('Input sheet'!B14="Yes",'Cost of capital worksheet'!B19+'Operating lease converter'!C28*'Operating lease converter'!C15,'Cost of capital worksheet'!B19)</f>
        <v>351778</v>
      </c>
      <c r="G6" s="8" t="s">
        <v>218</v>
      </c>
      <c r="H6" s="8"/>
      <c r="I6" s="8"/>
      <c r="J6" s="8"/>
    </row>
    <row r="7" spans="1:20" s="130" customFormat="1" ht="15" thickBot="1">
      <c r="A7" s="8" t="s">
        <v>233</v>
      </c>
      <c r="B7" s="8"/>
      <c r="C7" s="8"/>
      <c r="D7" s="8"/>
      <c r="E7" s="8"/>
      <c r="F7" s="138">
        <f>'Input sheet'!B32</f>
        <v>1.6899999999999998E-2</v>
      </c>
      <c r="G7" s="8"/>
      <c r="H7" s="8"/>
      <c r="I7" s="8"/>
      <c r="J7" s="8"/>
    </row>
    <row r="8" spans="1:20" s="130" customFormat="1" ht="15" thickBot="1">
      <c r="A8" s="17" t="s">
        <v>122</v>
      </c>
      <c r="B8" s="8"/>
      <c r="C8" s="8"/>
      <c r="D8" s="8"/>
      <c r="E8" s="8"/>
      <c r="F8" s="113"/>
      <c r="G8" s="8"/>
      <c r="H8" s="8"/>
      <c r="I8" s="8"/>
      <c r="J8" s="8"/>
    </row>
    <row r="9" spans="1:20" s="130" customFormat="1" ht="15" thickBot="1">
      <c r="A9" s="8" t="s">
        <v>219</v>
      </c>
      <c r="B9" s="8"/>
      <c r="C9" s="8"/>
      <c r="D9" s="139">
        <f>IF(F6=0,1000000,IF(F5&lt;0,-100000,F5/F6))</f>
        <v>-100000</v>
      </c>
      <c r="E9" s="8"/>
      <c r="F9" s="113"/>
      <c r="G9" s="8"/>
      <c r="H9" s="8"/>
      <c r="I9" s="8"/>
      <c r="J9" s="8"/>
    </row>
    <row r="10" spans="1:20" s="130" customFormat="1" ht="15" thickBot="1">
      <c r="A10" s="8" t="s">
        <v>220</v>
      </c>
      <c r="D10" s="140" t="str">
        <f>IF(C4=1,VLOOKUP(D9,A19:D33,3),(IF(C4=2,VLOOKUP(D9,A38:D52,3),VLOOKUP(D9,F19:I33,3))))</f>
        <v>D2/D</v>
      </c>
      <c r="F10" s="16" t="s">
        <v>221</v>
      </c>
    </row>
    <row r="11" spans="1:20" s="130" customFormat="1" ht="15" thickBot="1">
      <c r="A11" s="8" t="s">
        <v>470</v>
      </c>
      <c r="D11" s="141">
        <f>IF(C4=1,VLOOKUP(D9,A19:D33,4),(IF(C4=2,VLOOKUP(D9,A38:D52,4),VLOOKUP(D9,F19:I33,4))))</f>
        <v>0.14335607034015696</v>
      </c>
      <c r="F11" s="16" t="s">
        <v>222</v>
      </c>
    </row>
    <row r="12" spans="1:20" s="130" customFormat="1" ht="15" thickBot="1">
      <c r="A12" s="8" t="s">
        <v>471</v>
      </c>
      <c r="D12" s="141">
        <f>VLOOKUP('Input sheet'!B5,'Country equity risk premiums'!A5:C181,3)</f>
        <v>4.2218747505715949E-3</v>
      </c>
      <c r="F12" s="16"/>
    </row>
    <row r="13" spans="1:20" s="8" customFormat="1" ht="15" thickBot="1">
      <c r="A13" s="8" t="s">
        <v>223</v>
      </c>
      <c r="D13" s="142">
        <f>F7+D11+D12</f>
        <v>0.16447794509072855</v>
      </c>
    </row>
    <row r="14" spans="1:20" s="8" customFormat="1" ht="14">
      <c r="D14" s="132"/>
    </row>
    <row r="15" spans="1:20" s="15" customFormat="1" ht="15" thickBot="1">
      <c r="A15" s="15" t="s">
        <v>224</v>
      </c>
      <c r="D15" s="133"/>
    </row>
    <row r="16" spans="1:20" s="130" customFormat="1" ht="15" thickBot="1">
      <c r="A16" s="17" t="s">
        <v>225</v>
      </c>
      <c r="F16"/>
      <c r="G16"/>
      <c r="H16"/>
      <c r="I16"/>
      <c r="J16" s="460" t="s">
        <v>676</v>
      </c>
      <c r="K16" s="461"/>
      <c r="L16" s="461"/>
      <c r="M16" s="461"/>
      <c r="N16" s="461"/>
      <c r="O16" s="461"/>
      <c r="P16" s="461"/>
      <c r="Q16" s="461"/>
      <c r="R16" s="461"/>
      <c r="S16" s="461"/>
      <c r="T16" s="462"/>
    </row>
    <row r="17" spans="1:20" s="130" customFormat="1" ht="16">
      <c r="A17" s="134" t="s">
        <v>226</v>
      </c>
      <c r="B17" s="134"/>
      <c r="C17" s="135"/>
      <c r="D17" s="135"/>
      <c r="F17"/>
      <c r="G17"/>
      <c r="H17"/>
      <c r="I17"/>
      <c r="J17" s="352" t="s">
        <v>667</v>
      </c>
      <c r="K17" s="353">
        <v>1</v>
      </c>
      <c r="L17" s="353">
        <v>2</v>
      </c>
      <c r="M17" s="353">
        <v>3</v>
      </c>
      <c r="N17" s="353">
        <v>4</v>
      </c>
      <c r="O17" s="353">
        <v>5</v>
      </c>
      <c r="P17" s="353">
        <v>6</v>
      </c>
      <c r="Q17" s="353">
        <v>7</v>
      </c>
      <c r="R17" s="353">
        <v>8</v>
      </c>
      <c r="S17" s="353">
        <v>9</v>
      </c>
      <c r="T17" s="353">
        <v>10</v>
      </c>
    </row>
    <row r="18" spans="1:20" s="130" customFormat="1" ht="16">
      <c r="A18" s="118" t="s">
        <v>227</v>
      </c>
      <c r="B18" s="118" t="s">
        <v>228</v>
      </c>
      <c r="C18" s="118" t="s">
        <v>229</v>
      </c>
      <c r="D18" s="118" t="s">
        <v>230</v>
      </c>
      <c r="F18"/>
      <c r="G18"/>
      <c r="H18"/>
      <c r="I18"/>
      <c r="J18" s="354" t="s">
        <v>668</v>
      </c>
      <c r="K18" s="355">
        <v>0</v>
      </c>
      <c r="L18" s="355">
        <v>2.9999999999999997E-4</v>
      </c>
      <c r="M18" s="355">
        <v>1.2999999999999999E-3</v>
      </c>
      <c r="N18" s="355">
        <v>2.3999999999999998E-3</v>
      </c>
      <c r="O18" s="355">
        <v>3.4999999999999996E-3</v>
      </c>
      <c r="P18" s="355">
        <v>4.5000000000000005E-3</v>
      </c>
      <c r="Q18" s="355">
        <v>5.1000000000000004E-3</v>
      </c>
      <c r="R18" s="355">
        <v>5.8999999999999999E-3</v>
      </c>
      <c r="S18" s="355">
        <v>6.4000000000000003E-3</v>
      </c>
      <c r="T18" s="355">
        <v>6.9999999999999993E-3</v>
      </c>
    </row>
    <row r="19" spans="1:20" s="130" customFormat="1" ht="16">
      <c r="A19" s="30">
        <v>-100000</v>
      </c>
      <c r="B19" s="30">
        <v>0.19999900000000001</v>
      </c>
      <c r="C19" s="232" t="s">
        <v>454</v>
      </c>
      <c r="D19" s="336">
        <v>0.14335607034015696</v>
      </c>
      <c r="F19"/>
      <c r="G19"/>
      <c r="H19"/>
      <c r="I19"/>
      <c r="J19" s="354" t="s">
        <v>669</v>
      </c>
      <c r="K19" s="355">
        <v>2.0000000000000001E-4</v>
      </c>
      <c r="L19" s="355">
        <v>5.9999999999999995E-4</v>
      </c>
      <c r="M19" s="355">
        <v>1.1999999999999999E-3</v>
      </c>
      <c r="N19" s="355">
        <v>2.0999999999999999E-3</v>
      </c>
      <c r="O19" s="355">
        <v>3.0999999999999999E-3</v>
      </c>
      <c r="P19" s="355">
        <v>4.1999999999999997E-3</v>
      </c>
      <c r="Q19" s="355">
        <v>5.0000000000000001E-3</v>
      </c>
      <c r="R19" s="355">
        <v>5.7999999999999996E-3</v>
      </c>
      <c r="S19" s="355">
        <v>6.5000000000000006E-3</v>
      </c>
      <c r="T19" s="355">
        <v>7.1999999999999998E-3</v>
      </c>
    </row>
    <row r="20" spans="1:20" s="130" customFormat="1" ht="16">
      <c r="A20" s="30">
        <v>0.2</v>
      </c>
      <c r="B20" s="30">
        <v>0.64999899999999999</v>
      </c>
      <c r="C20" s="232" t="s">
        <v>457</v>
      </c>
      <c r="D20" s="336">
        <v>0.10755403832538094</v>
      </c>
      <c r="F20" s="232"/>
      <c r="G20"/>
      <c r="H20"/>
      <c r="I20"/>
      <c r="J20" s="354" t="s">
        <v>670</v>
      </c>
      <c r="K20" s="355">
        <v>5.0000000000000001E-4</v>
      </c>
      <c r="L20" s="355">
        <v>1.4000000000000002E-3</v>
      </c>
      <c r="M20" s="355">
        <v>2.3E-3</v>
      </c>
      <c r="N20" s="355">
        <v>3.4999999999999996E-3</v>
      </c>
      <c r="O20" s="355">
        <v>4.6999999999999993E-3</v>
      </c>
      <c r="P20" s="355">
        <v>6.1999999999999998E-3</v>
      </c>
      <c r="Q20" s="355">
        <v>7.9000000000000008E-3</v>
      </c>
      <c r="R20" s="355">
        <v>9.300000000000001E-3</v>
      </c>
      <c r="S20" s="355">
        <v>1.0800000000000001E-2</v>
      </c>
      <c r="T20" s="355">
        <v>1.24E-2</v>
      </c>
    </row>
    <row r="21" spans="1:20" s="130" customFormat="1" ht="16">
      <c r="A21" s="30">
        <v>0.65</v>
      </c>
      <c r="B21" s="30">
        <v>0.79999900000000002</v>
      </c>
      <c r="C21" s="232" t="s">
        <v>456</v>
      </c>
      <c r="D21" s="336">
        <v>8.7999999999999995E-2</v>
      </c>
      <c r="F21"/>
      <c r="G21"/>
      <c r="H21"/>
      <c r="I21"/>
      <c r="J21" s="354" t="s">
        <v>671</v>
      </c>
      <c r="K21" s="355">
        <v>1.6000000000000001E-3</v>
      </c>
      <c r="L21" s="355">
        <v>4.5000000000000005E-3</v>
      </c>
      <c r="M21" s="355">
        <v>7.8000000000000005E-3</v>
      </c>
      <c r="N21" s="355">
        <v>1.1699999999999999E-2</v>
      </c>
      <c r="O21" s="355">
        <v>1.5800000000000002E-2</v>
      </c>
      <c r="P21" s="355">
        <v>1.9799999999999998E-2</v>
      </c>
      <c r="Q21" s="355">
        <v>2.3300000000000001E-2</v>
      </c>
      <c r="R21" s="355">
        <v>2.6699999999999998E-2</v>
      </c>
      <c r="S21" s="355">
        <v>0.03</v>
      </c>
      <c r="T21" s="355">
        <v>3.32E-2</v>
      </c>
    </row>
    <row r="22" spans="1:20" s="130" customFormat="1" ht="16">
      <c r="A22" s="30">
        <v>0.8</v>
      </c>
      <c r="B22" s="30">
        <v>1.2499990000000001</v>
      </c>
      <c r="C22" s="232" t="s">
        <v>455</v>
      </c>
      <c r="D22" s="336">
        <v>7.7764532348263304E-2</v>
      </c>
      <c r="F22"/>
      <c r="G22"/>
      <c r="H22"/>
      <c r="I22"/>
      <c r="J22" s="354" t="s">
        <v>672</v>
      </c>
      <c r="K22" s="355">
        <v>6.0999999999999995E-3</v>
      </c>
      <c r="L22" s="355">
        <v>1.9199999999999998E-2</v>
      </c>
      <c r="M22" s="355">
        <v>3.4799999999999998E-2</v>
      </c>
      <c r="N22" s="355">
        <v>5.0499999999999996E-2</v>
      </c>
      <c r="O22" s="355">
        <v>6.5199999999999994E-2</v>
      </c>
      <c r="P22" s="355">
        <v>7.85E-2</v>
      </c>
      <c r="Q22" s="355">
        <v>9.01E-2</v>
      </c>
      <c r="R22" s="355">
        <v>0.10039999999999999</v>
      </c>
      <c r="S22" s="355">
        <v>0.10970000000000001</v>
      </c>
      <c r="T22" s="355">
        <v>0.11779999999999999</v>
      </c>
    </row>
    <row r="23" spans="1:20" s="130" customFormat="1" ht="16">
      <c r="A23" s="30">
        <v>1.25</v>
      </c>
      <c r="B23" s="30">
        <v>1.4999990000000001</v>
      </c>
      <c r="C23" s="232" t="s">
        <v>458</v>
      </c>
      <c r="D23" s="336">
        <v>4.6159909223396155E-2</v>
      </c>
      <c r="F23"/>
      <c r="G23"/>
      <c r="H23"/>
      <c r="I23"/>
      <c r="J23" s="354" t="s">
        <v>102</v>
      </c>
      <c r="K23" s="355">
        <v>3.3300000000000003E-2</v>
      </c>
      <c r="L23" s="355">
        <v>7.7100000000000002E-2</v>
      </c>
      <c r="M23" s="355">
        <v>0.11550000000000001</v>
      </c>
      <c r="N23" s="355">
        <v>0.14580000000000001</v>
      </c>
      <c r="O23" s="355">
        <v>0.16930000000000001</v>
      </c>
      <c r="P23" s="355">
        <v>0.1883</v>
      </c>
      <c r="Q23" s="355">
        <v>0.2036</v>
      </c>
      <c r="R23" s="355">
        <v>0.21600000000000003</v>
      </c>
      <c r="S23" s="355">
        <v>0.22699999999999998</v>
      </c>
      <c r="T23" s="355">
        <v>0.23739999999999997</v>
      </c>
    </row>
    <row r="24" spans="1:20" s="130" customFormat="1" ht="16">
      <c r="A24" s="30">
        <v>1.5</v>
      </c>
      <c r="B24" s="30">
        <v>1.7499990000000001</v>
      </c>
      <c r="C24" s="232" t="s">
        <v>459</v>
      </c>
      <c r="D24" s="336">
        <v>3.776719845550594E-2</v>
      </c>
      <c r="F24"/>
      <c r="G24"/>
      <c r="H24"/>
      <c r="I24"/>
      <c r="J24" s="354" t="s">
        <v>673</v>
      </c>
      <c r="K24" s="355">
        <v>0.27079999999999999</v>
      </c>
      <c r="L24" s="355">
        <v>0.3664</v>
      </c>
      <c r="M24" s="355">
        <v>0.41409999999999997</v>
      </c>
      <c r="N24" s="355">
        <v>0.441</v>
      </c>
      <c r="O24" s="355">
        <v>0.46189999999999998</v>
      </c>
      <c r="P24" s="355">
        <v>0.47090000000000004</v>
      </c>
      <c r="Q24" s="355">
        <v>0.48259999999999997</v>
      </c>
      <c r="R24" s="355">
        <v>0.49049999999999999</v>
      </c>
      <c r="S24" s="355">
        <v>0.49759999999999999</v>
      </c>
      <c r="T24" s="355">
        <v>0.50380000000000003</v>
      </c>
    </row>
    <row r="25" spans="1:20" s="130" customFormat="1" ht="14">
      <c r="A25" s="30">
        <v>1.75</v>
      </c>
      <c r="B25" s="30">
        <v>1.9999990000000001</v>
      </c>
      <c r="C25" s="232" t="s">
        <v>460</v>
      </c>
      <c r="D25" s="336">
        <v>3.1472665379588281E-2</v>
      </c>
      <c r="F25"/>
      <c r="G25"/>
      <c r="H25"/>
      <c r="I25"/>
      <c r="J25"/>
      <c r="K25"/>
      <c r="L25"/>
      <c r="M25"/>
      <c r="N25"/>
      <c r="O25"/>
      <c r="P25"/>
      <c r="Q25"/>
      <c r="R25"/>
      <c r="S25"/>
      <c r="T25"/>
    </row>
    <row r="26" spans="1:20" s="130" customFormat="1" ht="14">
      <c r="A26" s="30">
        <v>2</v>
      </c>
      <c r="B26" s="30">
        <v>2.2499999000000002</v>
      </c>
      <c r="C26" s="232" t="s">
        <v>461</v>
      </c>
      <c r="D26" s="336">
        <v>2.1526174420925651E-2</v>
      </c>
      <c r="F26"/>
      <c r="G26"/>
      <c r="H26"/>
      <c r="I26"/>
      <c r="J26"/>
      <c r="K26"/>
      <c r="L26"/>
      <c r="M26"/>
      <c r="N26"/>
      <c r="O26"/>
      <c r="P26"/>
      <c r="Q26"/>
      <c r="R26"/>
      <c r="S26"/>
      <c r="T26"/>
    </row>
    <row r="27" spans="1:20" s="130" customFormat="1" ht="14">
      <c r="A27" s="30">
        <v>2.25</v>
      </c>
      <c r="B27" s="30">
        <v>2.4999899999999999</v>
      </c>
      <c r="C27" s="232" t="s">
        <v>462</v>
      </c>
      <c r="D27" s="336">
        <v>1.9341413179589748E-2</v>
      </c>
      <c r="F27"/>
      <c r="G27"/>
      <c r="H27"/>
      <c r="I27"/>
      <c r="J27"/>
      <c r="K27"/>
      <c r="L27"/>
      <c r="M27"/>
      <c r="N27"/>
      <c r="O27"/>
      <c r="P27"/>
      <c r="Q27"/>
      <c r="R27"/>
      <c r="S27"/>
      <c r="T27"/>
    </row>
    <row r="28" spans="1:20" s="130" customFormat="1" ht="14">
      <c r="A28" s="30">
        <v>2.5</v>
      </c>
      <c r="B28" s="30">
        <v>2.9999989999999999</v>
      </c>
      <c r="C28" s="232" t="s">
        <v>463</v>
      </c>
      <c r="D28" s="336">
        <v>1.591065804294902E-2</v>
      </c>
      <c r="F28"/>
      <c r="G28"/>
      <c r="H28"/>
      <c r="I28"/>
      <c r="J28"/>
      <c r="K28"/>
      <c r="L28"/>
      <c r="M28"/>
      <c r="N28"/>
      <c r="O28"/>
      <c r="P28"/>
      <c r="Q28"/>
      <c r="R28"/>
      <c r="S28"/>
      <c r="T28"/>
    </row>
    <row r="29" spans="1:20" s="130" customFormat="1" ht="14">
      <c r="A29" s="30">
        <v>3</v>
      </c>
      <c r="B29" s="30">
        <v>4.2499989999999999</v>
      </c>
      <c r="C29" s="232" t="s">
        <v>464</v>
      </c>
      <c r="D29" s="336">
        <v>1.2863935805589465E-2</v>
      </c>
      <c r="F29"/>
      <c r="G29"/>
      <c r="H29"/>
      <c r="I29"/>
      <c r="J29"/>
      <c r="K29"/>
      <c r="L29"/>
      <c r="M29"/>
      <c r="N29"/>
      <c r="O29"/>
      <c r="P29"/>
      <c r="Q29"/>
      <c r="R29"/>
      <c r="S29"/>
      <c r="T29"/>
    </row>
    <row r="30" spans="1:20" s="130" customFormat="1" ht="14">
      <c r="A30" s="30">
        <v>4.25</v>
      </c>
      <c r="B30" s="30">
        <v>5.4999989999999999</v>
      </c>
      <c r="C30" s="232" t="s">
        <v>465</v>
      </c>
      <c r="D30" s="336">
        <v>1.1379635520329143E-2</v>
      </c>
      <c r="F30"/>
      <c r="G30"/>
      <c r="H30"/>
      <c r="I30"/>
      <c r="J30"/>
      <c r="K30"/>
      <c r="L30"/>
      <c r="M30"/>
      <c r="N30"/>
      <c r="O30"/>
      <c r="P30"/>
      <c r="Q30"/>
      <c r="R30"/>
      <c r="S30"/>
      <c r="T30"/>
    </row>
    <row r="31" spans="1:20" s="130" customFormat="1" ht="14">
      <c r="A31" s="30">
        <v>5.5</v>
      </c>
      <c r="B31" s="30">
        <v>6.4999989999999999</v>
      </c>
      <c r="C31" s="232" t="s">
        <v>466</v>
      </c>
      <c r="D31" s="336">
        <v>1.0307640869863355E-2</v>
      </c>
      <c r="F31"/>
      <c r="G31"/>
      <c r="H31"/>
      <c r="I31"/>
      <c r="J31"/>
      <c r="K31"/>
      <c r="L31"/>
      <c r="M31"/>
      <c r="N31"/>
      <c r="O31"/>
      <c r="P31"/>
      <c r="Q31"/>
      <c r="R31"/>
      <c r="S31"/>
      <c r="T31"/>
    </row>
    <row r="32" spans="1:20" s="130" customFormat="1" ht="14">
      <c r="A32" s="30">
        <v>6.5</v>
      </c>
      <c r="B32" s="30">
        <v>8.4999990000000007</v>
      </c>
      <c r="C32" s="232" t="s">
        <v>467</v>
      </c>
      <c r="D32" s="336">
        <v>8.2461126958906835E-3</v>
      </c>
      <c r="F32"/>
      <c r="G32"/>
      <c r="H32"/>
      <c r="I32"/>
      <c r="J32"/>
      <c r="K32"/>
      <c r="L32"/>
    </row>
    <row r="33" spans="1:12" s="130" customFormat="1" ht="14">
      <c r="A33" s="136">
        <v>8.5</v>
      </c>
      <c r="B33" s="30">
        <v>100000</v>
      </c>
      <c r="C33" s="232" t="s">
        <v>468</v>
      </c>
      <c r="D33" s="336">
        <v>6.6603217928347816E-3</v>
      </c>
      <c r="F33"/>
      <c r="G33"/>
      <c r="H33"/>
      <c r="I33"/>
      <c r="K33"/>
      <c r="L33"/>
    </row>
    <row r="34" spans="1:12" s="130" customFormat="1" ht="14">
      <c r="K34"/>
      <c r="L34"/>
    </row>
    <row r="35" spans="1:12" s="130" customFormat="1" ht="14">
      <c r="A35" s="17" t="s">
        <v>232</v>
      </c>
      <c r="K35"/>
      <c r="L35"/>
    </row>
    <row r="36" spans="1:12" s="130" customFormat="1" ht="14">
      <c r="A36" s="134" t="s">
        <v>226</v>
      </c>
      <c r="B36" s="137"/>
      <c r="C36" s="30"/>
      <c r="D36" s="30"/>
      <c r="K36"/>
      <c r="L36"/>
    </row>
    <row r="37" spans="1:12" s="130" customFormat="1" ht="14">
      <c r="A37" s="30" t="s">
        <v>231</v>
      </c>
      <c r="B37" s="30" t="s">
        <v>228</v>
      </c>
      <c r="C37" s="30" t="s">
        <v>229</v>
      </c>
      <c r="D37" s="30" t="s">
        <v>230</v>
      </c>
      <c r="K37"/>
      <c r="L37"/>
    </row>
    <row r="38" spans="1:12" s="130" customFormat="1" ht="14">
      <c r="A38" s="30">
        <v>-100000</v>
      </c>
      <c r="B38" s="30">
        <v>0.49999900000000003</v>
      </c>
      <c r="C38" s="232" t="s">
        <v>454</v>
      </c>
      <c r="D38" s="336">
        <v>0.14335607034015696</v>
      </c>
      <c r="G38" s="30" t="s">
        <v>229</v>
      </c>
      <c r="H38" s="30" t="s">
        <v>230</v>
      </c>
      <c r="K38"/>
      <c r="L38"/>
    </row>
    <row r="39" spans="1:12" s="130" customFormat="1" ht="14">
      <c r="A39" s="30">
        <v>0.5</v>
      </c>
      <c r="B39" s="30">
        <v>0.79999900000000002</v>
      </c>
      <c r="C39" s="232" t="s">
        <v>457</v>
      </c>
      <c r="D39" s="336">
        <v>0.10755403832538094</v>
      </c>
      <c r="G39" s="232" t="s">
        <v>466</v>
      </c>
      <c r="H39" s="336">
        <v>1.0307640869863355E-2</v>
      </c>
    </row>
    <row r="40" spans="1:12" s="130" customFormat="1" ht="14">
      <c r="A40" s="30">
        <v>0.8</v>
      </c>
      <c r="B40" s="30">
        <v>1.2499990000000001</v>
      </c>
      <c r="C40" s="232" t="s">
        <v>456</v>
      </c>
      <c r="D40" s="336">
        <v>8.7999999999999995E-2</v>
      </c>
      <c r="G40" s="232" t="s">
        <v>465</v>
      </c>
      <c r="H40" s="336">
        <v>1.1379635520329143E-2</v>
      </c>
    </row>
    <row r="41" spans="1:12" s="130" customFormat="1" ht="14">
      <c r="A41" s="30">
        <v>1.25</v>
      </c>
      <c r="B41" s="30">
        <v>1.4999990000000001</v>
      </c>
      <c r="C41" s="232" t="s">
        <v>455</v>
      </c>
      <c r="D41" s="336">
        <v>7.7764532348263304E-2</v>
      </c>
      <c r="G41" s="232" t="s">
        <v>464</v>
      </c>
      <c r="H41" s="336">
        <v>1.2863935805589465E-2</v>
      </c>
    </row>
    <row r="42" spans="1:12" s="130" customFormat="1" ht="14">
      <c r="A42" s="30">
        <v>1.5</v>
      </c>
      <c r="B42" s="30">
        <v>1.9999990000000001</v>
      </c>
      <c r="C42" s="232" t="s">
        <v>458</v>
      </c>
      <c r="D42" s="336">
        <v>4.6159909223396155E-2</v>
      </c>
      <c r="G42" s="232" t="s">
        <v>467</v>
      </c>
      <c r="H42" s="336">
        <v>8.2461126958906835E-3</v>
      </c>
    </row>
    <row r="43" spans="1:12" s="130" customFormat="1" ht="14">
      <c r="A43" s="30">
        <v>2</v>
      </c>
      <c r="B43" s="30">
        <v>2.4999989999999999</v>
      </c>
      <c r="C43" s="232" t="s">
        <v>459</v>
      </c>
      <c r="D43" s="336">
        <v>3.776719845550594E-2</v>
      </c>
      <c r="G43" s="232" t="s">
        <v>468</v>
      </c>
      <c r="H43" s="336">
        <v>6.6603217928347816E-3</v>
      </c>
    </row>
    <row r="44" spans="1:12" s="130" customFormat="1" ht="14">
      <c r="A44" s="30">
        <v>2.5</v>
      </c>
      <c r="B44" s="30">
        <v>2.9999989999999999</v>
      </c>
      <c r="C44" s="232" t="s">
        <v>460</v>
      </c>
      <c r="D44" s="336">
        <v>3.1472665379588281E-2</v>
      </c>
      <c r="G44" s="232" t="s">
        <v>460</v>
      </c>
      <c r="H44" s="336">
        <v>3.1472665379588281E-2</v>
      </c>
    </row>
    <row r="45" spans="1:12" s="130" customFormat="1" ht="14">
      <c r="A45" s="30">
        <v>3</v>
      </c>
      <c r="B45" s="30">
        <v>3.4999989999999999</v>
      </c>
      <c r="C45" s="232" t="s">
        <v>461</v>
      </c>
      <c r="D45" s="336">
        <v>2.1526174420925651E-2</v>
      </c>
      <c r="G45" s="232" t="s">
        <v>459</v>
      </c>
      <c r="H45" s="336">
        <v>3.776719845550594E-2</v>
      </c>
    </row>
    <row r="46" spans="1:12" s="130" customFormat="1" ht="14">
      <c r="A46" s="30">
        <v>3.5</v>
      </c>
      <c r="B46" s="30">
        <v>3.9999999000000002</v>
      </c>
      <c r="C46" s="232" t="s">
        <v>462</v>
      </c>
      <c r="D46" s="336">
        <v>1.9341413179589748E-2</v>
      </c>
      <c r="G46" s="232" t="s">
        <v>458</v>
      </c>
      <c r="H46" s="336">
        <v>4.6159909223396155E-2</v>
      </c>
    </row>
    <row r="47" spans="1:12" s="130" customFormat="1" ht="14">
      <c r="A47" s="30">
        <v>4</v>
      </c>
      <c r="B47" s="30">
        <v>4.4999989999999999</v>
      </c>
      <c r="C47" s="232" t="s">
        <v>463</v>
      </c>
      <c r="D47" s="336">
        <v>1.591065804294902E-2</v>
      </c>
      <c r="G47" s="232" t="s">
        <v>462</v>
      </c>
      <c r="H47" s="336">
        <v>1.9341413179589748E-2</v>
      </c>
    </row>
    <row r="48" spans="1:12" s="130" customFormat="1" ht="14">
      <c r="A48" s="30">
        <v>4.5</v>
      </c>
      <c r="B48" s="30">
        <v>5.9999989999999999</v>
      </c>
      <c r="C48" s="232" t="s">
        <v>464</v>
      </c>
      <c r="D48" s="336">
        <v>1.2863935805589465E-2</v>
      </c>
      <c r="G48" s="232" t="s">
        <v>461</v>
      </c>
      <c r="H48" s="336">
        <v>2.1526174420925651E-2</v>
      </c>
    </row>
    <row r="49" spans="1:25" s="130" customFormat="1" ht="14">
      <c r="A49" s="30">
        <v>6</v>
      </c>
      <c r="B49" s="30">
        <v>7.4999989999999999</v>
      </c>
      <c r="C49" s="232" t="s">
        <v>465</v>
      </c>
      <c r="D49" s="336">
        <v>1.1379635520329143E-2</v>
      </c>
      <c r="G49" s="232" t="s">
        <v>463</v>
      </c>
      <c r="H49" s="336">
        <v>1.591065804294902E-2</v>
      </c>
    </row>
    <row r="50" spans="1:25" s="130" customFormat="1" ht="14">
      <c r="A50" s="30">
        <v>7.5</v>
      </c>
      <c r="B50" s="30">
        <v>9.4999990000000007</v>
      </c>
      <c r="C50" s="232" t="s">
        <v>466</v>
      </c>
      <c r="D50" s="336">
        <v>1.0307640869863355E-2</v>
      </c>
      <c r="G50" s="232" t="s">
        <v>457</v>
      </c>
      <c r="H50" s="336">
        <v>0.10755403832538094</v>
      </c>
    </row>
    <row r="51" spans="1:25" ht="14">
      <c r="A51" s="30">
        <v>9.5</v>
      </c>
      <c r="B51" s="30">
        <v>12.499999000000001</v>
      </c>
      <c r="C51" s="232" t="s">
        <v>467</v>
      </c>
      <c r="D51" s="336">
        <v>8.2461126958906835E-3</v>
      </c>
      <c r="F51" s="130"/>
      <c r="G51" s="232" t="s">
        <v>456</v>
      </c>
      <c r="H51" s="336">
        <v>8.7999999999999995E-2</v>
      </c>
      <c r="I51" s="130"/>
      <c r="J51" s="130"/>
      <c r="K51" s="130"/>
      <c r="L51" s="130"/>
      <c r="M51" s="130"/>
      <c r="N51" s="130"/>
      <c r="O51" s="130"/>
      <c r="P51" s="130"/>
      <c r="Q51" s="130"/>
      <c r="R51" s="130"/>
      <c r="S51" s="130"/>
      <c r="T51" s="130"/>
      <c r="U51" s="130"/>
      <c r="V51" s="130"/>
      <c r="W51" s="130"/>
      <c r="X51" s="130"/>
      <c r="Y51" s="130"/>
    </row>
    <row r="52" spans="1:25" ht="14">
      <c r="A52" s="30">
        <v>12.5</v>
      </c>
      <c r="B52" s="30">
        <v>100000</v>
      </c>
      <c r="C52" s="232" t="s">
        <v>468</v>
      </c>
      <c r="D52" s="336">
        <v>6.6603217928347816E-3</v>
      </c>
      <c r="G52" s="232" t="s">
        <v>455</v>
      </c>
      <c r="H52" s="336">
        <v>7.7764532348263304E-2</v>
      </c>
      <c r="K52" s="130"/>
      <c r="L52" s="130"/>
      <c r="M52" s="130"/>
      <c r="N52" s="130"/>
      <c r="O52" s="130"/>
      <c r="P52" s="130"/>
      <c r="Q52" s="130"/>
      <c r="R52" s="130"/>
      <c r="S52" s="130"/>
      <c r="T52" s="130"/>
      <c r="U52" s="130"/>
      <c r="V52" s="130"/>
      <c r="W52" s="130"/>
      <c r="X52" s="130"/>
      <c r="Y52" s="130"/>
    </row>
    <row r="53" spans="1:25" ht="14">
      <c r="G53" s="232" t="s">
        <v>454</v>
      </c>
      <c r="H53" s="336">
        <v>0.14335607034015696</v>
      </c>
      <c r="K53" s="130"/>
      <c r="L53" s="130"/>
      <c r="M53" s="130"/>
      <c r="N53" s="130"/>
      <c r="O53" s="130"/>
      <c r="P53" s="130"/>
      <c r="Q53" s="130"/>
      <c r="R53" s="130"/>
      <c r="S53" s="130"/>
      <c r="T53" s="130"/>
      <c r="U53" s="130"/>
      <c r="V53" s="130"/>
      <c r="W53" s="130"/>
      <c r="X53" s="130"/>
      <c r="Y53" s="130"/>
    </row>
    <row r="54" spans="1:25" ht="14">
      <c r="K54" s="130"/>
      <c r="L54" s="130"/>
      <c r="M54" s="130"/>
      <c r="N54" s="130"/>
      <c r="O54" s="130"/>
      <c r="P54" s="130"/>
      <c r="Q54" s="130"/>
      <c r="R54" s="130"/>
      <c r="S54" s="130"/>
      <c r="T54" s="130"/>
      <c r="U54" s="130"/>
      <c r="V54" s="130"/>
      <c r="W54" s="130"/>
      <c r="X54" s="130"/>
      <c r="Y54" s="130"/>
    </row>
    <row r="55" spans="1:25" ht="14">
      <c r="K55" s="130"/>
      <c r="L55" s="130"/>
      <c r="M55" s="130"/>
      <c r="N55" s="130"/>
      <c r="O55" s="130"/>
      <c r="P55" s="130"/>
      <c r="Q55" s="130"/>
      <c r="R55" s="130"/>
      <c r="S55" s="130"/>
      <c r="T55" s="130"/>
      <c r="U55" s="130"/>
      <c r="V55" s="130"/>
      <c r="W55" s="130"/>
      <c r="X55" s="130"/>
      <c r="Y55" s="130"/>
    </row>
    <row r="56" spans="1:25" ht="14">
      <c r="K56" s="130"/>
      <c r="L56" s="130"/>
      <c r="M56" s="130"/>
      <c r="N56" s="130"/>
      <c r="O56" s="130"/>
      <c r="P56" s="130"/>
      <c r="Q56" s="130"/>
      <c r="R56" s="130"/>
      <c r="S56" s="130"/>
      <c r="T56" s="130"/>
      <c r="U56" s="130"/>
      <c r="V56" s="130"/>
      <c r="W56" s="130"/>
      <c r="X56" s="130"/>
      <c r="Y56" s="130"/>
    </row>
    <row r="57" spans="1:25" ht="14">
      <c r="K57" s="130"/>
      <c r="L57" s="130"/>
      <c r="M57" s="130"/>
      <c r="N57" s="130"/>
      <c r="O57" s="130"/>
      <c r="P57" s="130"/>
      <c r="Q57" s="130"/>
      <c r="R57" s="130"/>
      <c r="S57" s="130"/>
      <c r="T57" s="130"/>
      <c r="U57" s="130"/>
      <c r="V57" s="130"/>
      <c r="W57" s="130"/>
      <c r="X57" s="130"/>
      <c r="Y57" s="130"/>
    </row>
  </sheetData>
  <sortState xmlns:xlrd2="http://schemas.microsoft.com/office/spreadsheetml/2017/richdata2" ref="G39:H53">
    <sortCondition ref="G39:G53"/>
  </sortState>
  <mergeCells count="1">
    <mergeCell ref="J16:T16"/>
  </mergeCells>
  <pageMargins left="0.75" right="0.75" top="1" bottom="1" header="0.5" footer="0.5"/>
  <pageSetup orientation="portrait"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5"/>
  <sheetViews>
    <sheetView workbookViewId="0">
      <pane xSplit="1" ySplit="1" topLeftCell="B53" activePane="bottomRight" state="frozen"/>
      <selection pane="topRight" activeCell="B1" sqref="B1"/>
      <selection pane="bottomLeft" activeCell="A2" sqref="A2"/>
      <selection pane="bottomRight" activeCell="A96" sqref="A96:XFD97"/>
    </sheetView>
  </sheetViews>
  <sheetFormatPr baseColWidth="10" defaultColWidth="11.5"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 min="9" max="23" width="10.83203125"/>
  </cols>
  <sheetData>
    <row r="1" spans="1:27" s="314" customFormat="1" ht="84">
      <c r="A1" s="322" t="s">
        <v>96</v>
      </c>
      <c r="B1" s="239" t="s">
        <v>172</v>
      </c>
      <c r="C1" s="323" t="s">
        <v>160</v>
      </c>
      <c r="D1" s="323" t="s">
        <v>641</v>
      </c>
      <c r="E1" s="323" t="s">
        <v>179</v>
      </c>
      <c r="F1" s="239" t="s">
        <v>161</v>
      </c>
      <c r="G1" s="239" t="s">
        <v>209</v>
      </c>
      <c r="H1" s="239" t="s">
        <v>162</v>
      </c>
      <c r="I1" s="239" t="s">
        <v>163</v>
      </c>
      <c r="J1" s="239" t="s">
        <v>164</v>
      </c>
      <c r="K1" s="239" t="s">
        <v>165</v>
      </c>
      <c r="L1" s="239" t="s">
        <v>166</v>
      </c>
      <c r="M1" s="239" t="s">
        <v>145</v>
      </c>
      <c r="N1" s="324" t="s">
        <v>99</v>
      </c>
      <c r="O1" s="239" t="s">
        <v>167</v>
      </c>
      <c r="P1" s="239" t="s">
        <v>168</v>
      </c>
      <c r="Q1" s="239" t="s">
        <v>169</v>
      </c>
      <c r="R1" s="239" t="s">
        <v>170</v>
      </c>
      <c r="S1" s="239" t="s">
        <v>171</v>
      </c>
      <c r="T1" s="239" t="s">
        <v>494</v>
      </c>
      <c r="U1" s="239" t="s">
        <v>495</v>
      </c>
      <c r="V1" s="239" t="s">
        <v>496</v>
      </c>
      <c r="W1" s="239" t="s">
        <v>497</v>
      </c>
      <c r="X1" s="322" t="s">
        <v>481</v>
      </c>
      <c r="Y1" s="322" t="s">
        <v>498</v>
      </c>
      <c r="Z1" s="322" t="s">
        <v>499</v>
      </c>
      <c r="AA1" s="239" t="s">
        <v>649</v>
      </c>
    </row>
    <row r="2" spans="1:27" ht="14">
      <c r="A2" s="325" t="s">
        <v>97</v>
      </c>
      <c r="B2" s="143">
        <f>'[1]Summary Sheet for valn'!B2</f>
        <v>49</v>
      </c>
      <c r="C2" s="326">
        <f>'[1]Summary sheet uValue'!C11</f>
        <v>7.1315789473684194E-2</v>
      </c>
      <c r="D2" s="326">
        <f>[1]Margins!F3</f>
        <v>0.10615314769984376</v>
      </c>
      <c r="E2" s="326">
        <f>'[1]Return on capital'!H2</f>
        <v>0.50198093095846885</v>
      </c>
      <c r="F2" s="326">
        <f>'[1]Tax rates'!H3</f>
        <v>0.23798699457477179</v>
      </c>
      <c r="G2" s="327">
        <f>[1]Beta!H5</f>
        <v>1.1018246898142943</v>
      </c>
      <c r="H2" s="327">
        <f>[1]Beta!C5</f>
        <v>1.3404215229301832</v>
      </c>
      <c r="I2" s="326">
        <f>[1]WACC!D13</f>
        <v>7.1933872572239765E-2</v>
      </c>
      <c r="J2" s="326">
        <f>[1]optvar!C7</f>
        <v>0.56696815123612743</v>
      </c>
      <c r="K2" s="326">
        <f>[1]WACC!G13</f>
        <v>3.5780000000000006E-2</v>
      </c>
      <c r="L2" s="326">
        <f>'[1]Debt fundamentals'!F2</f>
        <v>0.33979075084743521</v>
      </c>
      <c r="M2" s="326">
        <f>[1]WACC!K13</f>
        <v>5.6366538537239191E-2</v>
      </c>
      <c r="N2" s="327">
        <f>'[1]Cap Ex'!J2</f>
        <v>4.8059361004241286</v>
      </c>
      <c r="O2" s="327">
        <f>[1]PS!E2</f>
        <v>2.034655385246237</v>
      </c>
      <c r="P2" s="327">
        <f>[1]EVEBITDA!D3</f>
        <v>9.9356379180560861</v>
      </c>
      <c r="Q2" s="327">
        <f>[1]EVEBITDA!E3</f>
        <v>17.509963681747429</v>
      </c>
      <c r="R2" s="327">
        <f>[1]PBV!C2</f>
        <v>4.0995294878868718</v>
      </c>
      <c r="S2" s="327">
        <f>[1]PE!D2</f>
        <v>88.102471258567647</v>
      </c>
      <c r="T2" s="326">
        <f>'[1]Working capital'!F2</f>
        <v>-4.4080690853570657E-3</v>
      </c>
      <c r="U2" s="326">
        <f>'[1]Summary sheet uValue'!G11</f>
        <v>1.6525994972820882E-2</v>
      </c>
      <c r="V2" s="326">
        <f>'[1]Cap Ex'!H2</f>
        <v>2.1172234820899263E-2</v>
      </c>
      <c r="W2" s="326">
        <f>[1]fundgrEB!D2</f>
        <v>-1.3271380162017361E-2</v>
      </c>
      <c r="X2" s="326">
        <f>[1]Fundgr!C2</f>
        <v>0.2018297512810493</v>
      </c>
      <c r="Y2" s="326">
        <f>'[1]Dividend fundamentals'!E2</f>
        <v>1.1421453135289386</v>
      </c>
      <c r="Z2" s="326">
        <f>1-[1]Fundgr!D2</f>
        <v>1.1421453135289386</v>
      </c>
      <c r="AA2" s="328">
        <f>[1]Margins!J3</f>
        <v>0.110732391766778</v>
      </c>
    </row>
    <row r="3" spans="1:27" ht="14">
      <c r="A3" s="325" t="str">
        <f>'[1]Master data'!A3</f>
        <v>Aerospace/Defense</v>
      </c>
      <c r="B3" s="143">
        <f>'[1]Master data'!B3</f>
        <v>73</v>
      </c>
      <c r="C3" s="326">
        <f>'[1]Hist Growth'!D3</f>
        <v>4.9397560975609753E-2</v>
      </c>
      <c r="D3" s="326">
        <f>[1]Margins!F4</f>
        <v>7.8133273464374875E-2</v>
      </c>
      <c r="E3" s="326">
        <f>'[1]Return on capital'!H3</f>
        <v>0.14762414243070365</v>
      </c>
      <c r="F3" s="326">
        <f>'[1]Tax rates'!H4</f>
        <v>0.16746298118125028</v>
      </c>
      <c r="G3" s="327">
        <f>[1]Beta!H6</f>
        <v>1.1104126718043248</v>
      </c>
      <c r="H3" s="327">
        <f>[1]Beta!C6</f>
        <v>1.2810483683110934</v>
      </c>
      <c r="I3" s="326">
        <f>[1]WACC!D14</f>
        <v>6.9416450816390363E-2</v>
      </c>
      <c r="J3" s="326">
        <f>[1]optvar!C8</f>
        <v>0.38232192400001008</v>
      </c>
      <c r="K3" s="326">
        <f>[1]WACC!G14</f>
        <v>3.1600000000000003E-2</v>
      </c>
      <c r="L3" s="326">
        <f>'[1]Debt fundamentals'!F3</f>
        <v>0.22750949927180281</v>
      </c>
      <c r="M3" s="326">
        <f>[1]WACC!K14</f>
        <v>5.8871737979129618E-2</v>
      </c>
      <c r="N3" s="327">
        <f>'[1]Cap Ex'!J3</f>
        <v>1.9848299742803539</v>
      </c>
      <c r="O3" s="327">
        <f>[1]PS!E3</f>
        <v>2.3265529674263652</v>
      </c>
      <c r="P3" s="327">
        <f>[1]EVEBITDA!D4</f>
        <v>13.376345738965652</v>
      </c>
      <c r="Q3" s="327">
        <f>[1]EVEBITDA!E4</f>
        <v>22.26592317179729</v>
      </c>
      <c r="R3" s="327">
        <f>[1]PBV!C3</f>
        <v>4.6034883299608964</v>
      </c>
      <c r="S3" s="327">
        <f>[1]PE!D3</f>
        <v>37.012357655702623</v>
      </c>
      <c r="T3" s="326">
        <f>'[1]Working capital'!F3</f>
        <v>0.46613429860031075</v>
      </c>
      <c r="U3" s="326">
        <f>'[1]Summary sheet uValue'!G12</f>
        <v>2.5872731465647145E-2</v>
      </c>
      <c r="V3" s="326">
        <f>'[1]Cap Ex'!H3</f>
        <v>5.7764638451038991E-3</v>
      </c>
      <c r="W3" s="326">
        <f>[1]fundgrEB!D3</f>
        <v>0.46212457860267175</v>
      </c>
      <c r="X3" s="326">
        <f>[1]Fundgr!C3</f>
        <v>9.0875663087460118E-2</v>
      </c>
      <c r="Y3" s="326">
        <f>'[1]Dividend fundamentals'!E3</f>
        <v>0.80351021328707128</v>
      </c>
      <c r="Z3" s="326">
        <f>1-[1]Fundgr!D3</f>
        <v>0.80351021328707128</v>
      </c>
      <c r="AA3" s="328">
        <f>[1]Margins!J4</f>
        <v>7.9747123416981758E-2</v>
      </c>
    </row>
    <row r="4" spans="1:27" ht="14">
      <c r="A4" s="325" t="str">
        <f>'[1]Master data'!A4</f>
        <v>Air Transport</v>
      </c>
      <c r="B4" s="143">
        <f>'[1]Master data'!B4</f>
        <v>21</v>
      </c>
      <c r="C4" s="326">
        <f>'[1]Hist Growth'!D4</f>
        <v>-6.9958333333333331E-2</v>
      </c>
      <c r="D4" s="326">
        <f>[1]Margins!F5</f>
        <v>-0.23135615142482796</v>
      </c>
      <c r="E4" s="326">
        <f>'[1]Return on capital'!H4</f>
        <v>-0.19809329117768548</v>
      </c>
      <c r="F4" s="326">
        <f>'[1]Tax rates'!H5</f>
        <v>0.21223426427678205</v>
      </c>
      <c r="G4" s="327">
        <f>[1]Beta!H7</f>
        <v>0.91413822789599297</v>
      </c>
      <c r="H4" s="327">
        <f>[1]Beta!C7</f>
        <v>1.5829076060557847</v>
      </c>
      <c r="I4" s="326">
        <f>[1]WACC!D15</f>
        <v>8.2215282496765268E-2</v>
      </c>
      <c r="J4" s="326">
        <f>[1]optvar!C9</f>
        <v>0.40193094320645517</v>
      </c>
      <c r="K4" s="326">
        <f>[1]WACC!G15</f>
        <v>3.5780000000000006E-2</v>
      </c>
      <c r="L4" s="326">
        <f>'[1]Debt fundamentals'!F4</f>
        <v>0.6052599213627764</v>
      </c>
      <c r="M4" s="326">
        <f>[1]WACC!K15</f>
        <v>4.8262693067997582E-2</v>
      </c>
      <c r="N4" s="327">
        <f>'[1]Cap Ex'!J4</f>
        <v>0.88383564915330926</v>
      </c>
      <c r="O4" s="327">
        <f>[1]PS!E4</f>
        <v>2.135673680718011</v>
      </c>
      <c r="P4" s="327">
        <f>[1]EVEBITDA!D5</f>
        <v>17.604908023920153</v>
      </c>
      <c r="Q4" s="327" t="str">
        <f>[1]EVEBITDA!E5</f>
        <v>NA</v>
      </c>
      <c r="R4" s="327">
        <f>[1]PBV!C4</f>
        <v>3.7145672350101138</v>
      </c>
      <c r="S4" s="327">
        <f>[1]PE!D4</f>
        <v>3708.2255950634185</v>
      </c>
      <c r="T4" s="326">
        <f>'[1]Working capital'!F4</f>
        <v>9.4688652098567708E-3</v>
      </c>
      <c r="U4" s="326">
        <f>'[1]Summary sheet uValue'!G13</f>
        <v>7.1421249505014925E-2</v>
      </c>
      <c r="V4" s="326">
        <f>'[1]Cap Ex'!H4</f>
        <v>-2.2386352828350223E-2</v>
      </c>
      <c r="W4" s="326" t="str">
        <f>[1]fundgrEB!D4</f>
        <v>NA</v>
      </c>
      <c r="X4" s="326">
        <f>[1]Fundgr!C4</f>
        <v>-0.2728301747497639</v>
      </c>
      <c r="Y4" s="326">
        <f>'[1]Dividend fundamentals'!E4</f>
        <v>0</v>
      </c>
      <c r="Z4" s="326">
        <f>1-[1]Fundgr!D4</f>
        <v>0</v>
      </c>
      <c r="AA4" s="328">
        <f>[1]Margins!J5</f>
        <v>-0.23679357712972737</v>
      </c>
    </row>
    <row r="5" spans="1:27" ht="14">
      <c r="A5" s="325" t="str">
        <f>'[1]Master data'!A5</f>
        <v>Apparel</v>
      </c>
      <c r="B5" s="143">
        <f>'[1]Master data'!B5</f>
        <v>39</v>
      </c>
      <c r="C5" s="326">
        <f>'[1]Hist Growth'!D5</f>
        <v>6.1161999999999994E-2</v>
      </c>
      <c r="D5" s="326">
        <f>[1]Margins!F6</f>
        <v>0.11957172888355327</v>
      </c>
      <c r="E5" s="326">
        <f>'[1]Return on capital'!H5</f>
        <v>0.20353576801904466</v>
      </c>
      <c r="F5" s="326">
        <f>'[1]Tax rates'!H6</f>
        <v>0.19927539937899585</v>
      </c>
      <c r="G5" s="327">
        <f>[1]Beta!H8</f>
        <v>1.098346042881063</v>
      </c>
      <c r="H5" s="327">
        <f>[1]Beta!C8</f>
        <v>1.2265825725549797</v>
      </c>
      <c r="I5" s="326">
        <f>[1]WACC!D16</f>
        <v>6.7107101076331138E-2</v>
      </c>
      <c r="J5" s="326">
        <f>[1]optvar!C10</f>
        <v>0.43487047041029003</v>
      </c>
      <c r="K5" s="326">
        <f>[1]WACC!G16</f>
        <v>3.5780000000000006E-2</v>
      </c>
      <c r="L5" s="326">
        <f>'[1]Debt fundamentals'!F5</f>
        <v>0.24009984482321395</v>
      </c>
      <c r="M5" s="326">
        <f>[1]WACC!K16</f>
        <v>5.7265960408243756E-2</v>
      </c>
      <c r="N5" s="327">
        <f>'[1]Cap Ex'!J5</f>
        <v>1.8231457390308929</v>
      </c>
      <c r="O5" s="327">
        <f>[1]PS!E5</f>
        <v>1.8160388002142587</v>
      </c>
      <c r="P5" s="327">
        <f>[1]EVEBITDA!D6</f>
        <v>9.4901459334871632</v>
      </c>
      <c r="Q5" s="327">
        <f>[1]EVEBITDA!E6</f>
        <v>14.165373946045277</v>
      </c>
      <c r="R5" s="327">
        <f>[1]PBV!C5</f>
        <v>3.8280459410664216</v>
      </c>
      <c r="S5" s="327">
        <f>[1]PE!D5</f>
        <v>36.115757893642517</v>
      </c>
      <c r="T5" s="326">
        <f>'[1]Working capital'!F5</f>
        <v>0.20286650055579827</v>
      </c>
      <c r="U5" s="326">
        <f>'[1]Summary sheet uValue'!G14</f>
        <v>1.8049570245464497E-2</v>
      </c>
      <c r="V5" s="326">
        <f>'[1]Cap Ex'!H5</f>
        <v>3.0839279082976082E-2</v>
      </c>
      <c r="W5" s="326">
        <f>[1]fundgrEB!D5</f>
        <v>0.28508056479214489</v>
      </c>
      <c r="X5" s="326">
        <f>[1]Fundgr!C5</f>
        <v>0.20783727643151276</v>
      </c>
      <c r="Y5" s="326">
        <f>'[1]Dividend fundamentals'!E5</f>
        <v>0.29271048386644205</v>
      </c>
      <c r="Z5" s="326">
        <f>1-[1]Fundgr!D5</f>
        <v>0.29271048386644205</v>
      </c>
      <c r="AA5" s="328">
        <f>[1]Margins!J6</f>
        <v>0.12695308622278895</v>
      </c>
    </row>
    <row r="6" spans="1:27" ht="14">
      <c r="A6" s="325" t="str">
        <f>'[1]Master data'!A6</f>
        <v>Auto &amp; Truck</v>
      </c>
      <c r="B6" s="143">
        <f>'[1]Master data'!B6</f>
        <v>26</v>
      </c>
      <c r="C6" s="326">
        <f>'[1]Hist Growth'!D6</f>
        <v>0.1193714285714286</v>
      </c>
      <c r="D6" s="326">
        <f>[1]Margins!F7</f>
        <v>5.2584270051764019E-2</v>
      </c>
      <c r="E6" s="326">
        <f>'[1]Return on capital'!H6</f>
        <v>4.7412010754241563E-2</v>
      </c>
      <c r="F6" s="326">
        <f>'[1]Tax rates'!H7</f>
        <v>0.17053840681856863</v>
      </c>
      <c r="G6" s="327">
        <f>[1]Beta!H9</f>
        <v>1.0207658043192696</v>
      </c>
      <c r="H6" s="327">
        <f>[1]Beta!C9</f>
        <v>1.129306321775833</v>
      </c>
      <c r="I6" s="326">
        <f>[1]WACC!D17</f>
        <v>6.2982588043295318E-2</v>
      </c>
      <c r="J6" s="326">
        <f>[1]optvar!C11</f>
        <v>0.54776880027636599</v>
      </c>
      <c r="K6" s="326">
        <f>[1]WACC!G17</f>
        <v>3.5780000000000006E-2</v>
      </c>
      <c r="L6" s="326">
        <f>'[1]Debt fundamentals'!F6</f>
        <v>0.16570496371337881</v>
      </c>
      <c r="M6" s="326">
        <f>[1]WACC!K17</f>
        <v>5.6874174806221603E-2</v>
      </c>
      <c r="N6" s="327">
        <f>'[1]Cap Ex'!J6</f>
        <v>0.83398130114102109</v>
      </c>
      <c r="O6" s="327">
        <f>[1]PS!E6</f>
        <v>4.8845909745965423</v>
      </c>
      <c r="P6" s="327">
        <f>[1]EVEBITDA!D7</f>
        <v>39.073845798116508</v>
      </c>
      <c r="Q6" s="327">
        <f>[1]EVEBITDA!E7</f>
        <v>83.092255894251949</v>
      </c>
      <c r="R6" s="327">
        <f>[1]PBV!C6</f>
        <v>9.8809338988140407</v>
      </c>
      <c r="S6" s="327">
        <f>[1]PE!D6</f>
        <v>55.504483231854564</v>
      </c>
      <c r="T6" s="326">
        <f>'[1]Working capital'!F6</f>
        <v>-4.7094559114762548E-2</v>
      </c>
      <c r="U6" s="326">
        <f>'[1]Summary sheet uValue'!G15</f>
        <v>0.13119006034535458</v>
      </c>
      <c r="V6" s="326">
        <f>'[1]Cap Ex'!H6</f>
        <v>9.6462038973266495E-2</v>
      </c>
      <c r="W6" s="326">
        <f>[1]fundgrEB!D6</f>
        <v>2.3777353438613233</v>
      </c>
      <c r="X6" s="326">
        <f>[1]Fundgr!C6</f>
        <v>0.13682546123827014</v>
      </c>
      <c r="Y6" s="326">
        <f>'[1]Dividend fundamentals'!E6</f>
        <v>2.7874288539459547E-2</v>
      </c>
      <c r="Z6" s="326">
        <f>1-[1]Fundgr!D6</f>
        <v>2.7874288539459502E-2</v>
      </c>
      <c r="AA6" s="328">
        <f>[1]Margins!J7</f>
        <v>5.8910428008906938E-2</v>
      </c>
    </row>
    <row r="7" spans="1:27" ht="14">
      <c r="A7" s="325" t="str">
        <f>'[1]Master data'!A7</f>
        <v>Auto Parts</v>
      </c>
      <c r="B7" s="143">
        <f>'[1]Master data'!B7</f>
        <v>38</v>
      </c>
      <c r="C7" s="326">
        <f>'[1]Hist Growth'!D7</f>
        <v>6.1078076923076922E-2</v>
      </c>
      <c r="D7" s="326">
        <f>[1]Margins!F8</f>
        <v>6.4024068563096739E-2</v>
      </c>
      <c r="E7" s="326">
        <f>'[1]Return on capital'!H7</f>
        <v>0.14771142144448254</v>
      </c>
      <c r="F7" s="326">
        <f>'[1]Tax rates'!H8</f>
        <v>0.2424730327108939</v>
      </c>
      <c r="G7" s="327">
        <f>[1]Beta!H10</f>
        <v>1.212594354633614</v>
      </c>
      <c r="H7" s="327">
        <f>[1]Beta!C10</f>
        <v>1.3980688847319374</v>
      </c>
      <c r="I7" s="326">
        <f>[1]WACC!D18</f>
        <v>7.4378120712634138E-2</v>
      </c>
      <c r="J7" s="326">
        <f>[1]optvar!C12</f>
        <v>0.37140419964616195</v>
      </c>
      <c r="K7" s="326">
        <f>[1]WACC!G18</f>
        <v>3.1600000000000003E-2</v>
      </c>
      <c r="L7" s="326">
        <f>'[1]Debt fundamentals'!F7</f>
        <v>0.24056373190497876</v>
      </c>
      <c r="M7" s="326">
        <f>[1]WACC!K18</f>
        <v>6.2034766589507927E-2</v>
      </c>
      <c r="N7" s="327">
        <f>'[1]Cap Ex'!J7</f>
        <v>2.4398158793992386</v>
      </c>
      <c r="O7" s="327">
        <f>[1]PS!E7</f>
        <v>1.0621130885569523</v>
      </c>
      <c r="P7" s="327">
        <f>[1]EVEBITDA!D8</f>
        <v>7.8623582653004522</v>
      </c>
      <c r="Q7" s="327">
        <f>[1]EVEBITDA!E8</f>
        <v>13.849958452633937</v>
      </c>
      <c r="R7" s="327">
        <f>[1]PBV!C7</f>
        <v>2.9466672929282951</v>
      </c>
      <c r="S7" s="327">
        <f>[1]PE!D7</f>
        <v>30.427472776535105</v>
      </c>
      <c r="T7" s="326">
        <f>'[1]Working capital'!F7</f>
        <v>0.13666514334421828</v>
      </c>
      <c r="U7" s="326">
        <f>'[1]Summary sheet uValue'!G16</f>
        <v>3.1972644557618765E-2</v>
      </c>
      <c r="V7" s="326">
        <f>'[1]Cap Ex'!H7</f>
        <v>3.9769000228775414E-2</v>
      </c>
      <c r="W7" s="326">
        <f>[1]fundgrEB!D7</f>
        <v>1.2863655803267311</v>
      </c>
      <c r="X7" s="326">
        <f>[1]Fundgr!C7</f>
        <v>6.7170004961673607E-2</v>
      </c>
      <c r="Y7" s="326">
        <f>'[1]Dividend fundamentals'!E7</f>
        <v>0.48863288832060581</v>
      </c>
      <c r="Z7" s="326">
        <f>1-[1]Fundgr!D7</f>
        <v>0.48863288832060581</v>
      </c>
      <c r="AA7" s="328">
        <f>[1]Margins!J8</f>
        <v>6.9433444140850731E-2</v>
      </c>
    </row>
    <row r="8" spans="1:27" ht="14">
      <c r="A8" s="325" t="str">
        <f>'[1]Master data'!A8</f>
        <v>Bank (Money Center)</v>
      </c>
      <c r="B8" s="143">
        <f>'[1]Master data'!B8</f>
        <v>7</v>
      </c>
      <c r="C8" s="326">
        <f>'[1]Hist Growth'!D8</f>
        <v>4.6133333333333332E-2</v>
      </c>
      <c r="D8" s="326">
        <f>[1]Margins!F9</f>
        <v>0</v>
      </c>
      <c r="E8" s="326">
        <f>'[1]Return on capital'!H8</f>
        <v>-8.9739993476723904E-5</v>
      </c>
      <c r="F8" s="326">
        <f>'[1]Tax rates'!H9</f>
        <v>0.1540192878490923</v>
      </c>
      <c r="G8" s="327">
        <f>[1]Beta!H11</f>
        <v>1.0325147457583626</v>
      </c>
      <c r="H8" s="327">
        <f>[1]Beta!C11</f>
        <v>1.1172141898724213</v>
      </c>
      <c r="I8" s="326">
        <f>[1]WACC!D19</f>
        <v>6.2469881650590663E-2</v>
      </c>
      <c r="J8" s="326">
        <f>[1]optvar!C13</f>
        <v>0.22230976220075235</v>
      </c>
      <c r="K8" s="326">
        <f>[1]WACC!G19</f>
        <v>2.5000000000000001E-2</v>
      </c>
      <c r="L8" s="326">
        <f>'[1]Debt fundamentals'!F8</f>
        <v>0.63016922941554943</v>
      </c>
      <c r="M8" s="326">
        <f>[1]WACC!K19</f>
        <v>3.4603872905991151E-2</v>
      </c>
      <c r="N8" s="327">
        <f>'[1]Cap Ex'!J8</f>
        <v>0.27159689238429041</v>
      </c>
      <c r="O8" s="327">
        <f>[1]PS!E8</f>
        <v>4.0047416447019604</v>
      </c>
      <c r="P8" s="327" t="str">
        <f>[1]EVEBITDA!D9</f>
        <v>NA</v>
      </c>
      <c r="Q8" s="327" t="str">
        <f>[1]EVEBITDA!E9</f>
        <v>NA</v>
      </c>
      <c r="R8" s="327">
        <f>[1]PBV!C8</f>
        <v>1.2149265158125453</v>
      </c>
      <c r="S8" s="327">
        <f>[1]PE!D8</f>
        <v>8.9973486284201591</v>
      </c>
      <c r="T8" s="326" t="str">
        <f>'[1]Working capital'!F8</f>
        <v>NA</v>
      </c>
      <c r="U8" s="326">
        <f>'[1]Summary sheet uValue'!G17</f>
        <v>9.9076686406888957E-3</v>
      </c>
      <c r="V8" s="326">
        <f>'[1]Cap Ex'!H8</f>
        <v>9.9076686406888957E-3</v>
      </c>
      <c r="W8" s="326" t="str">
        <f>[1]fundgrEB!D8</f>
        <v>NA</v>
      </c>
      <c r="X8" s="326">
        <f>[1]Fundgr!C8</f>
        <v>0.1496902084347034</v>
      </c>
      <c r="Y8" s="326">
        <f>'[1]Dividend fundamentals'!E8</f>
        <v>0.19697352743598179</v>
      </c>
      <c r="Z8" s="326">
        <f>1-[1]Fundgr!D8</f>
        <v>0.19697352743598184</v>
      </c>
      <c r="AA8" s="328">
        <f>[1]Margins!J9</f>
        <v>-3.8731002042557917E-4</v>
      </c>
    </row>
    <row r="9" spans="1:27" ht="14">
      <c r="A9" s="325" t="str">
        <f>'[1]Master data'!A9</f>
        <v>Banks (Regional)</v>
      </c>
      <c r="B9" s="143">
        <f>'[1]Master data'!B9</f>
        <v>563</v>
      </c>
      <c r="C9" s="326">
        <f>'[1]Hist Growth'!D9</f>
        <v>0.11739004618937651</v>
      </c>
      <c r="D9" s="326">
        <f>[1]Margins!F10</f>
        <v>3.1930421895569762E-8</v>
      </c>
      <c r="E9" s="326">
        <f>'[1]Return on capital'!H9</f>
        <v>-8.1888503886534192E-4</v>
      </c>
      <c r="F9" s="326">
        <f>'[1]Tax rates'!H10</f>
        <v>0.21042774750542351</v>
      </c>
      <c r="G9" s="327">
        <f>[1]Beta!H12</f>
        <v>0.84127389209358849</v>
      </c>
      <c r="H9" s="327">
        <f>[1]Beta!C12</f>
        <v>0.69798811946873363</v>
      </c>
      <c r="I9" s="326">
        <f>[1]WACC!D20</f>
        <v>4.4694696265474308E-2</v>
      </c>
      <c r="J9" s="326">
        <f>[1]optvar!C14</f>
        <v>0.1967849116738157</v>
      </c>
      <c r="K9" s="326">
        <f>[1]WACC!G20</f>
        <v>2.5000000000000001E-2</v>
      </c>
      <c r="L9" s="326">
        <f>'[1]Debt fundamentals'!F9</f>
        <v>0.25691652204154236</v>
      </c>
      <c r="M9" s="326">
        <f>[1]WACC!K20</f>
        <v>3.790061687450369E-2</v>
      </c>
      <c r="N9" s="327">
        <f>'[1]Cap Ex'!J9</f>
        <v>0.37769274515518314</v>
      </c>
      <c r="O9" s="327">
        <f>[1]PS!E9</f>
        <v>3.5663396354020551</v>
      </c>
      <c r="P9" s="327" t="str">
        <f>[1]EVEBITDA!D10</f>
        <v>NA</v>
      </c>
      <c r="Q9" s="327" t="str">
        <f>[1]EVEBITDA!E10</f>
        <v>NA</v>
      </c>
      <c r="R9" s="327">
        <f>[1]PBV!C9</f>
        <v>1.3907886472602526</v>
      </c>
      <c r="S9" s="327">
        <f>[1]PE!D9</f>
        <v>28.842773361688966</v>
      </c>
      <c r="T9" s="326" t="str">
        <f>'[1]Working capital'!F9</f>
        <v>NA</v>
      </c>
      <c r="U9" s="326">
        <f>'[1]Summary sheet uValue'!G18</f>
        <v>2.497621320413447E-2</v>
      </c>
      <c r="V9" s="326">
        <f>'[1]Cap Ex'!H9</f>
        <v>5.5908056769808707E-2</v>
      </c>
      <c r="W9" s="326" t="str">
        <f>[1]fundgrEB!D9</f>
        <v>NA</v>
      </c>
      <c r="X9" s="326">
        <f>[1]Fundgr!C9</f>
        <v>0.12534150649733874</v>
      </c>
      <c r="Y9" s="326">
        <f>'[1]Dividend fundamentals'!E9</f>
        <v>0.26075292042854181</v>
      </c>
      <c r="Z9" s="326">
        <f>1-[1]Fundgr!D9</f>
        <v>0.26075292042854181</v>
      </c>
      <c r="AA9" s="328">
        <f>[1]Margins!J10</f>
        <v>-2.686447093678677E-3</v>
      </c>
    </row>
    <row r="10" spans="1:27" ht="14">
      <c r="A10" s="325" t="str">
        <f>'[1]Master data'!A10</f>
        <v>Beverage (Alcoholic)</v>
      </c>
      <c r="B10" s="143">
        <f>'[1]Master data'!B10</f>
        <v>21</v>
      </c>
      <c r="C10" s="326">
        <f>'[1]Hist Growth'!D10</f>
        <v>0.1456875</v>
      </c>
      <c r="D10" s="326">
        <f>[1]Margins!F11</f>
        <v>0.23029482645701388</v>
      </c>
      <c r="E10" s="326">
        <f>'[1]Return on capital'!H10</f>
        <v>0.15284887811975884</v>
      </c>
      <c r="F10" s="326">
        <f>'[1]Tax rates'!H11</f>
        <v>0.27020122399812441</v>
      </c>
      <c r="G10" s="327">
        <f>[1]Beta!H13</f>
        <v>0.72052481164241255</v>
      </c>
      <c r="H10" s="327">
        <f>[1]Beta!C13</f>
        <v>0.81936464501292028</v>
      </c>
      <c r="I10" s="326">
        <f>[1]WACC!D21</f>
        <v>4.9841060948547823E-2</v>
      </c>
      <c r="J10" s="326">
        <f>[1]optvar!C15</f>
        <v>0.37865995834360078</v>
      </c>
      <c r="K10" s="326">
        <f>[1]WACC!G21</f>
        <v>3.1600000000000003E-2</v>
      </c>
      <c r="L10" s="326">
        <f>'[1]Debt fundamentals'!F10</f>
        <v>0.17638569922054989</v>
      </c>
      <c r="M10" s="326">
        <f>[1]WACC!K21</f>
        <v>4.511867587286382E-2</v>
      </c>
      <c r="N10" s="327">
        <f>'[1]Cap Ex'!J10</f>
        <v>0.72138904332931708</v>
      </c>
      <c r="O10" s="327">
        <f>[1]PS!E10</f>
        <v>4.7750876234377868</v>
      </c>
      <c r="P10" s="327">
        <f>[1]EVEBITDA!D11</f>
        <v>16.723865231429723</v>
      </c>
      <c r="Q10" s="327">
        <f>[1]EVEBITDA!E11</f>
        <v>20.701837283647773</v>
      </c>
      <c r="R10" s="327">
        <f>[1]PBV!C10</f>
        <v>3.3150035318321645</v>
      </c>
      <c r="S10" s="327">
        <f>[1]PE!D10</f>
        <v>54.537568297730488</v>
      </c>
      <c r="T10" s="326">
        <f>'[1]Working capital'!F10</f>
        <v>0.1487764864622183</v>
      </c>
      <c r="U10" s="326">
        <f>'[1]Summary sheet uValue'!G19</f>
        <v>6.8054596129592235E-2</v>
      </c>
      <c r="V10" s="326">
        <f>'[1]Cap Ex'!H10</f>
        <v>2.8677193538781252E-2</v>
      </c>
      <c r="W10" s="326">
        <f>[1]fundgrEB!D10</f>
        <v>0.15226432892346159</v>
      </c>
      <c r="X10" s="326">
        <f>[1]Fundgr!C10</f>
        <v>4.385486867749127E-2</v>
      </c>
      <c r="Y10" s="326">
        <f>'[1]Dividend fundamentals'!E10</f>
        <v>0.84447115752721913</v>
      </c>
      <c r="Z10" s="326">
        <f>1-[1]Fundgr!D10</f>
        <v>0.84447115752721913</v>
      </c>
      <c r="AA10" s="328">
        <f>[1]Margins!J11</f>
        <v>0.23014266821119256</v>
      </c>
    </row>
    <row r="11" spans="1:27" ht="14">
      <c r="A11" s="325" t="str">
        <f>'[1]Master data'!A11</f>
        <v>Beverage (Soft)</v>
      </c>
      <c r="B11" s="143">
        <f>'[1]Master data'!B11</f>
        <v>32</v>
      </c>
      <c r="C11" s="326">
        <f>'[1]Hist Growth'!D11</f>
        <v>0.20472333333333334</v>
      </c>
      <c r="D11" s="326">
        <f>[1]Margins!F12</f>
        <v>0.20666163211316607</v>
      </c>
      <c r="E11" s="326">
        <f>'[1]Return on capital'!H11</f>
        <v>0.27304031755256047</v>
      </c>
      <c r="F11" s="326">
        <f>'[1]Tax rates'!H12</f>
        <v>0.23330412678297208</v>
      </c>
      <c r="G11" s="327">
        <f>[1]Beta!H14</f>
        <v>1.1155473334942059</v>
      </c>
      <c r="H11" s="327">
        <f>[1]Beta!C14</f>
        <v>1.215686535925268</v>
      </c>
      <c r="I11" s="326">
        <f>[1]WACC!D22</f>
        <v>6.6645109123231364E-2</v>
      </c>
      <c r="J11" s="326">
        <f>[1]optvar!C16</f>
        <v>0.4826538885579737</v>
      </c>
      <c r="K11" s="326">
        <f>[1]WACC!G22</f>
        <v>3.5780000000000006E-2</v>
      </c>
      <c r="L11" s="326">
        <f>'[1]Debt fundamentals'!F11</f>
        <v>0.14271344348026316</v>
      </c>
      <c r="M11" s="326">
        <f>[1]WACC!K22</f>
        <v>6.0861545624775498E-2</v>
      </c>
      <c r="N11" s="327">
        <f>'[1]Cap Ex'!J11</f>
        <v>1.3790109252027318</v>
      </c>
      <c r="O11" s="327">
        <f>[1]PS!E11</f>
        <v>4.9650944086189774</v>
      </c>
      <c r="P11" s="327">
        <f>[1]EVEBITDA!D12</f>
        <v>20.001341149310033</v>
      </c>
      <c r="Q11" s="327">
        <f>[1]EVEBITDA!E12</f>
        <v>23.924774609521808</v>
      </c>
      <c r="R11" s="327">
        <f>[1]PBV!C11</f>
        <v>8.4222025235900144</v>
      </c>
      <c r="S11" s="327">
        <f>[1]PE!D11</f>
        <v>111.14028060528973</v>
      </c>
      <c r="T11" s="326">
        <f>'[1]Working capital'!F11</f>
        <v>-7.8165390267786461E-2</v>
      </c>
      <c r="U11" s="326">
        <f>'[1]Summary sheet uValue'!G20</f>
        <v>4.5300039482290631E-2</v>
      </c>
      <c r="V11" s="326">
        <f>'[1]Cap Ex'!H11</f>
        <v>1.6820347535164627E-2</v>
      </c>
      <c r="W11" s="326">
        <f>[1]fundgrEB!D11</f>
        <v>0.11100539417970601</v>
      </c>
      <c r="X11" s="326">
        <f>[1]Fundgr!C11</f>
        <v>0.32797679694104764</v>
      </c>
      <c r="Y11" s="326">
        <f>'[1]Dividend fundamentals'!E11</f>
        <v>0.76315522750902842</v>
      </c>
      <c r="Z11" s="326">
        <f>1-[1]Fundgr!D11</f>
        <v>0.76315522750902842</v>
      </c>
      <c r="AA11" s="328">
        <f>[1]Margins!J12</f>
        <v>0.2073869805621304</v>
      </c>
    </row>
    <row r="12" spans="1:27" ht="14">
      <c r="A12" s="325" t="str">
        <f>'[1]Master data'!A12</f>
        <v>Broadcasting</v>
      </c>
      <c r="B12" s="143">
        <f>'[1]Master data'!B12</f>
        <v>28</v>
      </c>
      <c r="C12" s="326">
        <f>'[1]Hist Growth'!D12</f>
        <v>9.6442631578947377E-2</v>
      </c>
      <c r="D12" s="326">
        <f>[1]Margins!F13</f>
        <v>0.18319654701892751</v>
      </c>
      <c r="E12" s="326">
        <f>'[1]Return on capital'!H12</f>
        <v>0.17221886955808891</v>
      </c>
      <c r="F12" s="326">
        <f>'[1]Tax rates'!H13</f>
        <v>0.1977540776810367</v>
      </c>
      <c r="G12" s="327">
        <f>[1]Beta!H15</f>
        <v>0.8112721237191215</v>
      </c>
      <c r="H12" s="327">
        <f>[1]Beta!C15</f>
        <v>1.3520952869467548</v>
      </c>
      <c r="I12" s="326">
        <f>[1]WACC!D23</f>
        <v>7.2428840166542399E-2</v>
      </c>
      <c r="J12" s="326">
        <f>[1]optvar!C17</f>
        <v>0.48769409629655158</v>
      </c>
      <c r="K12" s="326">
        <f>[1]WACC!G23</f>
        <v>3.5780000000000006E-2</v>
      </c>
      <c r="L12" s="326">
        <f>'[1]Debt fundamentals'!F12</f>
        <v>0.53879275926239534</v>
      </c>
      <c r="M12" s="326">
        <f>[1]WACC!K23</f>
        <v>4.7477649119314222E-2</v>
      </c>
      <c r="N12" s="327">
        <f>'[1]Cap Ex'!J12</f>
        <v>1.0737125193904851</v>
      </c>
      <c r="O12" s="327">
        <f>[1]PS!E12</f>
        <v>1.8477985050674166</v>
      </c>
      <c r="P12" s="327">
        <f>[1]EVEBITDA!D13</f>
        <v>7.3297752369302351</v>
      </c>
      <c r="Q12" s="327">
        <f>[1]EVEBITDA!E13</f>
        <v>10.170887361670596</v>
      </c>
      <c r="R12" s="327">
        <f>[1]PBV!C12</f>
        <v>1.3303503922245157</v>
      </c>
      <c r="S12" s="327">
        <f>[1]PE!D12</f>
        <v>8.833696216037886</v>
      </c>
      <c r="T12" s="326">
        <f>'[1]Working capital'!F12</f>
        <v>0.11276833142182242</v>
      </c>
      <c r="U12" s="326">
        <f>'[1]Summary sheet uValue'!G21</f>
        <v>2.4094366684897308E-2</v>
      </c>
      <c r="V12" s="326">
        <f>'[1]Cap Ex'!H12</f>
        <v>2.7778522242547621E-2</v>
      </c>
      <c r="W12" s="326">
        <f>[1]fundgrEB!D12</f>
        <v>1.1831043671423924</v>
      </c>
      <c r="X12" s="326">
        <f>[1]Fundgr!C12</f>
        <v>0.19346849945338049</v>
      </c>
      <c r="Y12" s="326">
        <f>'[1]Dividend fundamentals'!E12</f>
        <v>0.15799462643398063</v>
      </c>
      <c r="Z12" s="326">
        <f>1-[1]Fundgr!D12</f>
        <v>0.15799462643398066</v>
      </c>
      <c r="AA12" s="328">
        <f>[1]Margins!J13</f>
        <v>0.18132672228347707</v>
      </c>
    </row>
    <row r="13" spans="1:27" ht="14">
      <c r="A13" s="325" t="str">
        <f>'[1]Master data'!A13</f>
        <v>Brokerage &amp; Investment Banking</v>
      </c>
      <c r="B13" s="143">
        <f>'[1]Master data'!B13</f>
        <v>31</v>
      </c>
      <c r="C13" s="326">
        <f>'[1]Hist Growth'!D13</f>
        <v>0.17959545454545453</v>
      </c>
      <c r="D13" s="326">
        <f>[1]Margins!F14</f>
        <v>1.3086951668195493E-2</v>
      </c>
      <c r="E13" s="326">
        <f>'[1]Return on capital'!H13</f>
        <v>3.6608202908959483E-3</v>
      </c>
      <c r="F13" s="326">
        <f>'[1]Tax rates'!H14</f>
        <v>0.21287037350972721</v>
      </c>
      <c r="G13" s="327">
        <f>[1]Beta!H16</f>
        <v>0.67007031178199383</v>
      </c>
      <c r="H13" s="327">
        <f>[1]Beta!C16</f>
        <v>1.1749812758826836</v>
      </c>
      <c r="I13" s="326">
        <f>[1]WACC!D24</f>
        <v>6.4919206097425783E-2</v>
      </c>
      <c r="J13" s="326">
        <f>[1]optvar!C18</f>
        <v>0.31739360898024499</v>
      </c>
      <c r="K13" s="326">
        <f>[1]WACC!G24</f>
        <v>3.1600000000000003E-2</v>
      </c>
      <c r="L13" s="326">
        <f>'[1]Debt fundamentals'!F13</f>
        <v>0.64599682229673805</v>
      </c>
      <c r="M13" s="326">
        <f>[1]WACC!K24</f>
        <v>3.7883459949202863E-2</v>
      </c>
      <c r="N13" s="327">
        <f>'[1]Cap Ex'!J13</f>
        <v>0.30026562939978807</v>
      </c>
      <c r="O13" s="327">
        <f>[1]PS!E13</f>
        <v>5.2034915767008112</v>
      </c>
      <c r="P13" s="327" t="str">
        <f>[1]EVEBITDA!D14</f>
        <v>NA</v>
      </c>
      <c r="Q13" s="327" t="str">
        <f>[1]EVEBITDA!E14</f>
        <v>NA</v>
      </c>
      <c r="R13" s="327">
        <f>[1]PBV!C13</f>
        <v>1.7385227969427492</v>
      </c>
      <c r="S13" s="327">
        <f>[1]PE!D13</f>
        <v>12.624234823867694</v>
      </c>
      <c r="T13" s="326" t="str">
        <f>'[1]Working capital'!F13</f>
        <v>NA</v>
      </c>
      <c r="U13" s="326">
        <f>'[1]Summary sheet uValue'!G22</f>
        <v>3.8112277747799385E-2</v>
      </c>
      <c r="V13" s="326">
        <f>'[1]Cap Ex'!H13</f>
        <v>-2.8033895506069675E-2</v>
      </c>
      <c r="W13" s="326">
        <f>[1]fundgrEB!D13</f>
        <v>-14.802214752076942</v>
      </c>
      <c r="X13" s="326">
        <f>[1]Fundgr!C13</f>
        <v>0.21610644926542924</v>
      </c>
      <c r="Y13" s="326">
        <f>'[1]Dividend fundamentals'!E13</f>
        <v>0.17561202111594384</v>
      </c>
      <c r="Z13" s="326">
        <f>1-[1]Fundgr!D13</f>
        <v>0.17561202111594387</v>
      </c>
      <c r="AA13" s="328">
        <f>[1]Margins!J14</f>
        <v>1.367788910132353E-2</v>
      </c>
    </row>
    <row r="14" spans="1:27" ht="14">
      <c r="A14" s="325" t="str">
        <f>'[1]Master data'!A14</f>
        <v>Building Materials</v>
      </c>
      <c r="B14" s="143">
        <f>'[1]Master data'!B14</f>
        <v>44</v>
      </c>
      <c r="C14" s="326">
        <f>'[1]Hist Growth'!D14</f>
        <v>8.4543333333333331E-2</v>
      </c>
      <c r="D14" s="326">
        <f>[1]Margins!F15</f>
        <v>0.11633157522425112</v>
      </c>
      <c r="E14" s="326">
        <f>'[1]Return on capital'!H14</f>
        <v>0.30440682527072144</v>
      </c>
      <c r="F14" s="326">
        <f>'[1]Tax rates'!H15</f>
        <v>0.24905975946183925</v>
      </c>
      <c r="G14" s="327">
        <f>[1]Beta!H17</f>
        <v>1.0871499229138373</v>
      </c>
      <c r="H14" s="327">
        <f>[1]Beta!C17</f>
        <v>1.1871342649276129</v>
      </c>
      <c r="I14" s="326">
        <f>[1]WACC!D25</f>
        <v>6.5434492832930791E-2</v>
      </c>
      <c r="J14" s="326">
        <f>[1]optvar!C19</f>
        <v>0.3453500897694991</v>
      </c>
      <c r="K14" s="326">
        <f>[1]WACC!G25</f>
        <v>3.1600000000000003E-2</v>
      </c>
      <c r="L14" s="326">
        <f>'[1]Debt fundamentals'!F14</f>
        <v>0.15787201839638795</v>
      </c>
      <c r="M14" s="326">
        <f>[1]WACC!K25</f>
        <v>5.8746009097019908E-2</v>
      </c>
      <c r="N14" s="327">
        <f>'[1]Cap Ex'!J14</f>
        <v>3.101657792011816</v>
      </c>
      <c r="O14" s="327">
        <f>[1]PS!E14</f>
        <v>2.13508705375073</v>
      </c>
      <c r="P14" s="327">
        <f>[1]EVEBITDA!D15</f>
        <v>13.673012507387574</v>
      </c>
      <c r="Q14" s="327">
        <f>[1]EVEBITDA!E15</f>
        <v>18.105169428272607</v>
      </c>
      <c r="R14" s="327">
        <f>[1]PBV!C14</f>
        <v>5.1222104898027334</v>
      </c>
      <c r="S14" s="327">
        <f>[1]PE!D14</f>
        <v>28.097041281817368</v>
      </c>
      <c r="T14" s="326">
        <f>'[1]Working capital'!F14</f>
        <v>0.17512196676518457</v>
      </c>
      <c r="U14" s="326">
        <f>'[1]Summary sheet uValue'!G23</f>
        <v>2.4103210810340659E-2</v>
      </c>
      <c r="V14" s="326">
        <f>'[1]Cap Ex'!H14</f>
        <v>4.5107071624175814E-2</v>
      </c>
      <c r="W14" s="326">
        <f>[1]fundgrEB!D14</f>
        <v>0.80369725381577783</v>
      </c>
      <c r="X14" s="326">
        <f>[1]Fundgr!C14</f>
        <v>0.31261799409358498</v>
      </c>
      <c r="Y14" s="326">
        <f>'[1]Dividend fundamentals'!E14</f>
        <v>0.15100648025778987</v>
      </c>
      <c r="Z14" s="326">
        <f>1-[1]Fundgr!D14</f>
        <v>0.15100648025778984</v>
      </c>
      <c r="AA14" s="328">
        <f>[1]Margins!J15</f>
        <v>0.11816937807617332</v>
      </c>
    </row>
    <row r="15" spans="1:27" ht="14">
      <c r="A15" s="325" t="str">
        <f>'[1]Master data'!A15</f>
        <v>Business &amp; Consumer Services</v>
      </c>
      <c r="B15" s="143">
        <f>'[1]Master data'!B15</f>
        <v>160</v>
      </c>
      <c r="C15" s="326">
        <f>'[1]Hist Growth'!D15</f>
        <v>5.3889358974358953E-2</v>
      </c>
      <c r="D15" s="326">
        <f>[1]Margins!F16</f>
        <v>9.1172927185467947E-2</v>
      </c>
      <c r="E15" s="326">
        <f>'[1]Return on capital'!H15</f>
        <v>0.23264063621315148</v>
      </c>
      <c r="F15" s="326">
        <f>'[1]Tax rates'!H16</f>
        <v>0.24837077560341159</v>
      </c>
      <c r="G15" s="327">
        <f>[1]Beta!H18</f>
        <v>0.98611314803847128</v>
      </c>
      <c r="H15" s="327">
        <f>[1]Beta!C18</f>
        <v>1.0891943033566154</v>
      </c>
      <c r="I15" s="326">
        <f>[1]WACC!D26</f>
        <v>6.1281838462320493E-2</v>
      </c>
      <c r="J15" s="326">
        <f>[1]optvar!C20</f>
        <v>0.41173436630184901</v>
      </c>
      <c r="K15" s="326">
        <f>[1]WACC!G26</f>
        <v>3.5780000000000006E-2</v>
      </c>
      <c r="L15" s="326">
        <f>'[1]Debt fundamentals'!F15</f>
        <v>0.18294499348775209</v>
      </c>
      <c r="M15" s="326">
        <f>[1]WACC!K26</f>
        <v>5.4849046386817785E-2</v>
      </c>
      <c r="N15" s="327">
        <f>'[1]Cap Ex'!J15</f>
        <v>2.7449180040605938</v>
      </c>
      <c r="O15" s="327">
        <f>[1]PS!E15</f>
        <v>2.6537654671431081</v>
      </c>
      <c r="P15" s="327">
        <f>[1]EVEBITDA!D16</f>
        <v>16.012508412938871</v>
      </c>
      <c r="Q15" s="327">
        <f>[1]EVEBITDA!E16</f>
        <v>26.6482712953209</v>
      </c>
      <c r="R15" s="327">
        <f>[1]PBV!C15</f>
        <v>4.8648119808226911</v>
      </c>
      <c r="S15" s="327">
        <f>[1]PE!D15</f>
        <v>269.88371323407836</v>
      </c>
      <c r="T15" s="326">
        <f>'[1]Working capital'!F15</f>
        <v>0.12710742811353765</v>
      </c>
      <c r="U15" s="326">
        <f>'[1]Summary sheet uValue'!G24</f>
        <v>2.4060396840853298E-2</v>
      </c>
      <c r="V15" s="326">
        <f>'[1]Cap Ex'!H15</f>
        <v>3.0663182197362669E-2</v>
      </c>
      <c r="W15" s="326">
        <f>[1]fundgrEB!D15</f>
        <v>0.67032515806504067</v>
      </c>
      <c r="X15" s="326">
        <f>[1]Fundgr!C15</f>
        <v>0.13673552654849422</v>
      </c>
      <c r="Y15" s="326">
        <f>'[1]Dividend fundamentals'!E15</f>
        <v>0.30298190318538865</v>
      </c>
      <c r="Z15" s="326">
        <f>1-[1]Fundgr!D15</f>
        <v>0.30298190318538865</v>
      </c>
      <c r="AA15" s="328">
        <f>[1]Margins!J16</f>
        <v>9.4084276424356114E-2</v>
      </c>
    </row>
    <row r="16" spans="1:27" ht="14">
      <c r="A16" s="325" t="str">
        <f>'[1]Master data'!A16</f>
        <v>Cable TV</v>
      </c>
      <c r="B16" s="143">
        <f>'[1]Master data'!B16</f>
        <v>11</v>
      </c>
      <c r="C16" s="326">
        <f>'[1]Hist Growth'!D16</f>
        <v>0.1741875</v>
      </c>
      <c r="D16" s="326">
        <f>[1]Margins!F17</f>
        <v>0.19225846201095714</v>
      </c>
      <c r="E16" s="326">
        <f>'[1]Return on capital'!H16</f>
        <v>0.12771922178366793</v>
      </c>
      <c r="F16" s="326">
        <f>'[1]Tax rates'!H17</f>
        <v>0.24675021478465503</v>
      </c>
      <c r="G16" s="327">
        <f>[1]Beta!H19</f>
        <v>0.66413861096321036</v>
      </c>
      <c r="H16" s="327">
        <f>[1]Beta!C19</f>
        <v>0.93412874253081224</v>
      </c>
      <c r="I16" s="326">
        <f>[1]WACC!D27</f>
        <v>5.4707058683306442E-2</v>
      </c>
      <c r="J16" s="326">
        <f>[1]optvar!C21</f>
        <v>0.20073197351870248</v>
      </c>
      <c r="K16" s="326">
        <f>[1]WACC!G27</f>
        <v>2.5000000000000001E-2</v>
      </c>
      <c r="L16" s="326">
        <f>'[1]Debt fundamentals'!F16</f>
        <v>0.37544985904031958</v>
      </c>
      <c r="M16" s="326">
        <f>[1]WACC!K27</f>
        <v>4.1019261139634375E-2</v>
      </c>
      <c r="N16" s="327">
        <f>'[1]Cap Ex'!J16</f>
        <v>0.81178180927256516</v>
      </c>
      <c r="O16" s="327">
        <f>[1]PS!E16</f>
        <v>3.3310184333991826</v>
      </c>
      <c r="P16" s="327">
        <f>[1]EVEBITDA!D17</f>
        <v>10.178910697953286</v>
      </c>
      <c r="Q16" s="327">
        <f>[1]EVEBITDA!E17</f>
        <v>17.343578707291467</v>
      </c>
      <c r="R16" s="327">
        <f>[1]PBV!C16</f>
        <v>2.9084871006895447</v>
      </c>
      <c r="S16" s="327">
        <f>[1]PE!D16</f>
        <v>27.325596099055037</v>
      </c>
      <c r="T16" s="326">
        <f>'[1]Working capital'!F16</f>
        <v>-7.6309365633594039E-3</v>
      </c>
      <c r="U16" s="326">
        <f>'[1]Summary sheet uValue'!G25</f>
        <v>9.9397085523217216E-2</v>
      </c>
      <c r="V16" s="326">
        <f>'[1]Cap Ex'!H16</f>
        <v>-1.7511112109882324E-2</v>
      </c>
      <c r="W16" s="326">
        <f>[1]fundgrEB!D16</f>
        <v>-9.824029326263467E-2</v>
      </c>
      <c r="X16" s="326">
        <f>[1]Fundgr!C16</f>
        <v>0.16383901773533424</v>
      </c>
      <c r="Y16" s="326">
        <f>'[1]Dividend fundamentals'!E16</f>
        <v>0.19754941962129663</v>
      </c>
      <c r="Z16" s="326">
        <f>1-[1]Fundgr!D16</f>
        <v>0.19754941962129657</v>
      </c>
      <c r="AA16" s="328">
        <f>[1]Margins!J17</f>
        <v>0.19205872297428606</v>
      </c>
    </row>
    <row r="17" spans="1:27" ht="14">
      <c r="A17" s="325" t="str">
        <f>'[1]Master data'!A17</f>
        <v>Chemical (Basic)</v>
      </c>
      <c r="B17" s="143">
        <f>'[1]Master data'!B17</f>
        <v>35</v>
      </c>
      <c r="C17" s="326">
        <f>'[1]Hist Growth'!D17</f>
        <v>0.20387000000000005</v>
      </c>
      <c r="D17" s="326">
        <f>[1]Margins!F18</f>
        <v>0.14931967817403938</v>
      </c>
      <c r="E17" s="326">
        <f>'[1]Return on capital'!H17</f>
        <v>0.27309513358714144</v>
      </c>
      <c r="F17" s="326">
        <f>'[1]Tax rates'!H18</f>
        <v>0.20791871089728611</v>
      </c>
      <c r="G17" s="327">
        <f>[1]Beta!H20</f>
        <v>0.93712842522034645</v>
      </c>
      <c r="H17" s="327">
        <f>[1]Beta!C20</f>
        <v>1.1624244348249126</v>
      </c>
      <c r="I17" s="326">
        <f>[1]WACC!D28</f>
        <v>6.4386796036576294E-2</v>
      </c>
      <c r="J17" s="326">
        <f>[1]optvar!C22</f>
        <v>0.4501887768770812</v>
      </c>
      <c r="K17" s="326">
        <f>[1]WACC!G28</f>
        <v>3.5780000000000006E-2</v>
      </c>
      <c r="L17" s="326">
        <f>'[1]Debt fundamentals'!F17</f>
        <v>0.30918659624352085</v>
      </c>
      <c r="M17" s="326">
        <f>[1]WACC!K28</f>
        <v>5.2555030108924469E-2</v>
      </c>
      <c r="N17" s="327">
        <f>'[1]Cap Ex'!J17</f>
        <v>2.0022625060361179</v>
      </c>
      <c r="O17" s="327">
        <f>[1]PS!E17</f>
        <v>1.2037819096659139</v>
      </c>
      <c r="P17" s="327">
        <f>[1]EVEBITDA!D18</f>
        <v>5.6189722304943039</v>
      </c>
      <c r="Q17" s="327">
        <f>[1]EVEBITDA!E18</f>
        <v>7.8750310925007438</v>
      </c>
      <c r="R17" s="327">
        <f>[1]PBV!C17</f>
        <v>2.5094217577943678</v>
      </c>
      <c r="S17" s="327">
        <f>[1]PE!D17</f>
        <v>14.700973228187472</v>
      </c>
      <c r="T17" s="326">
        <f>'[1]Working capital'!F17</f>
        <v>0.15229823650034821</v>
      </c>
      <c r="U17" s="326">
        <f>'[1]Summary sheet uValue'!G26</f>
        <v>5.0830603724921188E-2</v>
      </c>
      <c r="V17" s="326">
        <f>'[1]Cap Ex'!H17</f>
        <v>3.4630408260022207E-2</v>
      </c>
      <c r="W17" s="326">
        <f>[1]fundgrEB!D17</f>
        <v>0.59404829774581613</v>
      </c>
      <c r="X17" s="326">
        <f>[1]Fundgr!C17</f>
        <v>0.47242060726551427</v>
      </c>
      <c r="Y17" s="326">
        <f>'[1]Dividend fundamentals'!E17</f>
        <v>0.27535160232079492</v>
      </c>
      <c r="Z17" s="326">
        <f>1-[1]Fundgr!D17</f>
        <v>0.27535160232079492</v>
      </c>
      <c r="AA17" s="328">
        <f>[1]Margins!J18</f>
        <v>0.15143236896043424</v>
      </c>
    </row>
    <row r="18" spans="1:27" ht="14">
      <c r="A18" s="325" t="str">
        <f>'[1]Master data'!A18</f>
        <v>Chemical (Diversified)</v>
      </c>
      <c r="B18" s="143">
        <f>'[1]Master data'!B18</f>
        <v>4</v>
      </c>
      <c r="C18" s="326">
        <f>'[1]Hist Growth'!D18</f>
        <v>8.0562500000000009E-2</v>
      </c>
      <c r="D18" s="326">
        <f>[1]Margins!F19</f>
        <v>9.718037455037408E-2</v>
      </c>
      <c r="E18" s="326">
        <f>'[1]Return on capital'!H18</f>
        <v>0.13743960165076913</v>
      </c>
      <c r="F18" s="326">
        <f>'[1]Tax rates'!H19</f>
        <v>0.1088339222614841</v>
      </c>
      <c r="G18" s="327">
        <f>[1]Beta!H21</f>
        <v>1.2079101125783385</v>
      </c>
      <c r="H18" s="327">
        <f>[1]Beta!C21</f>
        <v>1.5028204045767186</v>
      </c>
      <c r="I18" s="326">
        <f>[1]WACC!D29</f>
        <v>7.8819585154052865E-2</v>
      </c>
      <c r="J18" s="326">
        <f>[1]optvar!C23</f>
        <v>0.37291591458524248</v>
      </c>
      <c r="K18" s="326">
        <f>[1]WACC!G29</f>
        <v>3.1600000000000003E-2</v>
      </c>
      <c r="L18" s="326">
        <f>'[1]Debt fundamentals'!F18</f>
        <v>0.32156484408921215</v>
      </c>
      <c r="M18" s="326">
        <f>[1]WACC!K29</f>
        <v>6.0891835366263421E-2</v>
      </c>
      <c r="N18" s="327">
        <f>'[1]Cap Ex'!J18</f>
        <v>1.4520428589903116</v>
      </c>
      <c r="O18" s="327">
        <f>[1]PS!E18</f>
        <v>1.334764946813515</v>
      </c>
      <c r="P18" s="327">
        <f>[1]EVEBITDA!D19</f>
        <v>8.6649133627807622</v>
      </c>
      <c r="Q18" s="327">
        <f>[1]EVEBITDA!E19</f>
        <v>13.787105606481424</v>
      </c>
      <c r="R18" s="327">
        <f>[1]PBV!C18</f>
        <v>2.6191945400611116</v>
      </c>
      <c r="S18" s="327">
        <f>[1]PE!D18</f>
        <v>11.747498187092095</v>
      </c>
      <c r="T18" s="326">
        <f>'[1]Working capital'!F18</f>
        <v>0.18703207273546354</v>
      </c>
      <c r="U18" s="326">
        <f>'[1]Summary sheet uValue'!G27</f>
        <v>4.2436343260443064E-2</v>
      </c>
      <c r="V18" s="326">
        <f>'[1]Cap Ex'!H18</f>
        <v>1.4790651952353217E-2</v>
      </c>
      <c r="W18" s="326">
        <f>[1]fundgrEB!D18</f>
        <v>0.32328732578359998</v>
      </c>
      <c r="X18" s="326">
        <f>[1]Fundgr!C18</f>
        <v>0.28115657619032652</v>
      </c>
      <c r="Y18" s="326">
        <f>'[1]Dividend fundamentals'!E18</f>
        <v>0.27334851936218679</v>
      </c>
      <c r="Z18" s="326">
        <f>1-[1]Fundgr!D18</f>
        <v>0.27334851936218674</v>
      </c>
      <c r="AA18" s="328">
        <f>[1]Margins!J19</f>
        <v>9.8418230964072637E-2</v>
      </c>
    </row>
    <row r="19" spans="1:27" ht="14">
      <c r="A19" s="325" t="str">
        <f>'[1]Master data'!A19</f>
        <v>Chemical (Specialty)</v>
      </c>
      <c r="B19" s="143">
        <f>'[1]Master data'!B19</f>
        <v>81</v>
      </c>
      <c r="C19" s="326">
        <f>'[1]Hist Growth'!D19</f>
        <v>7.9344705882352914E-2</v>
      </c>
      <c r="D19" s="326">
        <f>[1]Margins!F20</f>
        <v>0.13327861926971918</v>
      </c>
      <c r="E19" s="326">
        <f>'[1]Return on capital'!H19</f>
        <v>0.15021255151968924</v>
      </c>
      <c r="F19" s="326">
        <f>'[1]Tax rates'!H20</f>
        <v>0.15982034484636962</v>
      </c>
      <c r="G19" s="327">
        <f>[1]Beta!H22</f>
        <v>0.99772295408911504</v>
      </c>
      <c r="H19" s="327">
        <f>[1]Beta!C22</f>
        <v>1.1027466358300211</v>
      </c>
      <c r="I19" s="326">
        <f>[1]WACC!D30</f>
        <v>6.1856457359192894E-2</v>
      </c>
      <c r="J19" s="326">
        <f>[1]optvar!C24</f>
        <v>0.40723720919299955</v>
      </c>
      <c r="K19" s="326">
        <f>[1]WACC!G30</f>
        <v>3.5780000000000006E-2</v>
      </c>
      <c r="L19" s="326">
        <f>'[1]Debt fundamentals'!F19</f>
        <v>0.16295575914951274</v>
      </c>
      <c r="M19" s="326">
        <f>[1]WACC!K30</f>
        <v>5.6032898047455933E-2</v>
      </c>
      <c r="N19" s="327">
        <f>'[1]Cap Ex'!J19</f>
        <v>1.2214764929585178</v>
      </c>
      <c r="O19" s="327">
        <f>[1]PS!E19</f>
        <v>3.3265220914649154</v>
      </c>
      <c r="P19" s="327">
        <f>[1]EVEBITDA!D20</f>
        <v>15.407904263406223</v>
      </c>
      <c r="Q19" s="327">
        <f>[1]EVEBITDA!E20</f>
        <v>24.497025775348437</v>
      </c>
      <c r="R19" s="327">
        <f>[1]PBV!C19</f>
        <v>3.4877076387953427</v>
      </c>
      <c r="S19" s="327">
        <f>[1]PE!D19</f>
        <v>34.000897789317023</v>
      </c>
      <c r="T19" s="326">
        <f>'[1]Working capital'!F19</f>
        <v>0.20557489156449735</v>
      </c>
      <c r="U19" s="326">
        <f>'[1]Summary sheet uValue'!G28</f>
        <v>6.696281964489563E-2</v>
      </c>
      <c r="V19" s="326">
        <f>'[1]Cap Ex'!H19</f>
        <v>4.1983387499572408E-2</v>
      </c>
      <c r="W19" s="326">
        <f>[1]fundgrEB!D19</f>
        <v>0.44943473191843469</v>
      </c>
      <c r="X19" s="326">
        <f>[1]Fundgr!C19</f>
        <v>0.1599659829445027</v>
      </c>
      <c r="Y19" s="326">
        <f>'[1]Dividend fundamentals'!E19</f>
        <v>0.29734659500712557</v>
      </c>
      <c r="Z19" s="326">
        <f>1-[1]Fundgr!D19</f>
        <v>0.29734659500712557</v>
      </c>
      <c r="AA19" s="328">
        <f>[1]Margins!J20</f>
        <v>0.13665776474483271</v>
      </c>
    </row>
    <row r="20" spans="1:27" ht="14">
      <c r="A20" s="325" t="str">
        <f>'[1]Master data'!A20</f>
        <v>Coal &amp; Related Energy</v>
      </c>
      <c r="B20" s="143">
        <f>'[1]Master data'!B20</f>
        <v>18</v>
      </c>
      <c r="C20" s="326">
        <f>'[1]Hist Growth'!D20</f>
        <v>-0.21844285714285713</v>
      </c>
      <c r="D20" s="326">
        <f>[1]Margins!F21</f>
        <v>-3.2087821488491299E-2</v>
      </c>
      <c r="E20" s="326">
        <f>'[1]Return on capital'!H20</f>
        <v>-4.0449438785430884E-2</v>
      </c>
      <c r="F20" s="326">
        <f>'[1]Tax rates'!H21</f>
        <v>3.3152173913043481E-2</v>
      </c>
      <c r="G20" s="327">
        <f>[1]Beta!H23</f>
        <v>0.81971087332733406</v>
      </c>
      <c r="H20" s="327">
        <f>[1]Beta!C23</f>
        <v>0.91562861731458423</v>
      </c>
      <c r="I20" s="326">
        <f>[1]WACC!D31</f>
        <v>5.3922653374138374E-2</v>
      </c>
      <c r="J20" s="326">
        <f>[1]optvar!C25</f>
        <v>0.58569716334995692</v>
      </c>
      <c r="K20" s="326">
        <f>[1]WACC!G31</f>
        <v>3.5780000000000006E-2</v>
      </c>
      <c r="L20" s="326">
        <f>'[1]Debt fundamentals'!F20</f>
        <v>0.2940274589066163</v>
      </c>
      <c r="M20" s="326">
        <f>[1]WACC!K31</f>
        <v>4.5747733435203664E-2</v>
      </c>
      <c r="N20" s="327">
        <f>'[1]Cap Ex'!J20</f>
        <v>1.5186403525031378</v>
      </c>
      <c r="O20" s="327">
        <f>[1]PS!E20</f>
        <v>1.3601698846986532</v>
      </c>
      <c r="P20" s="327">
        <f>[1]EVEBITDA!D21</f>
        <v>8.1776371340664404</v>
      </c>
      <c r="Q20" s="327" t="str">
        <f>[1]EVEBITDA!E21</f>
        <v>NA</v>
      </c>
      <c r="R20" s="327">
        <f>[1]PBV!C20</f>
        <v>2.6063498359355282</v>
      </c>
      <c r="S20" s="327">
        <f>[1]PE!D20</f>
        <v>19.434630044840237</v>
      </c>
      <c r="T20" s="326">
        <f>'[1]Working capital'!F20</f>
        <v>5.8455018984481466E-2</v>
      </c>
      <c r="U20" s="326">
        <f>'[1]Summary sheet uValue'!G29</f>
        <v>0.1068849104002576</v>
      </c>
      <c r="V20" s="326">
        <f>'[1]Cap Ex'!H20</f>
        <v>-1.1384857514805573E-2</v>
      </c>
      <c r="W20" s="326" t="str">
        <f>[1]fundgrEB!D20</f>
        <v>NA</v>
      </c>
      <c r="X20" s="326">
        <f>[1]Fundgr!C20</f>
        <v>-0.14398162633847864</v>
      </c>
      <c r="Y20" s="326">
        <f>'[1]Dividend fundamentals'!E20</f>
        <v>5.8990413527185257E-4</v>
      </c>
      <c r="Z20" s="326">
        <f>1-[1]Fundgr!D20</f>
        <v>5.8990413527182373E-4</v>
      </c>
      <c r="AA20" s="328">
        <f>[1]Margins!J21</f>
        <v>-2.6841667756179508E-2</v>
      </c>
    </row>
    <row r="21" spans="1:27" ht="14">
      <c r="A21" s="325" t="str">
        <f>'[1]Master data'!A21</f>
        <v>Computer Services</v>
      </c>
      <c r="B21" s="143">
        <f>'[1]Master data'!B21</f>
        <v>83</v>
      </c>
      <c r="C21" s="326">
        <f>'[1]Hist Growth'!D21</f>
        <v>8.8714523809523785E-2</v>
      </c>
      <c r="D21" s="326">
        <f>[1]Margins!F22</f>
        <v>6.4806453505469638E-2</v>
      </c>
      <c r="E21" s="326">
        <f>'[1]Return on capital'!H21</f>
        <v>0.21406933396630365</v>
      </c>
      <c r="F21" s="326">
        <f>'[1]Tax rates'!H22</f>
        <v>0.22091278577648488</v>
      </c>
      <c r="G21" s="327">
        <f>[1]Beta!H24</f>
        <v>1.0576213168025859</v>
      </c>
      <c r="H21" s="327">
        <f>[1]Beta!C24</f>
        <v>1.1988227196575996</v>
      </c>
      <c r="I21" s="326">
        <f>[1]WACC!D32</f>
        <v>6.5930083313482227E-2</v>
      </c>
      <c r="J21" s="326">
        <f>[1]optvar!C26</f>
        <v>0.48442476717078692</v>
      </c>
      <c r="K21" s="326">
        <f>[1]WACC!G32</f>
        <v>3.5780000000000006E-2</v>
      </c>
      <c r="L21" s="326">
        <f>'[1]Debt fundamentals'!F21</f>
        <v>0.21223039185456335</v>
      </c>
      <c r="M21" s="326">
        <f>[1]WACC!K32</f>
        <v>5.7481046393863963E-2</v>
      </c>
      <c r="N21" s="327">
        <f>'[1]Cap Ex'!J21</f>
        <v>3.3665517535628591</v>
      </c>
      <c r="O21" s="327">
        <f>[1]PS!E21</f>
        <v>1.5319703644861753</v>
      </c>
      <c r="P21" s="327">
        <f>[1]EVEBITDA!D22</f>
        <v>11.967830624892715</v>
      </c>
      <c r="Q21" s="327">
        <f>[1]EVEBITDA!E22</f>
        <v>21.975677392392729</v>
      </c>
      <c r="R21" s="327">
        <f>[1]PBV!C21</f>
        <v>4.8355438744887769</v>
      </c>
      <c r="S21" s="327">
        <f>[1]PE!D21</f>
        <v>38.49598038611893</v>
      </c>
      <c r="T21" s="326">
        <f>'[1]Working capital'!F21</f>
        <v>0.16066190211478987</v>
      </c>
      <c r="U21" s="326">
        <f>'[1]Summary sheet uValue'!G30</f>
        <v>1.7184136898245467E-2</v>
      </c>
      <c r="V21" s="326">
        <f>'[1]Cap Ex'!H21</f>
        <v>-9.6060989236625358E-3</v>
      </c>
      <c r="W21" s="326">
        <f>[1]fundgrEB!D21</f>
        <v>-0.27978882831766477</v>
      </c>
      <c r="X21" s="326">
        <f>[1]Fundgr!C21</f>
        <v>0.14610978399266936</v>
      </c>
      <c r="Y21" s="326">
        <f>'[1]Dividend fundamentals'!E21</f>
        <v>0.75691856222414566</v>
      </c>
      <c r="Z21" s="326">
        <f>1-[1]Fundgr!D21</f>
        <v>0.75691856222414566</v>
      </c>
      <c r="AA21" s="328">
        <f>[1]Margins!J22</f>
        <v>6.9186797681536238E-2</v>
      </c>
    </row>
    <row r="22" spans="1:27" ht="14">
      <c r="A22" s="325" t="str">
        <f>'[1]Master data'!A22</f>
        <v>Computers/Peripherals</v>
      </c>
      <c r="B22" s="143">
        <f>'[1]Master data'!B22</f>
        <v>46</v>
      </c>
      <c r="C22" s="326">
        <f>'[1]Hist Growth'!D22</f>
        <v>0.16677923076923079</v>
      </c>
      <c r="D22" s="326">
        <f>[1]Margins!F23</f>
        <v>0.20781899044489738</v>
      </c>
      <c r="E22" s="326">
        <f>'[1]Return on capital'!H22</f>
        <v>0.44928780657172351</v>
      </c>
      <c r="F22" s="326">
        <f>'[1]Tax rates'!H23</f>
        <v>0.13245520594073729</v>
      </c>
      <c r="G22" s="327">
        <f>[1]Beta!H25</f>
        <v>1.2487708944175273</v>
      </c>
      <c r="H22" s="327">
        <f>[1]Beta!C25</f>
        <v>1.2867471319469845</v>
      </c>
      <c r="I22" s="326">
        <f>[1]WACC!D33</f>
        <v>6.9658078394552139E-2</v>
      </c>
      <c r="J22" s="326">
        <f>[1]optvar!C27</f>
        <v>0.51273763968373698</v>
      </c>
      <c r="K22" s="326">
        <f>[1]WACC!G33</f>
        <v>3.5780000000000006E-2</v>
      </c>
      <c r="L22" s="326">
        <f>'[1]Debt fundamentals'!F22</f>
        <v>7.0429273759932118E-2</v>
      </c>
      <c r="M22" s="326">
        <f>[1]WACC!K33</f>
        <v>6.6591680894756589E-2</v>
      </c>
      <c r="N22" s="327">
        <f>'[1]Cap Ex'!J22</f>
        <v>2.2200505273495788</v>
      </c>
      <c r="O22" s="327">
        <f>[1]PS!E22</f>
        <v>5.3253351177239097</v>
      </c>
      <c r="P22" s="327">
        <f>[1]EVEBITDA!D23</f>
        <v>21.295026192846265</v>
      </c>
      <c r="Q22" s="327">
        <f>[1]EVEBITDA!E23</f>
        <v>25.45145802717278</v>
      </c>
      <c r="R22" s="327">
        <f>[1]PBV!C22</f>
        <v>26.29582063010281</v>
      </c>
      <c r="S22" s="327">
        <f>[1]PE!D22</f>
        <v>14.971174006661586</v>
      </c>
      <c r="T22" s="326">
        <f>'[1]Working capital'!F22</f>
        <v>-7.5542571721053012E-2</v>
      </c>
      <c r="U22" s="326">
        <f>'[1]Summary sheet uValue'!G31</f>
        <v>2.9913219162746994E-2</v>
      </c>
      <c r="V22" s="326">
        <f>'[1]Cap Ex'!H22</f>
        <v>8.1854773049743253E-3</v>
      </c>
      <c r="W22" s="326">
        <f>[1]fundgrEB!D22</f>
        <v>5.6146481819065279E-2</v>
      </c>
      <c r="X22" s="326">
        <f>[1]Fundgr!C22</f>
        <v>6.0787749754525958E-3</v>
      </c>
      <c r="Y22" s="326">
        <f>'[1]Dividend fundamentals'!E22</f>
        <v>0.14878865487095411</v>
      </c>
      <c r="Z22" s="326">
        <f>1-[1]Fundgr!D22</f>
        <v>0.14878865487095405</v>
      </c>
      <c r="AA22" s="328">
        <f>[1]Margins!J23</f>
        <v>0.21265023449268122</v>
      </c>
    </row>
    <row r="23" spans="1:27" ht="14">
      <c r="A23" s="325" t="str">
        <f>'[1]Master data'!A23</f>
        <v>Construction Supplies</v>
      </c>
      <c r="B23" s="143">
        <f>'[1]Master data'!B23</f>
        <v>48</v>
      </c>
      <c r="C23" s="326">
        <f>'[1]Hist Growth'!D23</f>
        <v>6.2764117647058831E-2</v>
      </c>
      <c r="D23" s="326">
        <f>[1]Margins!F24</f>
        <v>0.11029213342518208</v>
      </c>
      <c r="E23" s="326">
        <f>'[1]Return on capital'!H23</f>
        <v>0.12883946254290268</v>
      </c>
      <c r="F23" s="326">
        <f>'[1]Tax rates'!H24</f>
        <v>0.20975003613193138</v>
      </c>
      <c r="G23" s="327">
        <f>[1]Beta!H26</f>
        <v>0.97964859930627823</v>
      </c>
      <c r="H23" s="327">
        <f>[1]Beta!C26</f>
        <v>1.1085751411224292</v>
      </c>
      <c r="I23" s="326">
        <f>[1]WACC!D34</f>
        <v>6.2103585983590996E-2</v>
      </c>
      <c r="J23" s="326">
        <f>[1]optvar!C28</f>
        <v>0.40006447227811393</v>
      </c>
      <c r="K23" s="326">
        <f>[1]WACC!G34</f>
        <v>3.5780000000000006E-2</v>
      </c>
      <c r="L23" s="326">
        <f>'[1]Debt fundamentals'!F23</f>
        <v>0.21839418375642841</v>
      </c>
      <c r="M23" s="326">
        <f>[1]WACC!K34</f>
        <v>5.4244849057565131E-2</v>
      </c>
      <c r="N23" s="327">
        <f>'[1]Cap Ex'!J23</f>
        <v>1.3048658554564132</v>
      </c>
      <c r="O23" s="327">
        <f>[1]PS!E23</f>
        <v>2.3872531618696953</v>
      </c>
      <c r="P23" s="327">
        <f>[1]EVEBITDA!D24</f>
        <v>14.2635557367547</v>
      </c>
      <c r="Q23" s="327">
        <f>[1]EVEBITDA!E24</f>
        <v>21.059728499239323</v>
      </c>
      <c r="R23" s="327">
        <f>[1]PBV!C23</f>
        <v>3.767744619514608</v>
      </c>
      <c r="S23" s="327">
        <f>[1]PE!D23</f>
        <v>724.65519790540384</v>
      </c>
      <c r="T23" s="326">
        <f>'[1]Working capital'!F23</f>
        <v>0.19356390786933003</v>
      </c>
      <c r="U23" s="326">
        <f>'[1]Summary sheet uValue'!G32</f>
        <v>4.8365069241166979E-2</v>
      </c>
      <c r="V23" s="326">
        <f>'[1]Cap Ex'!H23</f>
        <v>3.4881347835597466E-2</v>
      </c>
      <c r="W23" s="326">
        <f>[1]fundgrEB!D23</f>
        <v>0.53345965809995133</v>
      </c>
      <c r="X23" s="326">
        <f>[1]Fundgr!C23</f>
        <v>0.17167331523406645</v>
      </c>
      <c r="Y23" s="326">
        <f>'[1]Dividend fundamentals'!E23</f>
        <v>0.36617357780271614</v>
      </c>
      <c r="Z23" s="326">
        <f>1-[1]Fundgr!D23</f>
        <v>0.3661735778027162</v>
      </c>
      <c r="AA23" s="328">
        <f>[1]Margins!J24</f>
        <v>0.11308934684254142</v>
      </c>
    </row>
    <row r="24" spans="1:27" ht="14">
      <c r="A24" s="325" t="str">
        <f>'[1]Master data'!A24</f>
        <v>Diversified</v>
      </c>
      <c r="B24" s="143">
        <f>'[1]Master data'!B24</f>
        <v>22</v>
      </c>
      <c r="C24" s="326">
        <f>'[1]Hist Growth'!D24</f>
        <v>2.7899999999999991E-3</v>
      </c>
      <c r="D24" s="326">
        <f>[1]Margins!F25</f>
        <v>0.30118942774804569</v>
      </c>
      <c r="E24" s="326">
        <f>'[1]Return on capital'!H24</f>
        <v>0.21445278008263535</v>
      </c>
      <c r="F24" s="326">
        <f>'[1]Tax rates'!H25</f>
        <v>0.19359373731754007</v>
      </c>
      <c r="G24" s="327">
        <f>[1]Beta!H27</f>
        <v>0.70214146215394413</v>
      </c>
      <c r="H24" s="327">
        <f>[1]Beta!C27</f>
        <v>0.75438848401831449</v>
      </c>
      <c r="I24" s="326">
        <f>[1]WACC!D35</f>
        <v>4.7086071722376534E-2</v>
      </c>
      <c r="J24" s="326">
        <f>[1]optvar!C29</f>
        <v>0.30110983992728102</v>
      </c>
      <c r="K24" s="326">
        <f>[1]WACC!G35</f>
        <v>3.1600000000000003E-2</v>
      </c>
      <c r="L24" s="326">
        <f>'[1]Debt fundamentals'!F24</f>
        <v>0.18447898233232274</v>
      </c>
      <c r="M24" s="326">
        <f>[1]WACC!K35</f>
        <v>4.2655242293447769E-2</v>
      </c>
      <c r="N24" s="327">
        <f>'[1]Cap Ex'!J24</f>
        <v>0.77012759819501808</v>
      </c>
      <c r="O24" s="327">
        <f>[1]PS!E24</f>
        <v>2.8132805304609394</v>
      </c>
      <c r="P24" s="327">
        <f>[1]EVEBITDA!D25</f>
        <v>7.8938901936743706</v>
      </c>
      <c r="Q24" s="327">
        <f>[1]EVEBITDA!E25</f>
        <v>9.2777804235126897</v>
      </c>
      <c r="R24" s="327">
        <f>[1]PBV!C24</f>
        <v>1.8830440402462105</v>
      </c>
      <c r="S24" s="327">
        <f>[1]PE!D24</f>
        <v>103.87660382498588</v>
      </c>
      <c r="T24" s="326">
        <f>'[1]Working capital'!F24</f>
        <v>5.2770977965869902E-2</v>
      </c>
      <c r="U24" s="326">
        <f>'[1]Summary sheet uValue'!G33</f>
        <v>4.1839327443146751E-2</v>
      </c>
      <c r="V24" s="326">
        <f>'[1]Cap Ex'!H24</f>
        <v>5.0326022654564847E-3</v>
      </c>
      <c r="W24" s="326">
        <f>[1]fundgrEB!D24</f>
        <v>4.2027835029993778E-2</v>
      </c>
      <c r="X24" s="326">
        <f>[1]Fundgr!C24</f>
        <v>0.19915920520445385</v>
      </c>
      <c r="Y24" s="326">
        <f>'[1]Dividend fundamentals'!E24</f>
        <v>6.9642217543371562E-2</v>
      </c>
      <c r="Z24" s="326">
        <f>1-[1]Fundgr!D24</f>
        <v>6.9642217543371521E-2</v>
      </c>
      <c r="AA24" s="328">
        <f>[1]Margins!J25</f>
        <v>0.30034213984825414</v>
      </c>
    </row>
    <row r="25" spans="1:27" ht="14">
      <c r="A25" s="325" t="str">
        <f>'[1]Master data'!A25</f>
        <v>Drugs (Biotechnology)</v>
      </c>
      <c r="B25" s="143">
        <f>'[1]Master data'!B25</f>
        <v>581</v>
      </c>
      <c r="C25" s="326">
        <f>'[1]Hist Growth'!D25</f>
        <v>0.30857304635761579</v>
      </c>
      <c r="D25" s="326">
        <f>[1]Margins!F26</f>
        <v>0.12365366003001257</v>
      </c>
      <c r="E25" s="326">
        <f>'[1]Return on capital'!H25</f>
        <v>7.296867473417544E-2</v>
      </c>
      <c r="F25" s="326">
        <f>'[1]Tax rates'!H26</f>
        <v>0.11384166004103695</v>
      </c>
      <c r="G25" s="327">
        <f>[1]Beta!H28</f>
        <v>0.97223289569428162</v>
      </c>
      <c r="H25" s="327">
        <f>[1]Beta!C28</f>
        <v>0.99294902726016787</v>
      </c>
      <c r="I25" s="326">
        <f>[1]WACC!D36</f>
        <v>5.7201038755831123E-2</v>
      </c>
      <c r="J25" s="326">
        <f>[1]optvar!C30</f>
        <v>0.5079855471721394</v>
      </c>
      <c r="K25" s="326">
        <f>[1]WACC!G36</f>
        <v>3.5780000000000006E-2</v>
      </c>
      <c r="L25" s="326">
        <f>'[1]Debt fundamentals'!F25</f>
        <v>0.13269339738553126</v>
      </c>
      <c r="M25" s="326">
        <f>[1]WACC!K36</f>
        <v>5.3076710513010092E-2</v>
      </c>
      <c r="N25" s="327">
        <f>'[1]Cap Ex'!J25</f>
        <v>0.46587286877396167</v>
      </c>
      <c r="O25" s="327">
        <f>[1]PS!E25</f>
        <v>7.0623570816564314</v>
      </c>
      <c r="P25" s="327">
        <f>[1]EVEBITDA!D26</f>
        <v>11.293150084120308</v>
      </c>
      <c r="Q25" s="327">
        <f>[1]EVEBITDA!E26</f>
        <v>40.418232418491129</v>
      </c>
      <c r="R25" s="327">
        <f>[1]PBV!C25</f>
        <v>5.9904596350033614</v>
      </c>
      <c r="S25" s="327">
        <f>[1]PE!D25</f>
        <v>321.36474406364664</v>
      </c>
      <c r="T25" s="326">
        <f>'[1]Working capital'!F25</f>
        <v>0.12788535492021938</v>
      </c>
      <c r="U25" s="326">
        <f>'[1]Summary sheet uValue'!G34</f>
        <v>3.6157216789992369E-2</v>
      </c>
      <c r="V25" s="326">
        <f>'[1]Cap Ex'!H25</f>
        <v>0.11657775382286556</v>
      </c>
      <c r="W25" s="326">
        <f>[1]fundgrEB!D25</f>
        <v>1.7986240160253026</v>
      </c>
      <c r="X25" s="326">
        <f>[1]Fundgr!C25</f>
        <v>-7.6435640924502569E-3</v>
      </c>
      <c r="Y25" s="326">
        <f>'[1]Dividend fundamentals'!E25</f>
        <v>5.971902776838484E-4</v>
      </c>
      <c r="Z25" s="326">
        <f>1-[1]Fundgr!D25</f>
        <v>5.9719027768390109E-4</v>
      </c>
      <c r="AA25" s="328">
        <f>[1]Margins!J26</f>
        <v>0.15727471152263436</v>
      </c>
    </row>
    <row r="26" spans="1:27" ht="14">
      <c r="A26" s="325" t="str">
        <f>'[1]Master data'!A26</f>
        <v>Drugs (Pharmaceutical)</v>
      </c>
      <c r="B26" s="143">
        <f>'[1]Master data'!B26</f>
        <v>298</v>
      </c>
      <c r="C26" s="326">
        <f>'[1]Hist Growth'!D26</f>
        <v>0.42848128571428584</v>
      </c>
      <c r="D26" s="326">
        <f>[1]Margins!F27</f>
        <v>0.24710291103674209</v>
      </c>
      <c r="E26" s="326">
        <f>'[1]Return on capital'!H26</f>
        <v>0.19664317425763292</v>
      </c>
      <c r="F26" s="326">
        <f>'[1]Tax rates'!H27</f>
        <v>0.11527435280898106</v>
      </c>
      <c r="G26" s="327">
        <f>[1]Beta!H29</f>
        <v>1.009823573553889</v>
      </c>
      <c r="H26" s="327">
        <f>[1]Beta!C29</f>
        <v>1.0762958947157115</v>
      </c>
      <c r="I26" s="326">
        <f>[1]WACC!D37</f>
        <v>6.0734945935946173E-2</v>
      </c>
      <c r="J26" s="326">
        <f>[1]optvar!C31</f>
        <v>0.56166469538744046</v>
      </c>
      <c r="K26" s="326">
        <f>[1]WACC!G37</f>
        <v>3.5780000000000006E-2</v>
      </c>
      <c r="L26" s="326">
        <f>'[1]Debt fundamentals'!F26</f>
        <v>0.12808851158804524</v>
      </c>
      <c r="M26" s="326">
        <f>[1]WACC!K37</f>
        <v>5.6301092179203226E-2</v>
      </c>
      <c r="N26" s="327">
        <f>'[1]Cap Ex'!J26</f>
        <v>0.68701807771328427</v>
      </c>
      <c r="O26" s="327">
        <f>[1]PS!E26</f>
        <v>5.2483329422781493</v>
      </c>
      <c r="P26" s="327">
        <f>[1]EVEBITDA!D27</f>
        <v>13.672559552950027</v>
      </c>
      <c r="Q26" s="327">
        <f>[1]EVEBITDA!E27</f>
        <v>20.676124610229575</v>
      </c>
      <c r="R26" s="327">
        <f>[1]PBV!C26</f>
        <v>5.4280931848592111</v>
      </c>
      <c r="S26" s="327">
        <f>[1]PE!D26</f>
        <v>45.690271187691891</v>
      </c>
      <c r="T26" s="326">
        <f>'[1]Working capital'!F26</f>
        <v>0.18446278001920222</v>
      </c>
      <c r="U26" s="326">
        <f>'[1]Summary sheet uValue'!G35</f>
        <v>4.8924332510238082E-2</v>
      </c>
      <c r="V26" s="326">
        <f>'[1]Cap Ex'!H26</f>
        <v>7.4381373826675076E-2</v>
      </c>
      <c r="W26" s="326">
        <f>[1]fundgrEB!D26</f>
        <v>0.34996651687167341</v>
      </c>
      <c r="X26" s="326">
        <f>[1]Fundgr!C26</f>
        <v>0.14554293754278125</v>
      </c>
      <c r="Y26" s="326">
        <f>'[1]Dividend fundamentals'!E26</f>
        <v>0.89358894920115328</v>
      </c>
      <c r="Z26" s="326">
        <f>1-[1]Fundgr!D26</f>
        <v>0.89358894920115328</v>
      </c>
      <c r="AA26" s="328">
        <f>[1]Margins!J27</f>
        <v>0.29160845374000677</v>
      </c>
    </row>
    <row r="27" spans="1:27" ht="14">
      <c r="A27" s="325" t="str">
        <f>'[1]Master data'!A27</f>
        <v>Education</v>
      </c>
      <c r="B27" s="143">
        <f>'[1]Master data'!B27</f>
        <v>35</v>
      </c>
      <c r="C27" s="326">
        <f>'[1]Hist Growth'!D27</f>
        <v>8.1042105263157867E-3</v>
      </c>
      <c r="D27" s="326">
        <f>[1]Margins!F28</f>
        <v>5.9240007540373535E-2</v>
      </c>
      <c r="E27" s="326">
        <f>'[1]Return on capital'!H27</f>
        <v>7.1039438052417261E-2</v>
      </c>
      <c r="F27" s="326">
        <f>'[1]Tax rates'!H28</f>
        <v>0.23237923521899179</v>
      </c>
      <c r="G27" s="327">
        <f>[1]Beta!H30</f>
        <v>1.1033169078612295</v>
      </c>
      <c r="H27" s="327">
        <f>[1]Beta!C30</f>
        <v>1.126079034173197</v>
      </c>
      <c r="I27" s="326">
        <f>[1]WACC!D38</f>
        <v>6.2845751048943549E-2</v>
      </c>
      <c r="J27" s="326">
        <f>[1]optvar!C32</f>
        <v>0.41501556570085196</v>
      </c>
      <c r="K27" s="326">
        <f>[1]WACC!G38</f>
        <v>3.5780000000000006E-2</v>
      </c>
      <c r="L27" s="326">
        <f>'[1]Debt fundamentals'!F27</f>
        <v>0.20447798731214575</v>
      </c>
      <c r="M27" s="326">
        <f>[1]WACC!K38</f>
        <v>5.5336020705136255E-2</v>
      </c>
      <c r="N27" s="327">
        <f>'[1]Cap Ex'!J27</f>
        <v>1.1661647140638345</v>
      </c>
      <c r="O27" s="327">
        <f>[1]PS!E27</f>
        <v>2.7243369910977386</v>
      </c>
      <c r="P27" s="327">
        <f>[1]EVEBITDA!D28</f>
        <v>12.339348139137961</v>
      </c>
      <c r="Q27" s="327">
        <f>[1]EVEBITDA!E28</f>
        <v>38.926289800982829</v>
      </c>
      <c r="R27" s="327">
        <f>[1]PBV!C27</f>
        <v>2.3530698386072464</v>
      </c>
      <c r="S27" s="327">
        <f>[1]PE!D27</f>
        <v>1160.4039150093456</v>
      </c>
      <c r="T27" s="326">
        <f>'[1]Working capital'!F27</f>
        <v>4.2063716616127581E-2</v>
      </c>
      <c r="U27" s="326">
        <f>'[1]Summary sheet uValue'!G36</f>
        <v>4.9275089116899796E-2</v>
      </c>
      <c r="V27" s="326">
        <f>'[1]Cap Ex'!H27</f>
        <v>0.20103861638510304</v>
      </c>
      <c r="W27" s="326">
        <f>[1]fundgrEB!D27</f>
        <v>6.019560494798216</v>
      </c>
      <c r="X27" s="326">
        <f>[1]Fundgr!C27</f>
        <v>8.6105043687177488E-2</v>
      </c>
      <c r="Y27" s="326">
        <f>'[1]Dividend fundamentals'!E27</f>
        <v>7.1086477059985123E-2</v>
      </c>
      <c r="Z27" s="326">
        <f>1-[1]Fundgr!D27</f>
        <v>7.1086477059985165E-2</v>
      </c>
      <c r="AA27" s="328">
        <f>[1]Margins!J28</f>
        <v>6.5049146478934478E-2</v>
      </c>
    </row>
    <row r="28" spans="1:27" ht="14">
      <c r="A28" s="325" t="str">
        <f>'[1]Master data'!A28</f>
        <v>Electrical Equipment</v>
      </c>
      <c r="B28" s="143">
        <f>'[1]Master data'!B28</f>
        <v>104</v>
      </c>
      <c r="C28" s="326">
        <f>'[1]Hist Growth'!D28</f>
        <v>5.8357800000000022E-2</v>
      </c>
      <c r="D28" s="326">
        <f>[1]Margins!F29</f>
        <v>0.11398697401131071</v>
      </c>
      <c r="E28" s="326">
        <f>'[1]Return on capital'!H28</f>
        <v>0.22779416201485914</v>
      </c>
      <c r="F28" s="326">
        <f>'[1]Tax rates'!H29</f>
        <v>0.19035540509956009</v>
      </c>
      <c r="G28" s="327">
        <f>[1]Beta!H31</f>
        <v>1.194327330306878</v>
      </c>
      <c r="H28" s="327">
        <f>[1]Beta!C31</f>
        <v>1.2454054723858043</v>
      </c>
      <c r="I28" s="326">
        <f>[1]WACC!D39</f>
        <v>6.790519202915811E-2</v>
      </c>
      <c r="J28" s="326">
        <f>[1]optvar!C33</f>
        <v>0.57659079263901347</v>
      </c>
      <c r="K28" s="326">
        <f>[1]WACC!G39</f>
        <v>3.5780000000000006E-2</v>
      </c>
      <c r="L28" s="326">
        <f>'[1]Debt fundamentals'!F28</f>
        <v>0.12042591406402683</v>
      </c>
      <c r="M28" s="326">
        <f>[1]WACC!K39</f>
        <v>6.2873099829157411E-2</v>
      </c>
      <c r="N28" s="327">
        <f>'[1]Cap Ex'!J28</f>
        <v>1.9942148956468577</v>
      </c>
      <c r="O28" s="327">
        <f>[1]PS!E28</f>
        <v>3.9832259726714434</v>
      </c>
      <c r="P28" s="327">
        <f>[1]EVEBITDA!D29</f>
        <v>17.193823369165901</v>
      </c>
      <c r="Q28" s="327">
        <f>[1]EVEBITDA!E29</f>
        <v>28.244398665313884</v>
      </c>
      <c r="R28" s="327">
        <f>[1]PBV!C28</f>
        <v>5.1700413157553093</v>
      </c>
      <c r="S28" s="327">
        <f>[1]PE!D28</f>
        <v>52.413469823848487</v>
      </c>
      <c r="T28" s="326">
        <f>'[1]Working capital'!F28</f>
        <v>0.2249749336089813</v>
      </c>
      <c r="U28" s="326">
        <f>'[1]Summary sheet uValue'!G37</f>
        <v>4.7906583117685954E-2</v>
      </c>
      <c r="V28" s="326">
        <f>'[1]Cap Ex'!H28</f>
        <v>0.11528005561647856</v>
      </c>
      <c r="W28" s="326">
        <f>[1]fundgrEB!D28</f>
        <v>1.579985232703484</v>
      </c>
      <c r="X28" s="326">
        <f>[1]Fundgr!C28</f>
        <v>0.16796511086558039</v>
      </c>
      <c r="Y28" s="326">
        <f>'[1]Dividend fundamentals'!E28</f>
        <v>0.46146851807066186</v>
      </c>
      <c r="Z28" s="326">
        <f>1-[1]Fundgr!D28</f>
        <v>0.46146851807066191</v>
      </c>
      <c r="AA28" s="328">
        <f>[1]Margins!J29</f>
        <v>0.12000992841911086</v>
      </c>
    </row>
    <row r="29" spans="1:27" ht="14">
      <c r="A29" s="325" t="str">
        <f>'[1]Master data'!A29</f>
        <v>Electronics (Consumer &amp; Office)</v>
      </c>
      <c r="B29" s="143">
        <f>'[1]Master data'!B29</f>
        <v>16</v>
      </c>
      <c r="C29" s="326">
        <f>'[1]Hist Growth'!D29</f>
        <v>1.4990999999999997E-2</v>
      </c>
      <c r="D29" s="326">
        <f>[1]Margins!F30</f>
        <v>4.8005617958487568E-2</v>
      </c>
      <c r="E29" s="326">
        <f>'[1]Return on capital'!H29</f>
        <v>0.18322191946470803</v>
      </c>
      <c r="F29" s="326">
        <f>'[1]Tax rates'!H30</f>
        <v>0.1178168298917928</v>
      </c>
      <c r="G29" s="327">
        <f>[1]Beta!H32</f>
        <v>1.0571596798644427</v>
      </c>
      <c r="H29" s="327">
        <f>[1]Beta!C32</f>
        <v>0.97597157996844286</v>
      </c>
      <c r="I29" s="326">
        <f>[1]WACC!D40</f>
        <v>5.6481194990661981E-2</v>
      </c>
      <c r="J29" s="326">
        <f>[1]optvar!C34</f>
        <v>0.52537778573309879</v>
      </c>
      <c r="K29" s="326">
        <f>[1]WACC!G40</f>
        <v>3.5780000000000006E-2</v>
      </c>
      <c r="L29" s="326">
        <f>'[1]Debt fundamentals'!F29</f>
        <v>7.076964095583084E-2</v>
      </c>
      <c r="M29" s="326">
        <f>[1]WACC!K40</f>
        <v>5.433250166039829E-2</v>
      </c>
      <c r="N29" s="327">
        <f>'[1]Cap Ex'!J29</f>
        <v>3.4260217236447734</v>
      </c>
      <c r="O29" s="327">
        <f>[1]PS!E29</f>
        <v>1.5490091492313445</v>
      </c>
      <c r="P29" s="327">
        <f>[1]EVEBITDA!D30</f>
        <v>18.949247606224333</v>
      </c>
      <c r="Q29" s="327">
        <f>[1]EVEBITDA!E30</f>
        <v>29.613941144772536</v>
      </c>
      <c r="R29" s="327">
        <f>[1]PBV!C29</f>
        <v>3.9670137521669018</v>
      </c>
      <c r="S29" s="327">
        <f>[1]PE!D29</f>
        <v>107.94240751866589</v>
      </c>
      <c r="T29" s="326">
        <f>'[1]Working capital'!F29</f>
        <v>9.3768119576836464E-2</v>
      </c>
      <c r="U29" s="326">
        <f>'[1]Summary sheet uValue'!G38</f>
        <v>1.1915250710209461E-2</v>
      </c>
      <c r="V29" s="326">
        <f>'[1]Cap Ex'!H29</f>
        <v>2.7864748733959785E-3</v>
      </c>
      <c r="W29" s="326">
        <f>[1]fundgrEB!D29</f>
        <v>0.22827356695664941</v>
      </c>
      <c r="X29" s="326">
        <f>[1]Fundgr!C29</f>
        <v>0.43574200332134433</v>
      </c>
      <c r="Y29" s="326">
        <f>'[1]Dividend fundamentals'!E29</f>
        <v>0</v>
      </c>
      <c r="Z29" s="326">
        <f>1-[1]Fundgr!D29</f>
        <v>0</v>
      </c>
      <c r="AA29" s="328">
        <f>[1]Margins!J30</f>
        <v>5.5903488980331525E-2</v>
      </c>
    </row>
    <row r="30" spans="1:27" ht="14">
      <c r="A30" s="325" t="str">
        <f>'[1]Master data'!A30</f>
        <v>Electronics (General)</v>
      </c>
      <c r="B30" s="143">
        <f>'[1]Master data'!B30</f>
        <v>137</v>
      </c>
      <c r="C30" s="326">
        <f>'[1]Hist Growth'!D30</f>
        <v>8.4135340909090889E-2</v>
      </c>
      <c r="D30" s="326">
        <f>[1]Margins!F31</f>
        <v>0.10370570494103791</v>
      </c>
      <c r="E30" s="326">
        <f>'[1]Return on capital'!H30</f>
        <v>0.1759277637880885</v>
      </c>
      <c r="F30" s="326">
        <f>'[1]Tax rates'!H31</f>
        <v>0.17877330934381025</v>
      </c>
      <c r="G30" s="327">
        <f>[1]Beta!H33</f>
        <v>1.051017267647953</v>
      </c>
      <c r="H30" s="327">
        <f>[1]Beta!C33</f>
        <v>1.0852813664904801</v>
      </c>
      <c r="I30" s="326">
        <f>[1]WACC!D41</f>
        <v>6.1115929939196359E-2</v>
      </c>
      <c r="J30" s="326">
        <f>[1]optvar!C35</f>
        <v>0.43445536743726587</v>
      </c>
      <c r="K30" s="326">
        <f>[1]WACC!G41</f>
        <v>3.5780000000000006E-2</v>
      </c>
      <c r="L30" s="326">
        <f>'[1]Debt fundamentals'!F30</f>
        <v>0.11308584662139191</v>
      </c>
      <c r="M30" s="326">
        <f>[1]WACC!K41</f>
        <v>5.7158317722211451E-2</v>
      </c>
      <c r="N30" s="327">
        <f>'[1]Cap Ex'!J30</f>
        <v>1.7722109829539454</v>
      </c>
      <c r="O30" s="327">
        <f>[1]PS!E30</f>
        <v>2.8771362941957106</v>
      </c>
      <c r="P30" s="327">
        <f>[1]EVEBITDA!D31</f>
        <v>16.64522004277508</v>
      </c>
      <c r="Q30" s="327">
        <f>[1]EVEBITDA!E31</f>
        <v>26.428938020831584</v>
      </c>
      <c r="R30" s="327">
        <f>[1]PBV!C30</f>
        <v>4.5442742953027606</v>
      </c>
      <c r="S30" s="327">
        <f>[1]PE!D30</f>
        <v>36.621099062306612</v>
      </c>
      <c r="T30" s="326">
        <f>'[1]Working capital'!F30</f>
        <v>0.21186088358680161</v>
      </c>
      <c r="U30" s="326">
        <f>'[1]Summary sheet uValue'!G39</f>
        <v>3.8825554760998554E-2</v>
      </c>
      <c r="V30" s="326">
        <f>'[1]Cap Ex'!H30</f>
        <v>8.8710138185713966E-2</v>
      </c>
      <c r="W30" s="326">
        <f>[1]fundgrEB!D30</f>
        <v>1.1570439501300913</v>
      </c>
      <c r="X30" s="326">
        <f>[1]Fundgr!C30</f>
        <v>0.14723847193373082</v>
      </c>
      <c r="Y30" s="326">
        <f>'[1]Dividend fundamentals'!E30</f>
        <v>0.18464386708341959</v>
      </c>
      <c r="Z30" s="326">
        <f>1-[1]Fundgr!D30</f>
        <v>0.18464386708341962</v>
      </c>
      <c r="AA30" s="328">
        <f>[1]Margins!J31</f>
        <v>0.10620011016177319</v>
      </c>
    </row>
    <row r="31" spans="1:27" ht="14">
      <c r="A31" s="325" t="str">
        <f>'[1]Master data'!A31</f>
        <v>Engineering/Construction</v>
      </c>
      <c r="B31" s="143">
        <f>'[1]Master data'!B31</f>
        <v>48</v>
      </c>
      <c r="C31" s="326">
        <f>'[1]Hist Growth'!D31</f>
        <v>8.8280370370370398E-2</v>
      </c>
      <c r="D31" s="326">
        <f>[1]Margins!F32</f>
        <v>4.6961411489677619E-2</v>
      </c>
      <c r="E31" s="326">
        <f>'[1]Return on capital'!H31</f>
        <v>0.15987763647324238</v>
      </c>
      <c r="F31" s="326">
        <f>'[1]Tax rates'!H32</f>
        <v>0.23480933220126257</v>
      </c>
      <c r="G31" s="327">
        <f>[1]Beta!H34</f>
        <v>0.97396252486347068</v>
      </c>
      <c r="H31" s="327">
        <f>[1]Beta!C34</f>
        <v>1.0580888104396409</v>
      </c>
      <c r="I31" s="326">
        <f>[1]WACC!D42</f>
        <v>5.9962965562640774E-2</v>
      </c>
      <c r="J31" s="326">
        <f>[1]optvar!C36</f>
        <v>0.36356045751846738</v>
      </c>
      <c r="K31" s="326">
        <f>[1]WACC!G42</f>
        <v>3.1600000000000003E-2</v>
      </c>
      <c r="L31" s="326">
        <f>'[1]Debt fundamentals'!F31</f>
        <v>0.20377752312783592</v>
      </c>
      <c r="M31" s="326">
        <f>[1]WACC!K42</f>
        <v>5.2444600864399032E-2</v>
      </c>
      <c r="N31" s="327">
        <f>'[1]Cap Ex'!J31</f>
        <v>3.7332771422548046</v>
      </c>
      <c r="O31" s="327">
        <f>[1]PS!E31</f>
        <v>1.0588647442769681</v>
      </c>
      <c r="P31" s="327">
        <f>[1]EVEBITDA!D32</f>
        <v>12.631698455294885</v>
      </c>
      <c r="Q31" s="327">
        <f>[1]EVEBITDA!E32</f>
        <v>21.228405226776093</v>
      </c>
      <c r="R31" s="327">
        <f>[1]PBV!C31</f>
        <v>2.96228686853703</v>
      </c>
      <c r="S31" s="327">
        <f>[1]PE!D31</f>
        <v>65.908637533714554</v>
      </c>
      <c r="T31" s="326">
        <f>'[1]Working capital'!F31</f>
        <v>0.19557836366077502</v>
      </c>
      <c r="U31" s="326">
        <f>'[1]Summary sheet uValue'!G40</f>
        <v>2.1909562621428239E-2</v>
      </c>
      <c r="V31" s="326">
        <f>'[1]Cap Ex'!H31</f>
        <v>3.6036292233331761E-2</v>
      </c>
      <c r="W31" s="326">
        <f>[1]fundgrEB!D31</f>
        <v>0.97505386301888208</v>
      </c>
      <c r="X31" s="326">
        <f>[1]Fundgr!C31</f>
        <v>6.4844023995720673E-2</v>
      </c>
      <c r="Y31" s="326">
        <f>'[1]Dividend fundamentals'!E31</f>
        <v>8.819388877707364E-2</v>
      </c>
      <c r="Z31" s="326">
        <f>1-[1]Fundgr!D31</f>
        <v>8.8193888777073681E-2</v>
      </c>
      <c r="AA31" s="328">
        <f>[1]Margins!J32</f>
        <v>4.952264102914105E-2</v>
      </c>
    </row>
    <row r="32" spans="1:27" ht="14">
      <c r="A32" s="325" t="str">
        <f>'[1]Master data'!A32</f>
        <v>Entertainment</v>
      </c>
      <c r="B32" s="143">
        <f>'[1]Master data'!B32</f>
        <v>108</v>
      </c>
      <c r="C32" s="326">
        <f>'[1]Hist Growth'!D32</f>
        <v>0.2261333333333333</v>
      </c>
      <c r="D32" s="326">
        <f>[1]Margins!F33</f>
        <v>8.672145850547959E-2</v>
      </c>
      <c r="E32" s="326">
        <f>'[1]Return on capital'!H32</f>
        <v>0.10060434495742451</v>
      </c>
      <c r="F32" s="326">
        <f>'[1]Tax rates'!H33</f>
        <v>0.12543963380867215</v>
      </c>
      <c r="G32" s="327">
        <f>[1]Beta!H35</f>
        <v>0.96424847628751709</v>
      </c>
      <c r="H32" s="327">
        <f>[1]Beta!C35</f>
        <v>1.0122823301704778</v>
      </c>
      <c r="I32" s="326">
        <f>[1]WACC!D43</f>
        <v>5.8020770799228259E-2</v>
      </c>
      <c r="J32" s="326">
        <f>[1]optvar!C37</f>
        <v>0.59629361364356803</v>
      </c>
      <c r="K32" s="326">
        <f>[1]WACC!G43</f>
        <v>3.5780000000000006E-2</v>
      </c>
      <c r="L32" s="326">
        <f>'[1]Debt fundamentals'!F32</f>
        <v>0.13219508579706588</v>
      </c>
      <c r="M32" s="326">
        <f>[1]WACC!K43</f>
        <v>5.3803566349380272E-2</v>
      </c>
      <c r="N32" s="327">
        <f>'[1]Cap Ex'!J32</f>
        <v>1.1785449446309404</v>
      </c>
      <c r="O32" s="327">
        <f>[1]PS!E32</f>
        <v>6.3733576747704861</v>
      </c>
      <c r="P32" s="327">
        <f>[1]EVEBITDA!D33</f>
        <v>31.58189491543606</v>
      </c>
      <c r="Q32" s="327">
        <f>[1]EVEBITDA!E33</f>
        <v>70.464772437215231</v>
      </c>
      <c r="R32" s="327">
        <f>[1]PBV!C32</f>
        <v>5.1338949506772273</v>
      </c>
      <c r="S32" s="327">
        <f>[1]PE!D32</f>
        <v>765.05807360112749</v>
      </c>
      <c r="T32" s="326">
        <f>'[1]Working capital'!F32</f>
        <v>-1.0437623411786413E-3</v>
      </c>
      <c r="U32" s="326">
        <f>'[1]Summary sheet uValue'!G41</f>
        <v>3.9602982623345377E-2</v>
      </c>
      <c r="V32" s="326">
        <f>'[1]Cap Ex'!H32</f>
        <v>2.6765282774130712E-2</v>
      </c>
      <c r="W32" s="326">
        <f>[1]fundgrEB!D32</f>
        <v>0.40885508938398435</v>
      </c>
      <c r="X32" s="326">
        <f>[1]Fundgr!C32</f>
        <v>4.2760027263897285E-2</v>
      </c>
      <c r="Y32" s="326">
        <f>'[1]Dividend fundamentals'!E32</f>
        <v>0.15925247935369477</v>
      </c>
      <c r="Z32" s="326">
        <f>1-[1]Fundgr!D32</f>
        <v>0.1592524793536948</v>
      </c>
      <c r="AA32" s="328">
        <f>[1]Margins!J33</f>
        <v>8.7486503470430826E-2</v>
      </c>
    </row>
    <row r="33" spans="1:27" ht="14">
      <c r="A33" s="325" t="str">
        <f>'[1]Master data'!A33</f>
        <v>Environmental &amp; Waste Services</v>
      </c>
      <c r="B33" s="143">
        <f>'[1]Master data'!B33</f>
        <v>58</v>
      </c>
      <c r="C33" s="326">
        <f>'[1]Hist Growth'!D33</f>
        <v>-4.0159999999999996E-3</v>
      </c>
      <c r="D33" s="326">
        <f>[1]Margins!F34</f>
        <v>0.12938418325929246</v>
      </c>
      <c r="E33" s="326">
        <f>'[1]Return on capital'!H33</f>
        <v>0.25562620813160908</v>
      </c>
      <c r="F33" s="326">
        <f>'[1]Tax rates'!H34</f>
        <v>0.21818387373513298</v>
      </c>
      <c r="G33" s="327">
        <f>[1]Beta!H36</f>
        <v>1.0861829799643721</v>
      </c>
      <c r="H33" s="327">
        <f>[1]Beta!C36</f>
        <v>1.2403337750925647</v>
      </c>
      <c r="I33" s="326">
        <f>[1]WACC!D44</f>
        <v>6.7690152063924744E-2</v>
      </c>
      <c r="J33" s="326">
        <f>[1]optvar!C38</f>
        <v>0.4301364050735858</v>
      </c>
      <c r="K33" s="326">
        <f>[1]WACC!G44</f>
        <v>3.5780000000000006E-2</v>
      </c>
      <c r="L33" s="326">
        <f>'[1]Debt fundamentals'!F33</f>
        <v>0.17263081283185136</v>
      </c>
      <c r="M33" s="326">
        <f>[1]WACC!K44</f>
        <v>6.0513759345098055E-2</v>
      </c>
      <c r="N33" s="327">
        <f>'[1]Cap Ex'!J33</f>
        <v>2.0720732792720238</v>
      </c>
      <c r="O33" s="327">
        <f>[1]PS!E33</f>
        <v>3.6296446738720514</v>
      </c>
      <c r="P33" s="327">
        <f>[1]EVEBITDA!D34</f>
        <v>15.965136171249092</v>
      </c>
      <c r="Q33" s="327">
        <f>[1]EVEBITDA!E34</f>
        <v>27.379811752489427</v>
      </c>
      <c r="R33" s="327">
        <f>[1]PBV!C33</f>
        <v>5.7785799583729256</v>
      </c>
      <c r="S33" s="327">
        <f>[1]PE!D33</f>
        <v>46.330928174741544</v>
      </c>
      <c r="T33" s="326">
        <f>'[1]Working capital'!F33</f>
        <v>9.747515801266976E-2</v>
      </c>
      <c r="U33" s="326">
        <f>'[1]Summary sheet uValue'!G42</f>
        <v>6.5461932196304681E-2</v>
      </c>
      <c r="V33" s="326">
        <f>'[1]Cap Ex'!H33</f>
        <v>0.1115364767591214</v>
      </c>
      <c r="W33" s="326">
        <f>[1]fundgrEB!D33</f>
        <v>1.0956452120289293</v>
      </c>
      <c r="X33" s="326">
        <f>[1]Fundgr!C33</f>
        <v>0.1394749145823671</v>
      </c>
      <c r="Y33" s="326">
        <f>'[1]Dividend fundamentals'!E33</f>
        <v>0.46475707982001019</v>
      </c>
      <c r="Z33" s="326">
        <f>1-[1]Fundgr!D33</f>
        <v>0.46475707982001024</v>
      </c>
      <c r="AA33" s="328">
        <f>[1]Margins!J34</f>
        <v>0.13110672615427565</v>
      </c>
    </row>
    <row r="34" spans="1:27" ht="14">
      <c r="A34" s="325" t="str">
        <f>'[1]Master data'!A34</f>
        <v>Farming/Agriculture</v>
      </c>
      <c r="B34" s="143">
        <f>'[1]Master data'!B34</f>
        <v>36</v>
      </c>
      <c r="C34" s="326">
        <f>'[1]Hist Growth'!D34</f>
        <v>6.8413124999999991E-2</v>
      </c>
      <c r="D34" s="326">
        <f>[1]Margins!F35</f>
        <v>7.5030516577131112E-2</v>
      </c>
      <c r="E34" s="326">
        <f>'[1]Return on capital'!H34</f>
        <v>0.13475605638470328</v>
      </c>
      <c r="F34" s="326">
        <f>'[1]Tax rates'!H35</f>
        <v>0.19229116458185852</v>
      </c>
      <c r="G34" s="327">
        <f>[1]Beta!H37</f>
        <v>0.84786520692470635</v>
      </c>
      <c r="H34" s="327">
        <f>[1]Beta!C37</f>
        <v>1.0303173351336656</v>
      </c>
      <c r="I34" s="326">
        <f>[1]WACC!D45</f>
        <v>5.8785455009667427E-2</v>
      </c>
      <c r="J34" s="326">
        <f>[1]optvar!C39</f>
        <v>0.46445615850244931</v>
      </c>
      <c r="K34" s="326">
        <f>[1]WACC!G45</f>
        <v>3.5780000000000006E-2</v>
      </c>
      <c r="L34" s="326">
        <f>'[1]Debt fundamentals'!F34</f>
        <v>0.26910917921156402</v>
      </c>
      <c r="M34" s="326">
        <f>[1]WACC!K45</f>
        <v>4.9994719757936026E-2</v>
      </c>
      <c r="N34" s="327">
        <f>'[1]Cap Ex'!J34</f>
        <v>1.907826667089048</v>
      </c>
      <c r="O34" s="327">
        <f>[1]PS!E34</f>
        <v>1.2646838800022255</v>
      </c>
      <c r="P34" s="327">
        <f>[1]EVEBITDA!D35</f>
        <v>12.871909160740035</v>
      </c>
      <c r="Q34" s="327">
        <f>[1]EVEBITDA!E35</f>
        <v>16.353163936655104</v>
      </c>
      <c r="R34" s="327">
        <f>[1]PBV!C34</f>
        <v>3.2342886944057079</v>
      </c>
      <c r="S34" s="327">
        <f>[1]PE!D34</f>
        <v>31.20977029451694</v>
      </c>
      <c r="T34" s="326">
        <f>'[1]Working capital'!F34</f>
        <v>0.12366355936114337</v>
      </c>
      <c r="U34" s="326">
        <f>'[1]Summary sheet uValue'!G43</f>
        <v>2.6120157469541789E-2</v>
      </c>
      <c r="V34" s="326">
        <f>'[1]Cap Ex'!H34</f>
        <v>1.7693321670824321E-2</v>
      </c>
      <c r="W34" s="326">
        <f>[1]fundgrEB!D34</f>
        <v>0.92879461716197476</v>
      </c>
      <c r="X34" s="326">
        <f>[1]Fundgr!C34</f>
        <v>0.26602224647856859</v>
      </c>
      <c r="Y34" s="326">
        <f>'[1]Dividend fundamentals'!E34</f>
        <v>0.18315042449927071</v>
      </c>
      <c r="Z34" s="326">
        <f>1-[1]Fundgr!D34</f>
        <v>0.18315042449927077</v>
      </c>
      <c r="AA34" s="328">
        <f>[1]Margins!J35</f>
        <v>7.645934433346005E-2</v>
      </c>
    </row>
    <row r="35" spans="1:27" ht="14">
      <c r="A35" s="325" t="str">
        <f>'[1]Master data'!A35</f>
        <v>Financial Svcs. (Non-bank &amp; Insurance)</v>
      </c>
      <c r="B35" s="143">
        <f>'[1]Master data'!B35</f>
        <v>223</v>
      </c>
      <c r="C35" s="326">
        <f>'[1]Hist Growth'!D35</f>
        <v>0.11296666666666663</v>
      </c>
      <c r="D35" s="326">
        <f>[1]Margins!F36</f>
        <v>0.14064997951995065</v>
      </c>
      <c r="E35" s="326">
        <f>'[1]Return on capital'!H35</f>
        <v>5.8564887886263526E-3</v>
      </c>
      <c r="F35" s="326">
        <f>'[1]Tax rates'!H36</f>
        <v>0.19305154410783282</v>
      </c>
      <c r="G35" s="327">
        <f>[1]Beta!H38</f>
        <v>0.15175874715602064</v>
      </c>
      <c r="H35" s="327">
        <f>[1]Beta!C38</f>
        <v>0.92723132944233655</v>
      </c>
      <c r="I35" s="326">
        <f>[1]WACC!D46</f>
        <v>5.4414608368355072E-2</v>
      </c>
      <c r="J35" s="326">
        <f>[1]optvar!C40</f>
        <v>0.28521282491479844</v>
      </c>
      <c r="K35" s="326">
        <f>[1]WACC!G46</f>
        <v>3.1600000000000003E-2</v>
      </c>
      <c r="L35" s="326">
        <f>'[1]Debt fundamentals'!F35</f>
        <v>0.87898925756516599</v>
      </c>
      <c r="M35" s="326">
        <f>[1]WACC!K46</f>
        <v>2.6861276351468628E-2</v>
      </c>
      <c r="N35" s="327">
        <f>'[1]Cap Ex'!J35</f>
        <v>4.8705155827007775E-2</v>
      </c>
      <c r="O35" s="327">
        <f>[1]PS!E35</f>
        <v>25.039492278925131</v>
      </c>
      <c r="P35" s="327">
        <f>[1]EVEBITDA!D36</f>
        <v>104.28129306195417</v>
      </c>
      <c r="Q35" s="327">
        <f>[1]EVEBITDA!E36</f>
        <v>114.38578820382327</v>
      </c>
      <c r="R35" s="327">
        <f>[1]PBV!C35</f>
        <v>2.3868988746374016</v>
      </c>
      <c r="S35" s="327">
        <f>[1]PE!D35</f>
        <v>21.856801639884118</v>
      </c>
      <c r="T35" s="326" t="str">
        <f>'[1]Working capital'!F35</f>
        <v>NA</v>
      </c>
      <c r="U35" s="326">
        <f>'[1]Summary sheet uValue'!G44</f>
        <v>5.4590386762171712E-2</v>
      </c>
      <c r="V35" s="326">
        <f>'[1]Cap Ex'!H35</f>
        <v>8.3077972269097258E-2</v>
      </c>
      <c r="W35" s="326">
        <f>[1]fundgrEB!D35</f>
        <v>0.61685858886492528</v>
      </c>
      <c r="X35" s="326">
        <f>[1]Fundgr!C35</f>
        <v>2.7572496531310647E-3</v>
      </c>
      <c r="Y35" s="326">
        <f>'[1]Dividend fundamentals'!E35</f>
        <v>0.15394834789760131</v>
      </c>
      <c r="Z35" s="326">
        <f>1-[1]Fundgr!D35</f>
        <v>0.15394834789760137</v>
      </c>
      <c r="AA35" s="328">
        <f>[1]Margins!J36</f>
        <v>0.14200534186819358</v>
      </c>
    </row>
    <row r="36" spans="1:27" ht="14">
      <c r="A36" s="325" t="str">
        <f>'[1]Master data'!A36</f>
        <v>Food Processing</v>
      </c>
      <c r="B36" s="143">
        <f>'[1]Master data'!B36</f>
        <v>92</v>
      </c>
      <c r="C36" s="326">
        <f>'[1]Hist Growth'!D36</f>
        <v>0.12987673469387753</v>
      </c>
      <c r="D36" s="326">
        <f>[1]Margins!F37</f>
        <v>0.13470664829341211</v>
      </c>
      <c r="E36" s="326">
        <f>'[1]Return on capital'!H36</f>
        <v>0.19538259857223317</v>
      </c>
      <c r="F36" s="326">
        <f>'[1]Tax rates'!H37</f>
        <v>0.23313597420657381</v>
      </c>
      <c r="G36" s="327">
        <f>[1]Beta!H39</f>
        <v>0.63241384575053905</v>
      </c>
      <c r="H36" s="327">
        <f>[1]Beta!C39</f>
        <v>0.75087548567822249</v>
      </c>
      <c r="I36" s="326">
        <f>[1]WACC!D47</f>
        <v>4.6937120592756634E-2</v>
      </c>
      <c r="J36" s="326">
        <f>[1]optvar!C41</f>
        <v>0.27689849214888734</v>
      </c>
      <c r="K36" s="326">
        <f>[1]WACC!G47</f>
        <v>3.1600000000000003E-2</v>
      </c>
      <c r="L36" s="326">
        <f>'[1]Debt fundamentals'!F36</f>
        <v>0.23382270352803586</v>
      </c>
      <c r="M36" s="326">
        <f>[1]WACC!K47</f>
        <v>4.1355978284921567E-2</v>
      </c>
      <c r="N36" s="327">
        <f>'[1]Cap Ex'!J36</f>
        <v>1.6043437730658765</v>
      </c>
      <c r="O36" s="327">
        <f>[1]PS!E36</f>
        <v>2.234894374906748</v>
      </c>
      <c r="P36" s="327">
        <f>[1]EVEBITDA!D37</f>
        <v>12.618122757041593</v>
      </c>
      <c r="Q36" s="327">
        <f>[1]EVEBITDA!E37</f>
        <v>16.229113561231109</v>
      </c>
      <c r="R36" s="327">
        <f>[1]PBV!C36</f>
        <v>2.5894989034579639</v>
      </c>
      <c r="S36" s="327">
        <f>[1]PE!D36</f>
        <v>51.306271642179276</v>
      </c>
      <c r="T36" s="326">
        <f>'[1]Working capital'!F36</f>
        <v>5.9225871163481256E-2</v>
      </c>
      <c r="U36" s="326">
        <f>'[1]Summary sheet uValue'!G45</f>
        <v>3.5079292802459923E-2</v>
      </c>
      <c r="V36" s="326">
        <f>'[1]Cap Ex'!H36</f>
        <v>5.0526247214423926E-2</v>
      </c>
      <c r="W36" s="326">
        <f>[1]fundgrEB!D36</f>
        <v>0.55600362851196472</v>
      </c>
      <c r="X36" s="326">
        <f>[1]Fundgr!C36</f>
        <v>0.13443893308334556</v>
      </c>
      <c r="Y36" s="326">
        <f>'[1]Dividend fundamentals'!E36</f>
        <v>0.46128565561177048</v>
      </c>
      <c r="Z36" s="326">
        <f>1-[1]Fundgr!D36</f>
        <v>0.46128565561177048</v>
      </c>
      <c r="AA36" s="328">
        <f>[1]Margins!J37</f>
        <v>0.13611052250265884</v>
      </c>
    </row>
    <row r="37" spans="1:27" ht="14">
      <c r="A37" s="325" t="str">
        <f>'[1]Master data'!A37</f>
        <v>Food Wholesalers</v>
      </c>
      <c r="B37" s="143">
        <f>'[1]Master data'!B37</f>
        <v>15</v>
      </c>
      <c r="C37" s="326">
        <f>'[1]Hist Growth'!D37</f>
        <v>0.17188999999999999</v>
      </c>
      <c r="D37" s="326">
        <f>[1]Margins!F38</f>
        <v>1.9338648419971859E-2</v>
      </c>
      <c r="E37" s="326">
        <f>'[1]Return on capital'!H37</f>
        <v>0.12290769061970223</v>
      </c>
      <c r="F37" s="326">
        <f>'[1]Tax rates'!H38</f>
        <v>0.17524993245068898</v>
      </c>
      <c r="G37" s="327">
        <f>[1]Beta!H40</f>
        <v>1.0834752105711281</v>
      </c>
      <c r="H37" s="327">
        <f>[1]Beta!C40</f>
        <v>1.401559850161499</v>
      </c>
      <c r="I37" s="326">
        <f>[1]WACC!D48</f>
        <v>7.4526137646847554E-2</v>
      </c>
      <c r="J37" s="326">
        <f>[1]optvar!C42</f>
        <v>0.54009105451663864</v>
      </c>
      <c r="K37" s="326">
        <f>[1]WACC!G48</f>
        <v>3.5780000000000006E-2</v>
      </c>
      <c r="L37" s="326">
        <f>'[1]Debt fundamentals'!F37</f>
        <v>0.31937713725694572</v>
      </c>
      <c r="M37" s="326">
        <f>[1]WACC!K48</f>
        <v>5.9066132353249368E-2</v>
      </c>
      <c r="N37" s="327">
        <f>'[1]Cap Ex'!J37</f>
        <v>7.2412059725989968</v>
      </c>
      <c r="O37" s="327">
        <f>[1]PS!E37</f>
        <v>0.52182937452693268</v>
      </c>
      <c r="P37" s="327">
        <f>[1]EVEBITDA!D38</f>
        <v>14.687357753983225</v>
      </c>
      <c r="Q37" s="327">
        <f>[1]EVEBITDA!E38</f>
        <v>28.080734544224086</v>
      </c>
      <c r="R37" s="327">
        <f>[1]PBV!C37</f>
        <v>4.6339500003099863</v>
      </c>
      <c r="S37" s="327">
        <f>[1]PE!D37</f>
        <v>47.650508311431864</v>
      </c>
      <c r="T37" s="326">
        <f>'[1]Working capital'!F37</f>
        <v>6.5673674753774169E-2</v>
      </c>
      <c r="U37" s="326">
        <f>'[1]Summary sheet uValue'!G46</f>
        <v>8.1174064532075867E-3</v>
      </c>
      <c r="V37" s="326">
        <f>'[1]Cap Ex'!H37</f>
        <v>1.5243416549416277E-2</v>
      </c>
      <c r="W37" s="326">
        <f>[1]fundgrEB!D37</f>
        <v>1.5284197279677314</v>
      </c>
      <c r="X37" s="326">
        <f>[1]Fundgr!C37</f>
        <v>0.11180143986078464</v>
      </c>
      <c r="Y37" s="326">
        <f>'[1]Dividend fundamentals'!E37</f>
        <v>0.84082668289630469</v>
      </c>
      <c r="Z37" s="326">
        <f>1-[1]Fundgr!D37</f>
        <v>0.84082668289630469</v>
      </c>
      <c r="AA37" s="328">
        <f>[1]Margins!J38</f>
        <v>1.8571218679432983E-2</v>
      </c>
    </row>
    <row r="38" spans="1:27" ht="14">
      <c r="A38" s="325" t="str">
        <f>'[1]Master data'!A38</f>
        <v>Furn/Home Furnishings</v>
      </c>
      <c r="B38" s="143">
        <f>'[1]Master data'!B38</f>
        <v>32</v>
      </c>
      <c r="C38" s="326">
        <f>'[1]Hist Growth'!D38</f>
        <v>6.192235294117647E-2</v>
      </c>
      <c r="D38" s="326">
        <f>[1]Margins!F39</f>
        <v>0.10945959843954907</v>
      </c>
      <c r="E38" s="326">
        <f>'[1]Return on capital'!H38</f>
        <v>0.24755838796746724</v>
      </c>
      <c r="F38" s="326">
        <f>'[1]Tax rates'!H39</f>
        <v>0.20010870596483785</v>
      </c>
      <c r="G38" s="327">
        <f>[1]Beta!H41</f>
        <v>0.9930686395536672</v>
      </c>
      <c r="H38" s="327">
        <f>[1]Beta!C41</f>
        <v>1.1088014488748397</v>
      </c>
      <c r="I38" s="326">
        <f>[1]WACC!D49</f>
        <v>6.2113181432293205E-2</v>
      </c>
      <c r="J38" s="326">
        <f>[1]optvar!C43</f>
        <v>0.44770374234314908</v>
      </c>
      <c r="K38" s="326">
        <f>[1]WACC!G49</f>
        <v>3.5780000000000006E-2</v>
      </c>
      <c r="L38" s="326">
        <f>'[1]Debt fundamentals'!F38</f>
        <v>0.22270411092001716</v>
      </c>
      <c r="M38" s="326">
        <f>[1]WACC!K49</f>
        <v>5.4097218339764927E-2</v>
      </c>
      <c r="N38" s="327">
        <f>'[1]Cap Ex'!J38</f>
        <v>2.5259049487328467</v>
      </c>
      <c r="O38" s="327">
        <f>[1]PS!E38</f>
        <v>1.2491495315115277</v>
      </c>
      <c r="P38" s="327">
        <f>[1]EVEBITDA!D39</f>
        <v>8.0790615203586551</v>
      </c>
      <c r="Q38" s="327">
        <f>[1]EVEBITDA!E39</f>
        <v>11.190823392767202</v>
      </c>
      <c r="R38" s="327">
        <f>[1]PBV!C38</f>
        <v>2.8622665598848607</v>
      </c>
      <c r="S38" s="327">
        <f>[1]PE!D38</f>
        <v>13.443462092335428</v>
      </c>
      <c r="T38" s="326">
        <f>'[1]Working capital'!F38</f>
        <v>0.12819913163119592</v>
      </c>
      <c r="U38" s="326">
        <f>'[1]Summary sheet uValue'!G47</f>
        <v>2.8194236674076181E-2</v>
      </c>
      <c r="V38" s="326">
        <f>'[1]Cap Ex'!H38</f>
        <v>2.7761403075499871E-2</v>
      </c>
      <c r="W38" s="326">
        <f>[1]fundgrEB!D38</f>
        <v>0.69683736001334473</v>
      </c>
      <c r="X38" s="326">
        <f>[1]Fundgr!C38</f>
        <v>0.25398444630356642</v>
      </c>
      <c r="Y38" s="326">
        <f>'[1]Dividend fundamentals'!E38</f>
        <v>0.22075347036988271</v>
      </c>
      <c r="Z38" s="326">
        <f>1-[1]Fundgr!D38</f>
        <v>0.22075347036988269</v>
      </c>
      <c r="AA38" s="328">
        <f>[1]Margins!J39</f>
        <v>0.11097055733711718</v>
      </c>
    </row>
    <row r="39" spans="1:27" ht="14">
      <c r="A39" s="325" t="str">
        <f>'[1]Master data'!A39</f>
        <v>Green &amp; Renewable Energy</v>
      </c>
      <c r="B39" s="143">
        <f>'[1]Master data'!B39</f>
        <v>20</v>
      </c>
      <c r="C39" s="326">
        <f>'[1]Hist Growth'!D39</f>
        <v>-0.24636999999999998</v>
      </c>
      <c r="D39" s="326">
        <f>[1]Margins!F40</f>
        <v>0.23657131609185958</v>
      </c>
      <c r="E39" s="326">
        <f>'[1]Return on capital'!H39</f>
        <v>5.7266901932776053E-2</v>
      </c>
      <c r="F39" s="326">
        <f>'[1]Tax rates'!H40</f>
        <v>0.28344877870944224</v>
      </c>
      <c r="G39" s="327">
        <f>[1]Beta!H42</f>
        <v>1.0952567764169068</v>
      </c>
      <c r="H39" s="327">
        <f>[1]Beta!C42</f>
        <v>1.5881139269244424</v>
      </c>
      <c r="I39" s="326">
        <f>[1]WACC!D50</f>
        <v>8.2436030501596355E-2</v>
      </c>
      <c r="J39" s="326">
        <f>[1]optvar!C44</f>
        <v>0.81755861287211706</v>
      </c>
      <c r="K39" s="326">
        <f>[1]WACC!G50</f>
        <v>8.1225000000000006E-2</v>
      </c>
      <c r="L39" s="326">
        <f>'[1]Debt fundamentals'!F39</f>
        <v>0.39985626780352357</v>
      </c>
      <c r="M39" s="326">
        <f>[1]WACC!K50</f>
        <v>7.3182644519899684E-2</v>
      </c>
      <c r="N39" s="327">
        <f>'[1]Cap Ex'!J39</f>
        <v>0.24826314577202216</v>
      </c>
      <c r="O39" s="327">
        <f>[1]PS!E39</f>
        <v>10.37979701530862</v>
      </c>
      <c r="P39" s="327">
        <f>[1]EVEBITDA!D40</f>
        <v>16.874056989697479</v>
      </c>
      <c r="Q39" s="327">
        <f>[1]EVEBITDA!E40</f>
        <v>40.448200748454667</v>
      </c>
      <c r="R39" s="327">
        <f>[1]PBV!C39</f>
        <v>1.9055680215811965</v>
      </c>
      <c r="S39" s="327">
        <f>[1]PE!D39</f>
        <v>64.673068715322231</v>
      </c>
      <c r="T39" s="326">
        <f>'[1]Working capital'!F39</f>
        <v>-1.2668996311661838</v>
      </c>
      <c r="U39" s="326">
        <f>'[1]Summary sheet uValue'!G48</f>
        <v>0.37295556639465399</v>
      </c>
      <c r="V39" s="326">
        <f>'[1]Cap Ex'!H39</f>
        <v>0.12926821470914365</v>
      </c>
      <c r="W39" s="326">
        <f>[1]fundgrEB!D39</f>
        <v>1.2301826743654833</v>
      </c>
      <c r="X39" s="326">
        <f>[1]Fundgr!C39</f>
        <v>-0.24120240585876007</v>
      </c>
      <c r="Y39" s="326">
        <f>'[1]Dividend fundamentals'!E39</f>
        <v>1.9953051643192489E-3</v>
      </c>
      <c r="Z39" s="326">
        <f>1-[1]Fundgr!D39</f>
        <v>1.9953051643192277E-3</v>
      </c>
      <c r="AA39" s="328">
        <f>[1]Margins!J40</f>
        <v>0.23403071387266283</v>
      </c>
    </row>
    <row r="40" spans="1:27" ht="14">
      <c r="A40" s="325" t="str">
        <f>'[1]Master data'!A40</f>
        <v>Healthcare Products</v>
      </c>
      <c r="B40" s="143">
        <f>'[1]Master data'!B40</f>
        <v>244</v>
      </c>
      <c r="C40" s="326">
        <f>'[1]Hist Growth'!D40</f>
        <v>0.18947492537313426</v>
      </c>
      <c r="D40" s="326">
        <f>[1]Margins!F41</f>
        <v>0.17685160407102923</v>
      </c>
      <c r="E40" s="326">
        <f>'[1]Return on capital'!H40</f>
        <v>0.18643689918345574</v>
      </c>
      <c r="F40" s="326">
        <f>'[1]Tax rates'!H41</f>
        <v>0.14155199698242923</v>
      </c>
      <c r="G40" s="327">
        <f>[1]Beta!H43</f>
        <v>0.91238001884570208</v>
      </c>
      <c r="H40" s="327">
        <f>[1]Beta!C43</f>
        <v>0.93812811740251056</v>
      </c>
      <c r="I40" s="326">
        <f>[1]WACC!D51</f>
        <v>5.4876632177866452E-2</v>
      </c>
      <c r="J40" s="326">
        <f>[1]optvar!C45</f>
        <v>0.43812192128294053</v>
      </c>
      <c r="K40" s="326">
        <f>[1]WACC!G51</f>
        <v>3.5780000000000006E-2</v>
      </c>
      <c r="L40" s="326">
        <f>'[1]Debt fundamentals'!F40</f>
        <v>7.9316313918664352E-2</v>
      </c>
      <c r="M40" s="326">
        <f>[1]WACC!K51</f>
        <v>5.2595714523014883E-2</v>
      </c>
      <c r="N40" s="327">
        <f>'[1]Cap Ex'!J40</f>
        <v>1.0377658206983176</v>
      </c>
      <c r="O40" s="327">
        <f>[1]PS!E40</f>
        <v>7.0039721034434113</v>
      </c>
      <c r="P40" s="327">
        <f>[1]EVEBITDA!D41</f>
        <v>24.161666076043847</v>
      </c>
      <c r="Q40" s="327">
        <f>[1]EVEBITDA!E41</f>
        <v>37.629027868540298</v>
      </c>
      <c r="R40" s="327">
        <f>[1]PBV!C40</f>
        <v>6.3047282875332558</v>
      </c>
      <c r="S40" s="327">
        <f>[1]PE!D40</f>
        <v>91.034351825414603</v>
      </c>
      <c r="T40" s="326">
        <f>'[1]Working capital'!F40</f>
        <v>0.23334871096534543</v>
      </c>
      <c r="U40" s="326">
        <f>'[1]Summary sheet uValue'!G49</f>
        <v>5.0739365672599096E-2</v>
      </c>
      <c r="V40" s="326">
        <f>'[1]Cap Ex'!H40</f>
        <v>7.3461613377657109E-2</v>
      </c>
      <c r="W40" s="326">
        <f>[1]fundgrEB!D40</f>
        <v>0.50837698896724137</v>
      </c>
      <c r="X40" s="326">
        <f>[1]Fundgr!C40</f>
        <v>0.14182005948031559</v>
      </c>
      <c r="Y40" s="326">
        <f>'[1]Dividend fundamentals'!E40</f>
        <v>0.25259699719961898</v>
      </c>
      <c r="Z40" s="326">
        <f>1-[1]Fundgr!D40</f>
        <v>0.25259699719961892</v>
      </c>
      <c r="AA40" s="328">
        <f>[1]Margins!J41</f>
        <v>0.18708234986018563</v>
      </c>
    </row>
    <row r="41" spans="1:27" ht="14">
      <c r="A41" s="325" t="str">
        <f>'[1]Master data'!A41</f>
        <v>Healthcare Support Services</v>
      </c>
      <c r="B41" s="143">
        <f>'[1]Master data'!B41</f>
        <v>131</v>
      </c>
      <c r="C41" s="326">
        <f>'[1]Hist Growth'!D41</f>
        <v>0.17964537037037037</v>
      </c>
      <c r="D41" s="326">
        <f>[1]Margins!F42</f>
        <v>4.2651470062254303E-2</v>
      </c>
      <c r="E41" s="326">
        <f>'[1]Return on capital'!H41</f>
        <v>0.3204676060282301</v>
      </c>
      <c r="F41" s="326">
        <f>'[1]Tax rates'!H42</f>
        <v>0.22472131877734072</v>
      </c>
      <c r="G41" s="327">
        <f>[1]Beta!H44</f>
        <v>0.94984695077290293</v>
      </c>
      <c r="H41" s="327">
        <f>[1]Beta!C44</f>
        <v>1.057838047110971</v>
      </c>
      <c r="I41" s="326">
        <f>[1]WACC!D52</f>
        <v>5.9952333197505168E-2</v>
      </c>
      <c r="J41" s="326">
        <f>[1]optvar!C46</f>
        <v>0.46857189884223849</v>
      </c>
      <c r="K41" s="326">
        <f>[1]WACC!G52</f>
        <v>3.5780000000000006E-2</v>
      </c>
      <c r="L41" s="326">
        <f>'[1]Debt fundamentals'!F41</f>
        <v>0.19711553235888032</v>
      </c>
      <c r="M41" s="326">
        <f>[1]WACC!K52</f>
        <v>5.3283336559016507E-2</v>
      </c>
      <c r="N41" s="327">
        <f>'[1]Cap Ex'!J41</f>
        <v>8.3278570570830546</v>
      </c>
      <c r="O41" s="327">
        <f>[1]PS!E41</f>
        <v>0.77955082459077807</v>
      </c>
      <c r="P41" s="327">
        <f>[1]EVEBITDA!D42</f>
        <v>13.167750972214359</v>
      </c>
      <c r="Q41" s="327">
        <f>[1]EVEBITDA!E42</f>
        <v>18.112160731933205</v>
      </c>
      <c r="R41" s="327">
        <f>[1]PBV!C41</f>
        <v>3.589667448961162</v>
      </c>
      <c r="S41" s="327">
        <f>[1]PE!D41</f>
        <v>35.910597989515367</v>
      </c>
      <c r="T41" s="326">
        <f>'[1]Working capital'!F41</f>
        <v>-6.3871999968903248E-2</v>
      </c>
      <c r="U41" s="326">
        <f>'[1]Summary sheet uValue'!G50</f>
        <v>7.4561010297650434E-3</v>
      </c>
      <c r="V41" s="326">
        <f>'[1]Cap Ex'!H41</f>
        <v>1.6389256435904068E-2</v>
      </c>
      <c r="W41" s="326">
        <f>[1]fundgrEB!D41</f>
        <v>0.52286041332594801</v>
      </c>
      <c r="X41" s="326">
        <f>[1]Fundgr!C41</f>
        <v>0.14684436245518412</v>
      </c>
      <c r="Y41" s="326">
        <f>'[1]Dividend fundamentals'!E41</f>
        <v>0.27232238598455022</v>
      </c>
      <c r="Z41" s="326">
        <f>1-[1]Fundgr!D41</f>
        <v>0.27232238598455027</v>
      </c>
      <c r="AA41" s="328">
        <f>[1]Margins!J42</f>
        <v>4.1695905761841144E-2</v>
      </c>
    </row>
    <row r="42" spans="1:27" ht="14">
      <c r="A42" s="325" t="str">
        <f>'[1]Master data'!A42</f>
        <v>Heathcare Information and Technology</v>
      </c>
      <c r="B42" s="143">
        <f>'[1]Master data'!B42</f>
        <v>142</v>
      </c>
      <c r="C42" s="326">
        <f>'[1]Hist Growth'!D42</f>
        <v>0.15868233333333331</v>
      </c>
      <c r="D42" s="326">
        <f>[1]Margins!F43</f>
        <v>0.18087883194038884</v>
      </c>
      <c r="E42" s="326">
        <f>'[1]Return on capital'!H42</f>
        <v>0.23064491196671355</v>
      </c>
      <c r="F42" s="326">
        <f>'[1]Tax rates'!H43</f>
        <v>0.17106891070796754</v>
      </c>
      <c r="G42" s="327">
        <f>[1]Beta!H45</f>
        <v>0.90888830288841316</v>
      </c>
      <c r="H42" s="327">
        <f>[1]Beta!C45</f>
        <v>0.94168209233744604</v>
      </c>
      <c r="I42" s="326">
        <f>[1]WACC!D53</f>
        <v>5.5027320715107714E-2</v>
      </c>
      <c r="J42" s="326">
        <f>[1]optvar!C47</f>
        <v>0.46284328241580508</v>
      </c>
      <c r="K42" s="326">
        <f>[1]WACC!G53</f>
        <v>3.5780000000000006E-2</v>
      </c>
      <c r="L42" s="326">
        <f>'[1]Debt fundamentals'!F42</f>
        <v>8.8640903338601168E-2</v>
      </c>
      <c r="M42" s="326">
        <f>[1]WACC!K53</f>
        <v>5.24648965092799E-2</v>
      </c>
      <c r="N42" s="327">
        <f>'[1]Cap Ex'!J42</f>
        <v>1.2232870350853398</v>
      </c>
      <c r="O42" s="327">
        <f>[1]PS!E42</f>
        <v>7.7762010903148076</v>
      </c>
      <c r="P42" s="327">
        <f>[1]EVEBITDA!D43</f>
        <v>25.599322950300721</v>
      </c>
      <c r="Q42" s="327">
        <f>[1]EVEBITDA!E43</f>
        <v>39.391873795065884</v>
      </c>
      <c r="R42" s="327">
        <f>[1]PBV!C42</f>
        <v>5.7852113099598261</v>
      </c>
      <c r="S42" s="327">
        <f>[1]PE!D42</f>
        <v>94.110032313980298</v>
      </c>
      <c r="T42" s="326">
        <f>'[1]Working capital'!F42</f>
        <v>0.19542863466893334</v>
      </c>
      <c r="U42" s="326">
        <f>'[1]Summary sheet uValue'!G51</f>
        <v>4.5414138715966668E-2</v>
      </c>
      <c r="V42" s="326">
        <f>'[1]Cap Ex'!H42</f>
        <v>0.17107735406727279</v>
      </c>
      <c r="W42" s="326">
        <f>[1]fundgrEB!D42</f>
        <v>1.2827118580784016</v>
      </c>
      <c r="X42" s="326">
        <f>[1]Fundgr!C42</f>
        <v>0.19738220103952861</v>
      </c>
      <c r="Y42" s="326">
        <f>'[1]Dividend fundamentals'!E42</f>
        <v>6.5817152952928726E-2</v>
      </c>
      <c r="Z42" s="326">
        <f>1-[1]Fundgr!D42</f>
        <v>6.5817152952928781E-2</v>
      </c>
      <c r="AA42" s="328">
        <f>[1]Margins!J43</f>
        <v>0.19501565437918139</v>
      </c>
    </row>
    <row r="43" spans="1:27" ht="14">
      <c r="A43" s="325" t="str">
        <f>'[1]Master data'!A43</f>
        <v>Homebuilding</v>
      </c>
      <c r="B43" s="143">
        <f>'[1]Master data'!B43</f>
        <v>29</v>
      </c>
      <c r="C43" s="326">
        <f>'[1]Hist Growth'!D43</f>
        <v>0.20254333333333335</v>
      </c>
      <c r="D43" s="326">
        <f>[1]Margins!F44</f>
        <v>0.16282579938951058</v>
      </c>
      <c r="E43" s="326">
        <f>'[1]Return on capital'!H43</f>
        <v>0.22920822063606722</v>
      </c>
      <c r="F43" s="326">
        <f>'[1]Tax rates'!H44</f>
        <v>0.22201392069140863</v>
      </c>
      <c r="G43" s="327">
        <f>[1]Beta!H46</f>
        <v>1.5855573182596445</v>
      </c>
      <c r="H43" s="327">
        <f>[1]Beta!C46</f>
        <v>1.6852126723824632</v>
      </c>
      <c r="I43" s="326">
        <f>[1]WACC!D54</f>
        <v>8.6553017309016447E-2</v>
      </c>
      <c r="J43" s="326">
        <f>[1]optvar!C48</f>
        <v>0.39474914713112236</v>
      </c>
      <c r="K43" s="326">
        <f>[1]WACC!G54</f>
        <v>3.1600000000000003E-2</v>
      </c>
      <c r="L43" s="326">
        <f>'[1]Debt fundamentals'!F43</f>
        <v>0.18013285999416037</v>
      </c>
      <c r="M43" s="326">
        <f>[1]WACC!K54</f>
        <v>7.5117279574364537E-2</v>
      </c>
      <c r="N43" s="327">
        <f>'[1]Cap Ex'!J43</f>
        <v>1.7291177511047098</v>
      </c>
      <c r="O43" s="327">
        <f>[1]PS!E43</f>
        <v>1.3663676451225277</v>
      </c>
      <c r="P43" s="327">
        <f>[1]EVEBITDA!D44</f>
        <v>8.0408561316536495</v>
      </c>
      <c r="Q43" s="327">
        <f>[1]EVEBITDA!E44</f>
        <v>8.3868858991534445</v>
      </c>
      <c r="R43" s="327">
        <f>[1]PBV!C43</f>
        <v>2.1974155485108633</v>
      </c>
      <c r="S43" s="327">
        <f>[1]PE!D43</f>
        <v>13.483758661954498</v>
      </c>
      <c r="T43" s="326">
        <f>'[1]Working capital'!F43</f>
        <v>0.62016124077086143</v>
      </c>
      <c r="U43" s="326">
        <f>'[1]Summary sheet uValue'!G52</f>
        <v>5.4424478259469094E-3</v>
      </c>
      <c r="V43" s="326">
        <f>'[1]Cap Ex'!H43</f>
        <v>5.4093640857153678E-3</v>
      </c>
      <c r="W43" s="326">
        <f>[1]fundgrEB!D43</f>
        <v>0.46744016767682872</v>
      </c>
      <c r="X43" s="326">
        <f>[1]Fundgr!C43</f>
        <v>0.27375577574838289</v>
      </c>
      <c r="Y43" s="326">
        <f>'[1]Dividend fundamentals'!E43</f>
        <v>5.8290612760194219E-2</v>
      </c>
      <c r="Z43" s="326">
        <f>1-[1]Fundgr!D43</f>
        <v>5.8290612760194205E-2</v>
      </c>
      <c r="AA43" s="328">
        <f>[1]Margins!J44</f>
        <v>0.16290301377133232</v>
      </c>
    </row>
    <row r="44" spans="1:27" ht="14">
      <c r="A44" s="325" t="str">
        <f>'[1]Master data'!A44</f>
        <v>Hospitals/Healthcare Facilities</v>
      </c>
      <c r="B44" s="143">
        <f>'[1]Master data'!B44</f>
        <v>31</v>
      </c>
      <c r="C44" s="326">
        <f>'[1]Hist Growth'!D44</f>
        <v>-1.6478500000000011E-2</v>
      </c>
      <c r="D44" s="326">
        <f>[1]Margins!F45</f>
        <v>0.12850918830942254</v>
      </c>
      <c r="E44" s="326">
        <f>'[1]Return on capital'!H44</f>
        <v>0.23168380449810044</v>
      </c>
      <c r="F44" s="326">
        <f>'[1]Tax rates'!H45</f>
        <v>0.20937527597650868</v>
      </c>
      <c r="G44" s="327">
        <f>[1]Beta!H47</f>
        <v>0.96358199839482284</v>
      </c>
      <c r="H44" s="327">
        <f>[1]Beta!C47</f>
        <v>1.4135234232504976</v>
      </c>
      <c r="I44" s="326">
        <f>[1]WACC!D55</f>
        <v>7.5033393145821095E-2</v>
      </c>
      <c r="J44" s="326">
        <f>[1]optvar!C49</f>
        <v>0.52313497710543133</v>
      </c>
      <c r="K44" s="326">
        <f>[1]WACC!G55</f>
        <v>3.5780000000000006E-2</v>
      </c>
      <c r="L44" s="326">
        <f>'[1]Debt fundamentals'!F44</f>
        <v>0.41512055177382418</v>
      </c>
      <c r="M44" s="326">
        <f>[1]WACC!K55</f>
        <v>5.4728189321666794E-2</v>
      </c>
      <c r="N44" s="327">
        <f>'[1]Cap Ex'!J44</f>
        <v>2.0443079161377895</v>
      </c>
      <c r="O44" s="327">
        <f>[1]PS!E44</f>
        <v>1.6793589817286767</v>
      </c>
      <c r="P44" s="327">
        <f>[1]EVEBITDA!D45</f>
        <v>8.7824036649541348</v>
      </c>
      <c r="Q44" s="327">
        <f>[1]EVEBITDA!E45</f>
        <v>13.434142877238942</v>
      </c>
      <c r="R44" s="327">
        <f>[1]PBV!C44</f>
        <v>5.920536920090278</v>
      </c>
      <c r="S44" s="327">
        <f>[1]PE!D44</f>
        <v>17.742185324053278</v>
      </c>
      <c r="T44" s="326">
        <f>'[1]Working capital'!F44</f>
        <v>0.10918971893307193</v>
      </c>
      <c r="U44" s="326">
        <f>'[1]Summary sheet uValue'!G53</f>
        <v>4.9159224300767489E-2</v>
      </c>
      <c r="V44" s="326">
        <f>'[1]Cap Ex'!H44</f>
        <v>2.9438778692254714E-2</v>
      </c>
      <c r="W44" s="326">
        <f>[1]fundgrEB!D44</f>
        <v>0.46930418470319507</v>
      </c>
      <c r="X44" s="326">
        <f>[1]Fundgr!C44</f>
        <v>0.95707007059092486</v>
      </c>
      <c r="Y44" s="326">
        <f>'[1]Dividend fundamentals'!E44</f>
        <v>8.7553428489810153E-2</v>
      </c>
      <c r="Z44" s="326">
        <f>1-[1]Fundgr!D44</f>
        <v>8.7553428489810181E-2</v>
      </c>
      <c r="AA44" s="328">
        <f>[1]Margins!J45</f>
        <v>0.12452300756246648</v>
      </c>
    </row>
    <row r="45" spans="1:27" ht="14">
      <c r="A45" s="325" t="str">
        <f>'[1]Master data'!A45</f>
        <v>Hotel/Gaming</v>
      </c>
      <c r="B45" s="143">
        <f>'[1]Master data'!B45</f>
        <v>66</v>
      </c>
      <c r="C45" s="326">
        <f>'[1]Hist Growth'!D45</f>
        <v>2.1798947368421071E-2</v>
      </c>
      <c r="D45" s="326">
        <f>[1]Margins!F46</f>
        <v>-9.1090770326806139E-2</v>
      </c>
      <c r="E45" s="326">
        <f>'[1]Return on capital'!H45</f>
        <v>-4.6887465393259886E-2</v>
      </c>
      <c r="F45" s="326">
        <f>'[1]Tax rates'!H46</f>
        <v>0.26135030836735623</v>
      </c>
      <c r="G45" s="327">
        <f>[1]Beta!H48</f>
        <v>1.437433727843527</v>
      </c>
      <c r="H45" s="327">
        <f>[1]Beta!C48</f>
        <v>1.7944070682595588</v>
      </c>
      <c r="I45" s="326">
        <f>[1]WACC!D56</f>
        <v>9.1182859694205295E-2</v>
      </c>
      <c r="J45" s="326">
        <f>[1]optvar!C50</f>
        <v>0.43867344000025082</v>
      </c>
      <c r="K45" s="326">
        <f>[1]WACC!G56</f>
        <v>3.5780000000000006E-2</v>
      </c>
      <c r="L45" s="326">
        <f>'[1]Debt fundamentals'!F45</f>
        <v>0.31511884465713136</v>
      </c>
      <c r="M45" s="326">
        <f>[1]WACC!K56</f>
        <v>7.06801374459715E-2</v>
      </c>
      <c r="N45" s="327">
        <f>'[1]Cap Ex'!J45</f>
        <v>0.39464415501475625</v>
      </c>
      <c r="O45" s="327">
        <f>[1]PS!E45</f>
        <v>8.8698815298595779</v>
      </c>
      <c r="P45" s="327">
        <f>[1]EVEBITDA!D46</f>
        <v>27.817909541039356</v>
      </c>
      <c r="Q45" s="327" t="str">
        <f>[1]EVEBITDA!E46</f>
        <v>NA</v>
      </c>
      <c r="R45" s="327">
        <f>[1]PBV!C45</f>
        <v>7.5605167252577496</v>
      </c>
      <c r="S45" s="327">
        <f>[1]PE!D45</f>
        <v>78.209066827877336</v>
      </c>
      <c r="T45" s="326">
        <f>'[1]Working capital'!F45</f>
        <v>0.14373173398286457</v>
      </c>
      <c r="U45" s="326">
        <f>'[1]Summary sheet uValue'!G54</f>
        <v>8.4123485012875102E-2</v>
      </c>
      <c r="V45" s="326">
        <f>'[1]Cap Ex'!H45</f>
        <v>1.8338108330748656E-2</v>
      </c>
      <c r="W45" s="326" t="str">
        <f>[1]fundgrEB!D45</f>
        <v>NA</v>
      </c>
      <c r="X45" s="326">
        <f>[1]Fundgr!C45</f>
        <v>-0.40209886109834825</v>
      </c>
      <c r="Y45" s="326">
        <f>'[1]Dividend fundamentals'!E45</f>
        <v>4.1225068695896955E-4</v>
      </c>
      <c r="Z45" s="326">
        <f>1-[1]Fundgr!D45</f>
        <v>4.1225068695893707E-4</v>
      </c>
      <c r="AA45" s="328">
        <f>[1]Margins!J46</f>
        <v>-0.12725269940920536</v>
      </c>
    </row>
    <row r="46" spans="1:27" ht="14">
      <c r="A46" s="325" t="str">
        <f>'[1]Master data'!A46</f>
        <v>Household Products</v>
      </c>
      <c r="B46" s="143">
        <f>'[1]Master data'!B46</f>
        <v>118</v>
      </c>
      <c r="C46" s="326">
        <f>'[1]Hist Growth'!D46</f>
        <v>0.1170288</v>
      </c>
      <c r="D46" s="326">
        <f>[1]Margins!F47</f>
        <v>0.18410174900056742</v>
      </c>
      <c r="E46" s="326">
        <f>'[1]Return on capital'!H46</f>
        <v>0.39778870170478026</v>
      </c>
      <c r="F46" s="326">
        <f>'[1]Tax rates'!H47</f>
        <v>0.19456884906435407</v>
      </c>
      <c r="G46" s="327">
        <f>[1]Beta!H49</f>
        <v>0.92007174691688975</v>
      </c>
      <c r="H46" s="327">
        <f>[1]Beta!C49</f>
        <v>0.97963374895906408</v>
      </c>
      <c r="I46" s="326">
        <f>[1]WACC!D57</f>
        <v>5.663647095586432E-2</v>
      </c>
      <c r="J46" s="326">
        <f>[1]optvar!C51</f>
        <v>0.58567665870757535</v>
      </c>
      <c r="K46" s="326">
        <f>[1]WACC!G57</f>
        <v>3.5780000000000006E-2</v>
      </c>
      <c r="L46" s="326">
        <f>'[1]Debt fundamentals'!F46</f>
        <v>0.11175604882706802</v>
      </c>
      <c r="M46" s="326">
        <f>[1]WACC!K57</f>
        <v>5.3226003684061649E-2</v>
      </c>
      <c r="N46" s="327">
        <f>'[1]Cap Ex'!J46</f>
        <v>2.2799844405192453</v>
      </c>
      <c r="O46" s="327">
        <f>[1]PS!E46</f>
        <v>4.3785318796164461</v>
      </c>
      <c r="P46" s="327">
        <f>[1]EVEBITDA!D47</f>
        <v>18.883381007637499</v>
      </c>
      <c r="Q46" s="327">
        <f>[1]EVEBITDA!E47</f>
        <v>23.537855327728018</v>
      </c>
      <c r="R46" s="327">
        <f>[1]PBV!C46</f>
        <v>10.385532554208817</v>
      </c>
      <c r="S46" s="327">
        <f>[1]PE!D46</f>
        <v>49.42738971685182</v>
      </c>
      <c r="T46" s="326">
        <f>'[1]Working capital'!F46</f>
        <v>7.0655270187496469E-2</v>
      </c>
      <c r="U46" s="326">
        <f>'[1]Summary sheet uValue'!G55</f>
        <v>3.6891698471944435E-2</v>
      </c>
      <c r="V46" s="326">
        <f>'[1]Cap Ex'!H46</f>
        <v>2.4592102418033931E-2</v>
      </c>
      <c r="W46" s="326">
        <f>[1]fundgrEB!D46</f>
        <v>0.16580656451616166</v>
      </c>
      <c r="X46" s="326">
        <f>[1]Fundgr!C46</f>
        <v>0.35945083320539412</v>
      </c>
      <c r="Y46" s="326">
        <f>'[1]Dividend fundamentals'!E46</f>
        <v>0.57792665092538575</v>
      </c>
      <c r="Z46" s="326">
        <f>1-[1]Fundgr!D46</f>
        <v>0.57792665092538575</v>
      </c>
      <c r="AA46" s="328">
        <f>[1]Margins!J47</f>
        <v>0.1853195229929292</v>
      </c>
    </row>
    <row r="47" spans="1:27" ht="14">
      <c r="A47" s="325" t="str">
        <f>'[1]Master data'!A47</f>
        <v>Information Services</v>
      </c>
      <c r="B47" s="143">
        <f>'[1]Master data'!B47</f>
        <v>79</v>
      </c>
      <c r="C47" s="326">
        <f>'[1]Hist Growth'!D47</f>
        <v>0.13124588235294118</v>
      </c>
      <c r="D47" s="326">
        <f>[1]Margins!F48</f>
        <v>0.23780344642841961</v>
      </c>
      <c r="E47" s="326">
        <f>'[1]Return on capital'!H47</f>
        <v>0.29040012257299486</v>
      </c>
      <c r="F47" s="326">
        <f>'[1]Tax rates'!H48</f>
        <v>0.1950192566770885</v>
      </c>
      <c r="G47" s="327">
        <f>[1]Beta!H50</f>
        <v>1.2038667851126352</v>
      </c>
      <c r="H47" s="327">
        <f>[1]Beta!C50</f>
        <v>1.2505092401142981</v>
      </c>
      <c r="I47" s="326">
        <f>[1]WACC!D58</f>
        <v>6.8121591780846244E-2</v>
      </c>
      <c r="J47" s="326">
        <f>[1]optvar!C52</f>
        <v>0.46440838960204572</v>
      </c>
      <c r="K47" s="326">
        <f>[1]WACC!G58</f>
        <v>3.5780000000000006E-2</v>
      </c>
      <c r="L47" s="326">
        <f>'[1]Debt fundamentals'!F47</f>
        <v>9.3956508268332323E-2</v>
      </c>
      <c r="M47" s="326">
        <f>[1]WACC!K58</f>
        <v>6.4175212501501086E-2</v>
      </c>
      <c r="N47" s="327">
        <f>'[1]Cap Ex'!J47</f>
        <v>1.342798941331002</v>
      </c>
      <c r="O47" s="327">
        <f>[1]PS!E47</f>
        <v>8.7491267282957086</v>
      </c>
      <c r="P47" s="327">
        <f>[1]EVEBITDA!D48</f>
        <v>25.812774367871864</v>
      </c>
      <c r="Q47" s="327">
        <f>[1]EVEBITDA!E48</f>
        <v>35.189726767324224</v>
      </c>
      <c r="R47" s="327">
        <f>[1]PBV!C47</f>
        <v>7.6369901927864143</v>
      </c>
      <c r="S47" s="327">
        <f>[1]PE!D47</f>
        <v>106.39340960697881</v>
      </c>
      <c r="T47" s="326">
        <f>'[1]Working capital'!F47</f>
        <v>6.7896426312716696E-2</v>
      </c>
      <c r="U47" s="326">
        <f>'[1]Summary sheet uValue'!G56</f>
        <v>2.747666218049083E-2</v>
      </c>
      <c r="V47" s="326">
        <f>'[1]Cap Ex'!H47</f>
        <v>3.8752457388156317E-2</v>
      </c>
      <c r="W47" s="326">
        <f>[1]fundgrEB!D47</f>
        <v>0.26737182529132375</v>
      </c>
      <c r="X47" s="326">
        <f>[1]Fundgr!C47</f>
        <v>0.17506862874782511</v>
      </c>
      <c r="Y47" s="326">
        <f>'[1]Dividend fundamentals'!E47</f>
        <v>0.27699413257415423</v>
      </c>
      <c r="Z47" s="326">
        <f>1-[1]Fundgr!D47</f>
        <v>0.27699413257415428</v>
      </c>
      <c r="AA47" s="328">
        <f>[1]Margins!J48</f>
        <v>0.24309755225216823</v>
      </c>
    </row>
    <row r="48" spans="1:27" ht="14">
      <c r="A48" s="325" t="str">
        <f>'[1]Master data'!A48</f>
        <v>Insurance (General)</v>
      </c>
      <c r="B48" s="143">
        <f>'[1]Master data'!B48</f>
        <v>23</v>
      </c>
      <c r="C48" s="326">
        <f>'[1]Hist Growth'!D48</f>
        <v>5.9273076923076921E-2</v>
      </c>
      <c r="D48" s="326">
        <f>[1]Margins!F49</f>
        <v>0.16961324493881047</v>
      </c>
      <c r="E48" s="326">
        <f>'[1]Return on capital'!H48</f>
        <v>0.1297233660001989</v>
      </c>
      <c r="F48" s="326">
        <f>'[1]Tax rates'!H49</f>
        <v>0.17207962326362258</v>
      </c>
      <c r="G48" s="327">
        <f>[1]Beta!H51</f>
        <v>0.81090913333958792</v>
      </c>
      <c r="H48" s="327">
        <f>[1]Beta!C51</f>
        <v>0.92216356074929473</v>
      </c>
      <c r="I48" s="326">
        <f>[1]WACC!D59</f>
        <v>5.4199734975770096E-2</v>
      </c>
      <c r="J48" s="326">
        <f>[1]optvar!C53</f>
        <v>0.37150712020260479</v>
      </c>
      <c r="K48" s="326">
        <f>[1]WACC!G59</f>
        <v>3.1600000000000003E-2</v>
      </c>
      <c r="L48" s="326">
        <f>'[1]Debt fundamentals'!F48</f>
        <v>0.21036918588768541</v>
      </c>
      <c r="M48" s="326">
        <f>[1]WACC!K59</f>
        <v>4.7650577233646157E-2</v>
      </c>
      <c r="N48" s="327">
        <f>'[1]Cap Ex'!J48</f>
        <v>0.86295351478901483</v>
      </c>
      <c r="O48" s="327">
        <f>[1]PS!E48</f>
        <v>2.3769117124291155</v>
      </c>
      <c r="P48" s="327">
        <f>[1]EVEBITDA!D49</f>
        <v>10.001580151572469</v>
      </c>
      <c r="Q48" s="327">
        <f>[1]EVEBITDA!E49</f>
        <v>13.868877387151445</v>
      </c>
      <c r="R48" s="327">
        <f>[1]PBV!C48</f>
        <v>1.9458633338378308</v>
      </c>
      <c r="S48" s="327">
        <f>[1]PE!D48</f>
        <v>54.646411279260221</v>
      </c>
      <c r="T48" s="326">
        <f>'[1]Working capital'!F48</f>
        <v>-6.9606810913155778E-2</v>
      </c>
      <c r="U48" s="326">
        <f>'[1]Summary sheet uValue'!G57</f>
        <v>9.8302896667698658E-3</v>
      </c>
      <c r="V48" s="326">
        <f>'[1]Cap Ex'!H48</f>
        <v>-1.2812963721804198E-2</v>
      </c>
      <c r="W48" s="326">
        <f>[1]fundgrEB!D48</f>
        <v>4.5586536419162167E-2</v>
      </c>
      <c r="X48" s="326">
        <f>[1]Fundgr!C48</f>
        <v>0.13504186255013645</v>
      </c>
      <c r="Y48" s="326">
        <f>'[1]Dividend fundamentals'!E48</f>
        <v>0.28836157544597374</v>
      </c>
      <c r="Z48" s="326">
        <f>1-[1]Fundgr!D48</f>
        <v>0.28836157544597374</v>
      </c>
      <c r="AA48" s="328">
        <f>[1]Margins!J49</f>
        <v>0.16973797687609415</v>
      </c>
    </row>
    <row r="49" spans="1:27" ht="14">
      <c r="A49" s="325" t="str">
        <f>'[1]Master data'!A49</f>
        <v>Insurance (Life)</v>
      </c>
      <c r="B49" s="143">
        <f>'[1]Master data'!B49</f>
        <v>24</v>
      </c>
      <c r="C49" s="326">
        <f>'[1]Hist Growth'!D49</f>
        <v>6.4553000000000013E-2</v>
      </c>
      <c r="D49" s="326">
        <f>[1]Margins!F50</f>
        <v>0.12060463060099591</v>
      </c>
      <c r="E49" s="326">
        <f>'[1]Return on capital'!H49</f>
        <v>6.4912798351568421E-2</v>
      </c>
      <c r="F49" s="326">
        <f>'[1]Tax rates'!H50</f>
        <v>0.18463695669072408</v>
      </c>
      <c r="G49" s="327">
        <f>[1]Beta!H52</f>
        <v>0.88298820325433758</v>
      </c>
      <c r="H49" s="327">
        <f>[1]Beta!C52</f>
        <v>1.22433280982246</v>
      </c>
      <c r="I49" s="326">
        <f>[1]WACC!D60</f>
        <v>6.7011711136472307E-2</v>
      </c>
      <c r="J49" s="326">
        <f>[1]optvar!C54</f>
        <v>0.31813183698381947</v>
      </c>
      <c r="K49" s="326">
        <f>[1]WACC!G60</f>
        <v>3.1600000000000003E-2</v>
      </c>
      <c r="L49" s="326">
        <f>'[1]Debt fundamentals'!F49</f>
        <v>0.48078762867660529</v>
      </c>
      <c r="M49" s="326">
        <f>[1]WACC!K60</f>
        <v>4.5884118463918058E-2</v>
      </c>
      <c r="N49" s="327">
        <f>'[1]Cap Ex'!J49</f>
        <v>0.62626015135314539</v>
      </c>
      <c r="O49" s="327">
        <f>[1]PS!E49</f>
        <v>1.3472474863032922</v>
      </c>
      <c r="P49" s="327">
        <f>[1]EVEBITDA!D50</f>
        <v>9.184415080779825</v>
      </c>
      <c r="Q49" s="327">
        <f>[1]EVEBITDA!E50</f>
        <v>10.586276647952527</v>
      </c>
      <c r="R49" s="327">
        <f>[1]PBV!C49</f>
        <v>0.75261745131052904</v>
      </c>
      <c r="S49" s="327">
        <f>[1]PE!D49</f>
        <v>99.935737116695805</v>
      </c>
      <c r="T49" s="326">
        <f>'[1]Working capital'!F49</f>
        <v>6.7974181962140126E-2</v>
      </c>
      <c r="U49" s="326">
        <f>'[1]Summary sheet uValue'!G58</f>
        <v>1.6103371021444662E-3</v>
      </c>
      <c r="V49" s="326">
        <f>'[1]Cap Ex'!H49</f>
        <v>1.2086169261396459E-3</v>
      </c>
      <c r="W49" s="326">
        <f>[1]fundgrEB!D49</f>
        <v>8.1002224814663171E-3</v>
      </c>
      <c r="X49" s="326">
        <f>[1]Fundgr!C49</f>
        <v>7.8577035183128988E-2</v>
      </c>
      <c r="Y49" s="326">
        <f>'[1]Dividend fundamentals'!E49</f>
        <v>0.26342312301255172</v>
      </c>
      <c r="Z49" s="326">
        <f>1-[1]Fundgr!D49</f>
        <v>0.26342312301255166</v>
      </c>
      <c r="AA49" s="328">
        <f>[1]Margins!J50</f>
        <v>0.12092016310061426</v>
      </c>
    </row>
    <row r="50" spans="1:27" ht="14">
      <c r="A50" s="325" t="str">
        <f>'[1]Master data'!A50</f>
        <v>Insurance (Prop/Cas.)</v>
      </c>
      <c r="B50" s="143">
        <f>'[1]Master data'!B50</f>
        <v>52</v>
      </c>
      <c r="C50" s="326">
        <f>'[1]Hist Growth'!D50</f>
        <v>4.1375999999999996E-2</v>
      </c>
      <c r="D50" s="326">
        <f>[1]Margins!F51</f>
        <v>0.15700724619753306</v>
      </c>
      <c r="E50" s="326">
        <f>'[1]Return on capital'!H50</f>
        <v>0.17379751911240882</v>
      </c>
      <c r="F50" s="326">
        <f>'[1]Tax rates'!H51</f>
        <v>0.20002411934856659</v>
      </c>
      <c r="G50" s="327">
        <f>[1]Beta!H53</f>
        <v>0.78477726596517938</v>
      </c>
      <c r="H50" s="327">
        <f>[1]Beta!C53</f>
        <v>0.86141825429816099</v>
      </c>
      <c r="I50" s="326">
        <f>[1]WACC!D61</f>
        <v>5.1624133982242026E-2</v>
      </c>
      <c r="J50" s="326">
        <f>[1]optvar!C55</f>
        <v>0.2924427141293286</v>
      </c>
      <c r="K50" s="326">
        <f>[1]WACC!G61</f>
        <v>3.1600000000000003E-2</v>
      </c>
      <c r="L50" s="326">
        <f>'[1]Debt fundamentals'!F50</f>
        <v>0.19012875767898019</v>
      </c>
      <c r="M50" s="326">
        <f>[1]WACC!K61</f>
        <v>4.6194791704083846E-2</v>
      </c>
      <c r="N50" s="327">
        <f>'[1]Cap Ex'!J50</f>
        <v>1.2729708477546438</v>
      </c>
      <c r="O50" s="327">
        <f>[1]PS!E50</f>
        <v>1.3099964490845923</v>
      </c>
      <c r="P50" s="327">
        <f>[1]EVEBITDA!D51</f>
        <v>7.0269000461212885</v>
      </c>
      <c r="Q50" s="327">
        <f>[1]EVEBITDA!E51</f>
        <v>8.240556369979922</v>
      </c>
      <c r="R50" s="327">
        <f>[1]PBV!C50</f>
        <v>1.5588764878957566</v>
      </c>
      <c r="S50" s="327">
        <f>[1]PE!D50</f>
        <v>21.51001587285257</v>
      </c>
      <c r="T50" s="326">
        <f>'[1]Working capital'!F50</f>
        <v>-0.49026007767884655</v>
      </c>
      <c r="U50" s="326">
        <f>'[1]Summary sheet uValue'!G59</f>
        <v>6.9149544608067262E-3</v>
      </c>
      <c r="V50" s="326">
        <f>'[1]Cap Ex'!H50</f>
        <v>1.0086139463340322E-2</v>
      </c>
      <c r="W50" s="326">
        <f>[1]fundgrEB!D50</f>
        <v>0.22068169650711503</v>
      </c>
      <c r="X50" s="326">
        <f>[1]Fundgr!C50</f>
        <v>0.15638882246563518</v>
      </c>
      <c r="Y50" s="326">
        <f>'[1]Dividend fundamentals'!E50</f>
        <v>0.27093375610751091</v>
      </c>
      <c r="Z50" s="326">
        <f>1-[1]Fundgr!D50</f>
        <v>0.27093375610751091</v>
      </c>
      <c r="AA50" s="328">
        <f>[1]Margins!J51</f>
        <v>0.15760921499662267</v>
      </c>
    </row>
    <row r="51" spans="1:27" ht="14">
      <c r="A51" s="325" t="str">
        <f>'[1]Master data'!A51</f>
        <v>Investments &amp; Asset Management</v>
      </c>
      <c r="B51" s="143">
        <f>'[1]Master data'!B51</f>
        <v>687</v>
      </c>
      <c r="C51" s="326">
        <f>'[1]Hist Growth'!D51</f>
        <v>0.11579887096774194</v>
      </c>
      <c r="D51" s="326">
        <f>[1]Margins!F52</f>
        <v>0.16230722289425775</v>
      </c>
      <c r="E51" s="326">
        <f>'[1]Return on capital'!H51</f>
        <v>9.7235170648923674E-2</v>
      </c>
      <c r="F51" s="326">
        <f>'[1]Tax rates'!H52</f>
        <v>0.14677695144373404</v>
      </c>
      <c r="G51" s="327">
        <f>[1]Beta!H54</f>
        <v>0.96511760490949738</v>
      </c>
      <c r="H51" s="327">
        <f>[1]Beta!C54</f>
        <v>1.0483314155937387</v>
      </c>
      <c r="I51" s="326">
        <f>[1]WACC!D62</f>
        <v>5.9549252021174524E-2</v>
      </c>
      <c r="J51" s="326">
        <f>[1]optvar!C56</f>
        <v>0.31969935251351472</v>
      </c>
      <c r="K51" s="326">
        <f>[1]WACC!G62</f>
        <v>3.1600000000000003E-2</v>
      </c>
      <c r="L51" s="326">
        <f>'[1]Debt fundamentals'!F51</f>
        <v>0.21833708673165156</v>
      </c>
      <c r="M51" s="326">
        <f>[1]WACC!K62</f>
        <v>5.1584041734548107E-2</v>
      </c>
      <c r="N51" s="327">
        <f>'[1]Cap Ex'!J51</f>
        <v>0.61022564855714334</v>
      </c>
      <c r="O51" s="327">
        <f>[1]PS!E51</f>
        <v>5.4177902501648303</v>
      </c>
      <c r="P51" s="327">
        <f>[1]EVEBITDA!D52</f>
        <v>22.257850547215998</v>
      </c>
      <c r="Q51" s="327">
        <f>[1]EVEBITDA!E52</f>
        <v>26.017937557967038</v>
      </c>
      <c r="R51" s="327">
        <f>[1]PBV!C51</f>
        <v>2.7842125198804597</v>
      </c>
      <c r="S51" s="327">
        <f>[1]PE!D51</f>
        <v>84.054725599652187</v>
      </c>
      <c r="T51" s="326" t="str">
        <f>'[1]Working capital'!F51</f>
        <v>NA</v>
      </c>
      <c r="U51" s="326">
        <f>'[1]Summary sheet uValue'!G60</f>
        <v>1.8627144735889573E-2</v>
      </c>
      <c r="V51" s="326">
        <f>'[1]Cap Ex'!H51</f>
        <v>4.281621404432967E-2</v>
      </c>
      <c r="W51" s="326">
        <f>[1]fundgrEB!D51</f>
        <v>0.30709316978161644</v>
      </c>
      <c r="X51" s="326">
        <f>[1]Fundgr!C51</f>
        <v>0.23769058932135417</v>
      </c>
      <c r="Y51" s="326">
        <f>'[1]Dividend fundamentals'!E51</f>
        <v>0.31440450117133251</v>
      </c>
      <c r="Z51" s="326">
        <f>1-[1]Fundgr!D51</f>
        <v>0.31440450117133256</v>
      </c>
      <c r="AA51" s="328">
        <f>[1]Margins!J52</f>
        <v>0.16162523959123534</v>
      </c>
    </row>
    <row r="52" spans="1:27" ht="14">
      <c r="A52" s="325" t="str">
        <f>'[1]Master data'!A52</f>
        <v>Machinery</v>
      </c>
      <c r="B52" s="143">
        <f>'[1]Master data'!B52</f>
        <v>111</v>
      </c>
      <c r="C52" s="326">
        <f>'[1]Hist Growth'!D52</f>
        <v>5.2956575342465742E-2</v>
      </c>
      <c r="D52" s="326">
        <f>[1]Margins!F53</f>
        <v>0.14671309326693463</v>
      </c>
      <c r="E52" s="326">
        <f>'[1]Return on capital'!H52</f>
        <v>0.27215393056173515</v>
      </c>
      <c r="F52" s="326">
        <f>'[1]Tax rates'!H53</f>
        <v>0.19087645912490417</v>
      </c>
      <c r="G52" s="327">
        <f>[1]Beta!H55</f>
        <v>1.1782642967693542</v>
      </c>
      <c r="H52" s="327">
        <f>[1]Beta!C55</f>
        <v>1.2471254008660198</v>
      </c>
      <c r="I52" s="326">
        <f>[1]WACC!D63</f>
        <v>6.797811699671924E-2</v>
      </c>
      <c r="J52" s="326">
        <f>[1]optvar!C57</f>
        <v>0.34753389659061479</v>
      </c>
      <c r="K52" s="326">
        <f>[1]WACC!G63</f>
        <v>3.1600000000000003E-2</v>
      </c>
      <c r="L52" s="326">
        <f>'[1]Debt fundamentals'!F52</f>
        <v>0.12368913053394456</v>
      </c>
      <c r="M52" s="326">
        <f>[1]WACC!K63</f>
        <v>6.2423223673217315E-2</v>
      </c>
      <c r="N52" s="327">
        <f>'[1]Cap Ex'!J52</f>
        <v>2.0370016726566309</v>
      </c>
      <c r="O52" s="327">
        <f>[1]PS!E52</f>
        <v>3.2495167808426575</v>
      </c>
      <c r="P52" s="327">
        <f>[1]EVEBITDA!D53</f>
        <v>16.271364524750446</v>
      </c>
      <c r="Q52" s="327">
        <f>[1]EVEBITDA!E53</f>
        <v>21.653718371893085</v>
      </c>
      <c r="R52" s="327">
        <f>[1]PBV!C52</f>
        <v>4.6773932798417688</v>
      </c>
      <c r="S52" s="327">
        <f>[1]PE!D52</f>
        <v>40.964138741989274</v>
      </c>
      <c r="T52" s="326">
        <f>'[1]Working capital'!F52</f>
        <v>0.22637981205379162</v>
      </c>
      <c r="U52" s="326">
        <f>'[1]Summary sheet uValue'!G61</f>
        <v>2.1347513091821868E-2</v>
      </c>
      <c r="V52" s="326">
        <f>'[1]Cap Ex'!H52</f>
        <v>2.6814471325660304E-2</v>
      </c>
      <c r="W52" s="326">
        <f>[1]fundgrEB!D52</f>
        <v>0.33887028176462053</v>
      </c>
      <c r="X52" s="326">
        <f>[1]Fundgr!C52</f>
        <v>0.21134273632344175</v>
      </c>
      <c r="Y52" s="326">
        <f>'[1]Dividend fundamentals'!E52</f>
        <v>0.27747395834734839</v>
      </c>
      <c r="Z52" s="326">
        <f>1-[1]Fundgr!D52</f>
        <v>0.27747395834734845</v>
      </c>
      <c r="AA52" s="328">
        <f>[1]Margins!J53</f>
        <v>0.14931211928693289</v>
      </c>
    </row>
    <row r="53" spans="1:27" ht="14">
      <c r="A53" s="325" t="str">
        <f>'[1]Master data'!A53</f>
        <v>Metals &amp; Mining</v>
      </c>
      <c r="B53" s="143">
        <f>'[1]Master data'!B53</f>
        <v>74</v>
      </c>
      <c r="C53" s="326">
        <f>'[1]Hist Growth'!D53</f>
        <v>0.16573333333333337</v>
      </c>
      <c r="D53" s="326">
        <f>[1]Margins!F54</f>
        <v>0.26470220268301614</v>
      </c>
      <c r="E53" s="326">
        <f>'[1]Return on capital'!H53</f>
        <v>0.36124131167177337</v>
      </c>
      <c r="F53" s="326">
        <f>'[1]Tax rates'!H54</f>
        <v>0.33984310813592949</v>
      </c>
      <c r="G53" s="327">
        <f>[1]Beta!H56</f>
        <v>1.1279972137776122</v>
      </c>
      <c r="H53" s="327">
        <f>[1]Beta!C56</f>
        <v>1.1729282199962749</v>
      </c>
      <c r="I53" s="326">
        <f>[1]WACC!D64</f>
        <v>6.4832156527842064E-2</v>
      </c>
      <c r="J53" s="326">
        <f>[1]optvar!C58</f>
        <v>0.68076293704459445</v>
      </c>
      <c r="K53" s="326">
        <f>[1]WACC!G64</f>
        <v>4.6725000000000003E-2</v>
      </c>
      <c r="L53" s="326">
        <f>'[1]Debt fundamentals'!F53</f>
        <v>0.15377622800964039</v>
      </c>
      <c r="M53" s="326">
        <f>[1]WACC!K64</f>
        <v>6.0107703848497757E-2</v>
      </c>
      <c r="N53" s="327">
        <f>'[1]Cap Ex'!J53</f>
        <v>1.3985746670279948</v>
      </c>
      <c r="O53" s="327">
        <f>[1]PS!E53</f>
        <v>2.6992223766189274</v>
      </c>
      <c r="P53" s="327">
        <f>[1]EVEBITDA!D54</f>
        <v>7.6045410567135363</v>
      </c>
      <c r="Q53" s="327">
        <f>[1]EVEBITDA!E54</f>
        <v>9.980984227148662</v>
      </c>
      <c r="R53" s="327">
        <f>[1]PBV!C53</f>
        <v>3.4633958230067083</v>
      </c>
      <c r="S53" s="327">
        <f>[1]PE!D53</f>
        <v>49.005497128897041</v>
      </c>
      <c r="T53" s="326">
        <f>'[1]Working capital'!F53</f>
        <v>0.11587453327097946</v>
      </c>
      <c r="U53" s="326">
        <f>'[1]Summary sheet uValue'!G62</f>
        <v>6.6034361084774479E-2</v>
      </c>
      <c r="V53" s="326">
        <f>'[1]Cap Ex'!H53</f>
        <v>8.41897202549261E-3</v>
      </c>
      <c r="W53" s="326">
        <f>[1]fundgrEB!D53</f>
        <v>0.16911496546537044</v>
      </c>
      <c r="X53" s="326">
        <f>[1]Fundgr!C53</f>
        <v>0.28956814279264476</v>
      </c>
      <c r="Y53" s="326">
        <f>'[1]Dividend fundamentals'!E53</f>
        <v>0.35951753730896141</v>
      </c>
      <c r="Z53" s="326">
        <f>1-[1]Fundgr!D53</f>
        <v>0.35951753730896141</v>
      </c>
      <c r="AA53" s="328">
        <f>[1]Margins!J54</f>
        <v>0.26375419614263912</v>
      </c>
    </row>
    <row r="54" spans="1:27" ht="14">
      <c r="A54" s="325" t="str">
        <f>'[1]Master data'!A54</f>
        <v>Office Equipment &amp; Services</v>
      </c>
      <c r="B54" s="143">
        <f>'[1]Master data'!B54</f>
        <v>18</v>
      </c>
      <c r="C54" s="326">
        <f>'[1]Hist Growth'!D54</f>
        <v>4.4485714285714293E-3</v>
      </c>
      <c r="D54" s="326">
        <f>[1]Margins!F55</f>
        <v>5.862214906298549E-2</v>
      </c>
      <c r="E54" s="326">
        <f>'[1]Return on capital'!H54</f>
        <v>0.1346554316629493</v>
      </c>
      <c r="F54" s="326">
        <f>'[1]Tax rates'!H55</f>
        <v>0.18451520894710177</v>
      </c>
      <c r="G54" s="327">
        <f>[1]Beta!H57</f>
        <v>1.1114678240357789</v>
      </c>
      <c r="H54" s="327">
        <f>[1]Beta!C57</f>
        <v>1.3833133311473829</v>
      </c>
      <c r="I54" s="326">
        <f>[1]WACC!D65</f>
        <v>7.3752485240649035E-2</v>
      </c>
      <c r="J54" s="326">
        <f>[1]optvar!C59</f>
        <v>0.31005686583587028</v>
      </c>
      <c r="K54" s="326">
        <f>[1]WACC!G65</f>
        <v>3.1600000000000003E-2</v>
      </c>
      <c r="L54" s="326">
        <f>'[1]Debt fundamentals'!F54</f>
        <v>0.32549289286882366</v>
      </c>
      <c r="M54" s="326">
        <f>[1]WACC!K65</f>
        <v>5.7255045516102984E-2</v>
      </c>
      <c r="N54" s="327">
        <f>'[1]Cap Ex'!J54</f>
        <v>2.4298078223911808</v>
      </c>
      <c r="O54" s="327">
        <f>[1]PS!E54</f>
        <v>1.3146610216133467</v>
      </c>
      <c r="P54" s="327">
        <f>[1]EVEBITDA!D55</f>
        <v>11.573254454389193</v>
      </c>
      <c r="Q54" s="327">
        <f>[1]EVEBITDA!E55</f>
        <v>21.696395332139399</v>
      </c>
      <c r="R54" s="327">
        <f>[1]PBV!C54</f>
        <v>2.6994276089306122</v>
      </c>
      <c r="S54" s="327">
        <f>[1]PE!D54</f>
        <v>38.426979146822177</v>
      </c>
      <c r="T54" s="326">
        <f>'[1]Working capital'!F54</f>
        <v>6.6671915555716943E-2</v>
      </c>
      <c r="U54" s="326">
        <f>'[1]Summary sheet uValue'!G63</f>
        <v>2.7098901948020775E-2</v>
      </c>
      <c r="V54" s="326">
        <f>'[1]Cap Ex'!H54</f>
        <v>0.11223551160277657</v>
      </c>
      <c r="W54" s="326">
        <f>[1]fundgrEB!D54</f>
        <v>2.1027902275695576</v>
      </c>
      <c r="X54" s="326">
        <f>[1]Fundgr!C54</f>
        <v>8.5010490977759132E-2</v>
      </c>
      <c r="Y54" s="326">
        <f>'[1]Dividend fundamentals'!E54</f>
        <v>0.71335584908172933</v>
      </c>
      <c r="Z54" s="326">
        <f>1-[1]Fundgr!D54</f>
        <v>0.71335584908172933</v>
      </c>
      <c r="AA54" s="328">
        <f>[1]Margins!J55</f>
        <v>6.0798503083181431E-2</v>
      </c>
    </row>
    <row r="55" spans="1:27" ht="14">
      <c r="A55" s="325" t="str">
        <f>'[1]Master data'!A55</f>
        <v>Oil/Gas (Integrated)</v>
      </c>
      <c r="B55" s="143">
        <f>'[1]Master data'!B55</f>
        <v>4</v>
      </c>
      <c r="C55" s="326">
        <f>'[1]Hist Growth'!D55</f>
        <v>6.0274999999999995E-2</v>
      </c>
      <c r="D55" s="326">
        <f>[1]Margins!F56</f>
        <v>7.193508452889813E-2</v>
      </c>
      <c r="E55" s="326">
        <f>'[1]Return on capital'!H55</f>
        <v>5.1210119591147636E-2</v>
      </c>
      <c r="F55" s="326">
        <f>'[1]Tax rates'!H56</f>
        <v>0.28077722807772282</v>
      </c>
      <c r="G55" s="327">
        <f>[1]Beta!H58</f>
        <v>1.2509261963653029</v>
      </c>
      <c r="H55" s="327">
        <f>[1]Beta!C58</f>
        <v>1.4653974739790023</v>
      </c>
      <c r="I55" s="326">
        <f>[1]WACC!D66</f>
        <v>7.7232852896709697E-2</v>
      </c>
      <c r="J55" s="326">
        <f>[1]optvar!C60</f>
        <v>0.28713169955029821</v>
      </c>
      <c r="K55" s="326">
        <f>[1]WACC!G66</f>
        <v>3.1600000000000003E-2</v>
      </c>
      <c r="L55" s="326">
        <f>'[1]Debt fundamentals'!F55</f>
        <v>0.21092384609364304</v>
      </c>
      <c r="M55" s="326">
        <f>[1]WACC!K66</f>
        <v>6.5808193800639292E-2</v>
      </c>
      <c r="N55" s="327">
        <f>'[1]Cap Ex'!J55</f>
        <v>0.85684313597046757</v>
      </c>
      <c r="O55" s="327">
        <f>[1]PS!E55</f>
        <v>1.5936553523567314</v>
      </c>
      <c r="P55" s="327">
        <f>[1]EVEBITDA!D56</f>
        <v>8.4156092934264581</v>
      </c>
      <c r="Q55" s="327">
        <f>[1]EVEBITDA!E56</f>
        <v>21.414311174536206</v>
      </c>
      <c r="R55" s="327">
        <f>[1]PBV!C55</f>
        <v>1.5848821540182265</v>
      </c>
      <c r="S55" s="327">
        <f>[1]PE!D55</f>
        <v>22.838354366481575</v>
      </c>
      <c r="T55" s="326">
        <f>'[1]Working capital'!F55</f>
        <v>3.5524484064293857E-2</v>
      </c>
      <c r="U55" s="326">
        <f>'[1]Summary sheet uValue'!G64</f>
        <v>5.4312103659352927E-2</v>
      </c>
      <c r="V55" s="326">
        <f>'[1]Cap Ex'!H55</f>
        <v>-5.8845786467718819E-2</v>
      </c>
      <c r="W55" s="326">
        <f>[1]fundgrEB!D55</f>
        <v>-0.69778096058894312</v>
      </c>
      <c r="X55" s="326">
        <f>[1]Fundgr!C55</f>
        <v>1.145744511682825E-2</v>
      </c>
      <c r="Y55" s="326">
        <f>'[1]Dividend fundamentals'!E55</f>
        <v>6.827594120539862</v>
      </c>
      <c r="Z55" s="326">
        <f>1-[1]Fundgr!D55</f>
        <v>6.827594120539862</v>
      </c>
      <c r="AA55" s="328">
        <f>[1]Margins!J56</f>
        <v>7.415685069357264E-2</v>
      </c>
    </row>
    <row r="56" spans="1:27" ht="14">
      <c r="A56" s="325" t="str">
        <f>'[1]Master data'!A56</f>
        <v>Oil/Gas (Production and Exploration)</v>
      </c>
      <c r="B56" s="143">
        <f>'[1]Master data'!B56</f>
        <v>183</v>
      </c>
      <c r="C56" s="326">
        <f>'[1]Hist Growth'!D56</f>
        <v>0.17416367816091952</v>
      </c>
      <c r="D56" s="326">
        <f>[1]Margins!F57</f>
        <v>-2.5735244267109877E-2</v>
      </c>
      <c r="E56" s="326">
        <f>'[1]Return on capital'!H56</f>
        <v>-1.5404225384707331E-2</v>
      </c>
      <c r="F56" s="326">
        <f>'[1]Tax rates'!H57</f>
        <v>0.18209773920738404</v>
      </c>
      <c r="G56" s="327">
        <f>[1]Beta!H59</f>
        <v>1.1279889221313977</v>
      </c>
      <c r="H56" s="327">
        <f>[1]Beta!C59</f>
        <v>1.3197265447114099</v>
      </c>
      <c r="I56" s="326">
        <f>[1]WACC!D67</f>
        <v>7.105640549576378E-2</v>
      </c>
      <c r="J56" s="326">
        <f>[1]optvar!C61</f>
        <v>0.55475619593509207</v>
      </c>
      <c r="K56" s="326">
        <f>[1]WACC!G67</f>
        <v>3.5780000000000006E-2</v>
      </c>
      <c r="L56" s="326">
        <f>'[1]Debt fundamentals'!F56</f>
        <v>0.2373774330007252</v>
      </c>
      <c r="M56" s="326">
        <f>[1]WACC!K67</f>
        <v>6.0389374484439894E-2</v>
      </c>
      <c r="N56" s="327">
        <f>'[1]Cap Ex'!J56</f>
        <v>0.64200873831564065</v>
      </c>
      <c r="O56" s="327">
        <f>[1]PS!E56</f>
        <v>3.1042400262695344</v>
      </c>
      <c r="P56" s="327">
        <f>[1]EVEBITDA!D57</f>
        <v>8.2784285892811127</v>
      </c>
      <c r="Q56" s="327" t="str">
        <f>[1]EVEBITDA!E57</f>
        <v>NA</v>
      </c>
      <c r="R56" s="327">
        <f>[1]PBV!C56</f>
        <v>2.2029606503589148</v>
      </c>
      <c r="S56" s="327">
        <f>[1]PE!D56</f>
        <v>31.014256465834645</v>
      </c>
      <c r="T56" s="326">
        <f>'[1]Working capital'!F56</f>
        <v>-0.11171523275829755</v>
      </c>
      <c r="U56" s="326">
        <f>'[1]Summary sheet uValue'!G65</f>
        <v>0.2016833547637718</v>
      </c>
      <c r="V56" s="326">
        <f>'[1]Cap Ex'!H56</f>
        <v>-0.11595086014036271</v>
      </c>
      <c r="W56" s="326" t="str">
        <f>[1]fundgrEB!D56</f>
        <v>NA</v>
      </c>
      <c r="X56" s="326">
        <f>[1]Fundgr!C56</f>
        <v>3.3014248214189759E-2</v>
      </c>
      <c r="Y56" s="326">
        <f>'[1]Dividend fundamentals'!E56</f>
        <v>1.2535179478377889</v>
      </c>
      <c r="Z56" s="326">
        <f>1-[1]Fundgr!D56</f>
        <v>1.2535179478377889</v>
      </c>
      <c r="AA56" s="328">
        <f>[1]Margins!J57</f>
        <v>-2.4493061940571305E-2</v>
      </c>
    </row>
    <row r="57" spans="1:27" ht="14">
      <c r="A57" s="325" t="str">
        <f>'[1]Master data'!A57</f>
        <v>Oil/Gas Distribution</v>
      </c>
      <c r="B57" s="143">
        <f>'[1]Master data'!B57</f>
        <v>21</v>
      </c>
      <c r="C57" s="326">
        <f>'[1]Hist Growth'!D57</f>
        <v>0.23890833333333333</v>
      </c>
      <c r="D57" s="326">
        <f>[1]Margins!F58</f>
        <v>0.1647794328411743</v>
      </c>
      <c r="E57" s="326">
        <f>'[1]Return on capital'!H57</f>
        <v>6.8107628630444755E-2</v>
      </c>
      <c r="F57" s="326">
        <f>'[1]Tax rates'!H58</f>
        <v>0.20284062480499349</v>
      </c>
      <c r="G57" s="327">
        <f>[1]Beta!H60</f>
        <v>0.86451087132141691</v>
      </c>
      <c r="H57" s="327">
        <f>[1]Beta!C60</f>
        <v>1.3956242779823214</v>
      </c>
      <c r="I57" s="326">
        <f>[1]WACC!D68</f>
        <v>7.4274469386450423E-2</v>
      </c>
      <c r="J57" s="326">
        <f>[1]optvar!C62</f>
        <v>0.44980453975922519</v>
      </c>
      <c r="K57" s="326">
        <f>[1]WACC!G68</f>
        <v>3.5780000000000006E-2</v>
      </c>
      <c r="L57" s="326">
        <f>'[1]Debt fundamentals'!F57</f>
        <v>0.46568676212319338</v>
      </c>
      <c r="M57" s="326">
        <f>[1]WACC!K68</f>
        <v>5.1849291044056611E-2</v>
      </c>
      <c r="N57" s="327">
        <f>'[1]Cap Ex'!J57</f>
        <v>0.4554735305819213</v>
      </c>
      <c r="O57" s="327">
        <f>[1]PS!E57</f>
        <v>3.5871977183433628</v>
      </c>
      <c r="P57" s="327">
        <f>[1]EVEBITDA!D58</f>
        <v>13.048366999140045</v>
      </c>
      <c r="Q57" s="327">
        <f>[1]EVEBITDA!E58</f>
        <v>21.622008634786763</v>
      </c>
      <c r="R57" s="327">
        <f>[1]PBV!C57</f>
        <v>1.9477559394216906</v>
      </c>
      <c r="S57" s="327">
        <f>[1]PE!D57</f>
        <v>262.0773905111414</v>
      </c>
      <c r="T57" s="326">
        <f>'[1]Working capital'!F57</f>
        <v>2.5768320305095335E-2</v>
      </c>
      <c r="U57" s="326">
        <f>'[1]Summary sheet uValue'!G66</f>
        <v>9.6837712214490473E-2</v>
      </c>
      <c r="V57" s="326">
        <f>'[1]Cap Ex'!H57</f>
        <v>-4.8825491439377063E-3</v>
      </c>
      <c r="W57" s="326">
        <f>[1]fundgrEB!D57</f>
        <v>-7.0551198500703044E-2</v>
      </c>
      <c r="X57" s="326">
        <f>[1]Fundgr!C57</f>
        <v>6.4365154419073867E-2</v>
      </c>
      <c r="Y57" s="326">
        <f>'[1]Dividend fundamentals'!E57</f>
        <v>1.9670513598113506</v>
      </c>
      <c r="Z57" s="326">
        <f>1-[1]Fundgr!D57</f>
        <v>1.9670513598113506</v>
      </c>
      <c r="AA57" s="328">
        <f>[1]Margins!J58</f>
        <v>0.16570397711834556</v>
      </c>
    </row>
    <row r="58" spans="1:27" ht="14">
      <c r="A58" s="325" t="str">
        <f>'[1]Master data'!A58</f>
        <v>Oilfield Svcs/Equip.</v>
      </c>
      <c r="B58" s="143">
        <f>'[1]Master data'!B58</f>
        <v>100</v>
      </c>
      <c r="C58" s="326">
        <f>'[1]Hist Growth'!D58</f>
        <v>1.0495409836065584E-2</v>
      </c>
      <c r="D58" s="326">
        <f>[1]Margins!F59</f>
        <v>1.1805408396134174E-2</v>
      </c>
      <c r="E58" s="326">
        <f>'[1]Return on capital'!H58</f>
        <v>2.8220421587216493E-2</v>
      </c>
      <c r="F58" s="326">
        <f>'[1]Tax rates'!H59</f>
        <v>0.26437359823321183</v>
      </c>
      <c r="G58" s="327">
        <f>[1]Beta!H61</f>
        <v>1.1791731857829815</v>
      </c>
      <c r="H58" s="327">
        <f>[1]Beta!C61</f>
        <v>1.495800528896629</v>
      </c>
      <c r="I58" s="326">
        <f>[1]WACC!D69</f>
        <v>7.8521942425217067E-2</v>
      </c>
      <c r="J58" s="326">
        <f>[1]optvar!C63</f>
        <v>0.49634640471939451</v>
      </c>
      <c r="K58" s="326">
        <f>[1]WACC!G69</f>
        <v>3.5780000000000006E-2</v>
      </c>
      <c r="L58" s="326">
        <f>'[1]Debt fundamentals'!F58</f>
        <v>0.3511837120668212</v>
      </c>
      <c r="M58" s="326">
        <f>[1]WACC!K69</f>
        <v>6.0119023054590257E-2</v>
      </c>
      <c r="N58" s="327">
        <f>'[1]Cap Ex'!J58</f>
        <v>2.2263229914417773</v>
      </c>
      <c r="O58" s="327">
        <f>[1]PS!E58</f>
        <v>0.73523369123177784</v>
      </c>
      <c r="P58" s="327">
        <f>[1]EVEBITDA!D59</f>
        <v>12.275052036190768</v>
      </c>
      <c r="Q58" s="327">
        <f>[1]EVEBITDA!E59</f>
        <v>51.63991412721672</v>
      </c>
      <c r="R58" s="327">
        <f>[1]PBV!C58</f>
        <v>1.5776095180848806</v>
      </c>
      <c r="S58" s="327">
        <f>[1]PE!D58</f>
        <v>48.896776007204394</v>
      </c>
      <c r="T58" s="326">
        <f>'[1]Working capital'!F58</f>
        <v>7.3674567261527296E-2</v>
      </c>
      <c r="U58" s="326">
        <f>'[1]Summary sheet uValue'!G67</f>
        <v>2.4153192708063643E-2</v>
      </c>
      <c r="V58" s="326">
        <f>'[1]Cap Ex'!H58</f>
        <v>-7.4023497127780344E-3</v>
      </c>
      <c r="W58" s="326">
        <f>[1]fundgrEB!D58</f>
        <v>-1.5396936614031376</v>
      </c>
      <c r="X58" s="326">
        <f>[1]Fundgr!C58</f>
        <v>5.6222347958734646E-2</v>
      </c>
      <c r="Y58" s="326">
        <f>'[1]Dividend fundamentals'!E58</f>
        <v>0.88903544096282505</v>
      </c>
      <c r="Z58" s="326">
        <f>1-[1]Fundgr!D58</f>
        <v>0.88903544096282505</v>
      </c>
      <c r="AA58" s="328">
        <f>[1]Margins!J59</f>
        <v>1.3201154390047388E-2</v>
      </c>
    </row>
    <row r="59" spans="1:27" ht="14">
      <c r="A59" s="325" t="str">
        <f>'[1]Master data'!A59</f>
        <v>Packaging &amp; Container</v>
      </c>
      <c r="B59" s="143">
        <f>'[1]Master data'!B59</f>
        <v>26</v>
      </c>
      <c r="C59" s="326">
        <f>'[1]Hist Growth'!D59</f>
        <v>4.9203333333333321E-2</v>
      </c>
      <c r="D59" s="326">
        <f>[1]Margins!F60</f>
        <v>9.7250826603968304E-2</v>
      </c>
      <c r="E59" s="326">
        <f>'[1]Return on capital'!H59</f>
        <v>0.15402729505724777</v>
      </c>
      <c r="F59" s="326">
        <f>'[1]Tax rates'!H60</f>
        <v>0.23220825745215409</v>
      </c>
      <c r="G59" s="327">
        <f>[1]Beta!H62</f>
        <v>0.77829582130724728</v>
      </c>
      <c r="H59" s="327">
        <f>[1]Beta!C62</f>
        <v>1.0097052308922077</v>
      </c>
      <c r="I59" s="326">
        <f>[1]WACC!D70</f>
        <v>5.7911501789829609E-2</v>
      </c>
      <c r="J59" s="326">
        <f>[1]optvar!C64</f>
        <v>0.26384174426916995</v>
      </c>
      <c r="K59" s="326">
        <f>[1]WACC!G70</f>
        <v>3.1600000000000003E-2</v>
      </c>
      <c r="L59" s="326">
        <f>'[1]Debt fundamentals'!F59</f>
        <v>0.33193002325534898</v>
      </c>
      <c r="M59" s="326">
        <f>[1]WACC!K70</f>
        <v>4.6345897430433672E-2</v>
      </c>
      <c r="N59" s="327">
        <f>'[1]Cap Ex'!J59</f>
        <v>1.8711804280606843</v>
      </c>
      <c r="O59" s="327">
        <f>[1]PS!E59</f>
        <v>1.6338160595297411</v>
      </c>
      <c r="P59" s="327">
        <f>[1]EVEBITDA!D60</f>
        <v>10.228085886752773</v>
      </c>
      <c r="Q59" s="327">
        <f>[1]EVEBITDA!E60</f>
        <v>16.519183480110314</v>
      </c>
      <c r="R59" s="327">
        <f>[1]PBV!C59</f>
        <v>3.3335307303109696</v>
      </c>
      <c r="S59" s="327">
        <f>[1]PE!D59</f>
        <v>20.029117124534505</v>
      </c>
      <c r="T59" s="326">
        <f>'[1]Working capital'!F59</f>
        <v>0.10550237246639352</v>
      </c>
      <c r="U59" s="326">
        <f>'[1]Summary sheet uValue'!G68</f>
        <v>5.4787519267344008E-2</v>
      </c>
      <c r="V59" s="326">
        <f>'[1]Cap Ex'!H59</f>
        <v>3.4348355808041665E-2</v>
      </c>
      <c r="W59" s="326">
        <f>[1]fundgrEB!D59</f>
        <v>0.57285319724478201</v>
      </c>
      <c r="X59" s="326">
        <f>[1]Fundgr!C59</f>
        <v>0.21017845508598382</v>
      </c>
      <c r="Y59" s="326">
        <f>'[1]Dividend fundamentals'!E59</f>
        <v>0.3221169017587649</v>
      </c>
      <c r="Z59" s="326">
        <f>1-[1]Fundgr!D59</f>
        <v>0.32211690175876484</v>
      </c>
      <c r="AA59" s="328">
        <f>[1]Margins!J60</f>
        <v>9.9216842340361711E-2</v>
      </c>
    </row>
    <row r="60" spans="1:27" ht="14">
      <c r="A60" s="325" t="str">
        <f>'[1]Master data'!A60</f>
        <v>Paper/Forest Products</v>
      </c>
      <c r="B60" s="143">
        <f>'[1]Master data'!B60</f>
        <v>11</v>
      </c>
      <c r="C60" s="326">
        <f>'[1]Hist Growth'!D60</f>
        <v>1.5074999999999996E-2</v>
      </c>
      <c r="D60" s="326">
        <f>[1]Margins!F61</f>
        <v>0.18642351133744914</v>
      </c>
      <c r="E60" s="326">
        <f>'[1]Return on capital'!H60</f>
        <v>0.44889363114442454</v>
      </c>
      <c r="F60" s="326">
        <f>'[1]Tax rates'!H61</f>
        <v>0.22278152351438507</v>
      </c>
      <c r="G60" s="327">
        <f>[1]Beta!H63</f>
        <v>0.9984958405826988</v>
      </c>
      <c r="H60" s="327">
        <f>[1]Beta!C63</f>
        <v>1.2135156840120447</v>
      </c>
      <c r="I60" s="326">
        <f>[1]WACC!D71</f>
        <v>6.6553065002110695E-2</v>
      </c>
      <c r="J60" s="326">
        <f>[1]optvar!C65</f>
        <v>0.3060750308260442</v>
      </c>
      <c r="K60" s="326">
        <f>[1]WACC!G71</f>
        <v>3.1600000000000003E-2</v>
      </c>
      <c r="L60" s="326">
        <f>'[1]Debt fundamentals'!F60</f>
        <v>0.29240120683917453</v>
      </c>
      <c r="M60" s="326">
        <f>[1]WACC!K71</f>
        <v>5.3837979516013573E-2</v>
      </c>
      <c r="N60" s="327">
        <f>'[1]Cap Ex'!J60</f>
        <v>2.7115199751791477</v>
      </c>
      <c r="O60" s="327">
        <f>[1]PS!E60</f>
        <v>1.1412193846010927</v>
      </c>
      <c r="P60" s="327">
        <f>[1]EVEBITDA!D61</f>
        <v>4.8289341051332526</v>
      </c>
      <c r="Q60" s="327">
        <f>[1]EVEBITDA!E61</f>
        <v>6.0654357945118749</v>
      </c>
      <c r="R60" s="327">
        <f>[1]PBV!C60</f>
        <v>2.8439155419074638</v>
      </c>
      <c r="S60" s="327">
        <f>[1]PE!D60</f>
        <v>15.640293643365814</v>
      </c>
      <c r="T60" s="326">
        <f>'[1]Working capital'!F60</f>
        <v>0.11341339725169991</v>
      </c>
      <c r="U60" s="326">
        <f>'[1]Summary sheet uValue'!G69</f>
        <v>2.8734885771999202E-2</v>
      </c>
      <c r="V60" s="326">
        <f>'[1]Cap Ex'!H60</f>
        <v>5.8668027539901531E-2</v>
      </c>
      <c r="W60" s="326">
        <f>[1]fundgrEB!D60</f>
        <v>0.31971255047887959</v>
      </c>
      <c r="X60" s="326">
        <f>[1]Fundgr!C60</f>
        <v>0.43670948779762891</v>
      </c>
      <c r="Y60" s="326">
        <f>'[1]Dividend fundamentals'!E60</f>
        <v>0.10996323700497929</v>
      </c>
      <c r="Z60" s="326">
        <f>1-[1]Fundgr!D60</f>
        <v>0.10996323700497923</v>
      </c>
      <c r="AA60" s="328">
        <f>[1]Margins!J61</f>
        <v>0.18810964665086452</v>
      </c>
    </row>
    <row r="61" spans="1:27" ht="14">
      <c r="A61" s="325" t="str">
        <f>'[1]Master data'!A61</f>
        <v>Power</v>
      </c>
      <c r="B61" s="143">
        <f>'[1]Master data'!B61</f>
        <v>50</v>
      </c>
      <c r="C61" s="326">
        <f>'[1]Hist Growth'!D61</f>
        <v>4.3318666666666658E-2</v>
      </c>
      <c r="D61" s="326">
        <f>[1]Margins!F62</f>
        <v>0.18772404701085513</v>
      </c>
      <c r="E61" s="326">
        <f>'[1]Return on capital'!H61</f>
        <v>6.0578387256124119E-2</v>
      </c>
      <c r="F61" s="326">
        <f>'[1]Tax rates'!H62</f>
        <v>0.1851884091768615</v>
      </c>
      <c r="G61" s="327">
        <f>[1]Beta!H64</f>
        <v>0.55746416310695091</v>
      </c>
      <c r="H61" s="327">
        <f>[1]Beta!C64</f>
        <v>0.83307251944889882</v>
      </c>
      <c r="I61" s="326">
        <f>[1]WACC!D72</f>
        <v>5.0422274824633309E-2</v>
      </c>
      <c r="J61" s="326">
        <f>[1]optvar!C66</f>
        <v>0.19494311438548956</v>
      </c>
      <c r="K61" s="326">
        <f>[1]WACC!G72</f>
        <v>2.5000000000000001E-2</v>
      </c>
      <c r="L61" s="326">
        <f>'[1]Debt fundamentals'!F61</f>
        <v>0.41703172422011858</v>
      </c>
      <c r="M61" s="326">
        <f>[1]WACC!K72</f>
        <v>3.7005415582432963E-2</v>
      </c>
      <c r="N61" s="327">
        <f>'[1]Cap Ex'!J61</f>
        <v>0.38380918883827342</v>
      </c>
      <c r="O61" s="327">
        <f>[1]PS!E61</f>
        <v>4.4144705603570777</v>
      </c>
      <c r="P61" s="327">
        <f>[1]EVEBITDA!D62</f>
        <v>12.364212573981037</v>
      </c>
      <c r="Q61" s="327">
        <f>[1]EVEBITDA!E62</f>
        <v>23.271194791256637</v>
      </c>
      <c r="R61" s="327">
        <f>[1]PBV!C61</f>
        <v>2.083068186877219</v>
      </c>
      <c r="S61" s="327">
        <f>[1]PE!D61</f>
        <v>25.245852170430176</v>
      </c>
      <c r="T61" s="326">
        <f>'[1]Working capital'!F61</f>
        <v>3.6381447289186096E-2</v>
      </c>
      <c r="U61" s="326">
        <f>'[1]Summary sheet uValue'!G70</f>
        <v>0.33224701860246092</v>
      </c>
      <c r="V61" s="326">
        <f>'[1]Cap Ex'!H61</f>
        <v>0.21009112186857623</v>
      </c>
      <c r="W61" s="326">
        <f>[1]fundgrEB!D61</f>
        <v>1.4255440506121446</v>
      </c>
      <c r="X61" s="326">
        <f>[1]Fundgr!C61</f>
        <v>8.1445853549044309E-2</v>
      </c>
      <c r="Y61" s="326">
        <f>'[1]Dividend fundamentals'!E61</f>
        <v>0.8202972610605308</v>
      </c>
      <c r="Z61" s="326">
        <f>1-[1]Fundgr!D61</f>
        <v>0.8202972610605308</v>
      </c>
      <c r="AA61" s="328">
        <f>[1]Margins!J62</f>
        <v>0.18701608760402491</v>
      </c>
    </row>
    <row r="62" spans="1:27" ht="14">
      <c r="A62" s="325" t="str">
        <f>'[1]Master data'!A62</f>
        <v>Precious Metals</v>
      </c>
      <c r="B62" s="143">
        <f>'[1]Master data'!B62</f>
        <v>76</v>
      </c>
      <c r="C62" s="326">
        <f>'[1]Hist Growth'!D62</f>
        <v>7.9791666666666664E-2</v>
      </c>
      <c r="D62" s="326">
        <f>[1]Margins!F63</f>
        <v>0.27578688158974962</v>
      </c>
      <c r="E62" s="326">
        <f>'[1]Return on capital'!H62</f>
        <v>0.14749841120018942</v>
      </c>
      <c r="F62" s="326">
        <f>'[1]Tax rates'!H63</f>
        <v>0.36392582072271995</v>
      </c>
      <c r="G62" s="327">
        <f>[1]Beta!H65</f>
        <v>0.9873774941222514</v>
      </c>
      <c r="H62" s="327">
        <f>[1]Beta!C65</f>
        <v>0.98945219191732581</v>
      </c>
      <c r="I62" s="326">
        <f>[1]WACC!D73</f>
        <v>5.7052772937294619E-2</v>
      </c>
      <c r="J62" s="326">
        <f>[1]optvar!C67</f>
        <v>0.56288380171731567</v>
      </c>
      <c r="K62" s="326">
        <f>[1]WACC!G73</f>
        <v>3.5780000000000006E-2</v>
      </c>
      <c r="L62" s="326">
        <f>'[1]Debt fundamentals'!F62</f>
        <v>0.10720424716920174</v>
      </c>
      <c r="M62" s="326">
        <f>[1]WACC!K73</f>
        <v>5.3736583979147795E-2</v>
      </c>
      <c r="N62" s="327">
        <f>'[1]Cap Ex'!J62</f>
        <v>0.55048300611940637</v>
      </c>
      <c r="O62" s="327">
        <f>[1]PS!E62</f>
        <v>4.2466507371360098</v>
      </c>
      <c r="P62" s="327">
        <f>[1]EVEBITDA!D63</f>
        <v>8.4778925238075242</v>
      </c>
      <c r="Q62" s="327">
        <f>[1]EVEBITDA!E63</f>
        <v>14.598203236142117</v>
      </c>
      <c r="R62" s="327">
        <f>[1]PBV!C62</f>
        <v>2.1343542668949071</v>
      </c>
      <c r="S62" s="327">
        <f>[1]PE!D62</f>
        <v>22.832502122046932</v>
      </c>
      <c r="T62" s="326">
        <f>'[1]Working capital'!F62</f>
        <v>0.1186354688634729</v>
      </c>
      <c r="U62" s="326">
        <f>'[1]Summary sheet uValue'!G71</f>
        <v>0.1736881191825983</v>
      </c>
      <c r="V62" s="326">
        <f>'[1]Cap Ex'!H62</f>
        <v>1.7131135537011809E-2</v>
      </c>
      <c r="W62" s="326">
        <f>[1]fundgrEB!D62</f>
        <v>0.17847446526810565</v>
      </c>
      <c r="X62" s="326">
        <f>[1]Fundgr!C62</f>
        <v>7.9916718101295053E-2</v>
      </c>
      <c r="Y62" s="326">
        <f>'[1]Dividend fundamentals'!E62</f>
        <v>0.78238216159668894</v>
      </c>
      <c r="Z62" s="326">
        <f>1-[1]Fundgr!D62</f>
        <v>0.78238216159668894</v>
      </c>
      <c r="AA62" s="328">
        <f>[1]Margins!J63</f>
        <v>0.27651527281250182</v>
      </c>
    </row>
    <row r="63" spans="1:27" ht="14">
      <c r="A63" s="325" t="str">
        <f>'[1]Master data'!A63</f>
        <v>Publishing &amp; Newspapers</v>
      </c>
      <c r="B63" s="143">
        <f>'[1]Master data'!B63</f>
        <v>21</v>
      </c>
      <c r="C63" s="326">
        <f>'[1]Hist Growth'!D63</f>
        <v>1.5181333333333333E-2</v>
      </c>
      <c r="D63" s="326">
        <f>[1]Margins!F64</f>
        <v>7.7882018251849955E-2</v>
      </c>
      <c r="E63" s="326">
        <f>'[1]Return on capital'!H63</f>
        <v>0.15765441430228599</v>
      </c>
      <c r="F63" s="326">
        <f>'[1]Tax rates'!H64</f>
        <v>0.21152377804875272</v>
      </c>
      <c r="G63" s="327">
        <f>[1]Beta!H66</f>
        <v>1.4642640113348089</v>
      </c>
      <c r="H63" s="327">
        <f>[1]Beta!C66</f>
        <v>1.6937211681264039</v>
      </c>
      <c r="I63" s="326">
        <f>[1]WACC!D74</f>
        <v>8.6913777528559527E-2</v>
      </c>
      <c r="J63" s="326">
        <f>[1]optvar!C68</f>
        <v>0.30800241644332438</v>
      </c>
      <c r="K63" s="326">
        <f>[1]WACC!G74</f>
        <v>3.1600000000000003E-2</v>
      </c>
      <c r="L63" s="326">
        <f>'[1]Debt fundamentals'!F63</f>
        <v>0.26904107653895759</v>
      </c>
      <c r="M63" s="326">
        <f>[1]WACC!K74</f>
        <v>6.9736640809809097E-2</v>
      </c>
      <c r="N63" s="327">
        <f>'[1]Cap Ex'!J63</f>
        <v>2.2837005270147084</v>
      </c>
      <c r="O63" s="327">
        <f>[1]PS!E63</f>
        <v>1.3123696996451621</v>
      </c>
      <c r="P63" s="327">
        <f>[1]EVEBITDA!D64</f>
        <v>9.5732621953810355</v>
      </c>
      <c r="Q63" s="327">
        <f>[1]EVEBITDA!E64</f>
        <v>17.030570133812773</v>
      </c>
      <c r="R63" s="327">
        <f>[1]PBV!C63</f>
        <v>2.0434486162327259</v>
      </c>
      <c r="S63" s="327">
        <f>[1]PE!D63</f>
        <v>24.656007410005383</v>
      </c>
      <c r="T63" s="326">
        <f>'[1]Working capital'!F63</f>
        <v>0.11861199635602303</v>
      </c>
      <c r="U63" s="326">
        <f>'[1]Summary sheet uValue'!G72</f>
        <v>2.7567837107832949E-2</v>
      </c>
      <c r="V63" s="326">
        <f>'[1]Cap Ex'!H63</f>
        <v>5.6844475698828507E-2</v>
      </c>
      <c r="W63" s="326">
        <f>[1]fundgrEB!D63</f>
        <v>0.90513735450875454</v>
      </c>
      <c r="X63" s="326">
        <f>[1]Fundgr!C63</f>
        <v>8.4433371060487539E-2</v>
      </c>
      <c r="Y63" s="326">
        <f>'[1]Dividend fundamentals'!E63</f>
        <v>0.34648325746261932</v>
      </c>
      <c r="Z63" s="326">
        <f>1-[1]Fundgr!D63</f>
        <v>0.34648325746261932</v>
      </c>
      <c r="AA63" s="328">
        <f>[1]Margins!J64</f>
        <v>7.7974882970486423E-2</v>
      </c>
    </row>
    <row r="64" spans="1:27" ht="14">
      <c r="A64" s="325" t="str">
        <f>'[1]Master data'!A64</f>
        <v>R.E.I.T.</v>
      </c>
      <c r="B64" s="143">
        <f>'[1]Master data'!B64</f>
        <v>238</v>
      </c>
      <c r="C64" s="326">
        <f>'[1]Hist Growth'!D64</f>
        <v>8.1593266331658268E-2</v>
      </c>
      <c r="D64" s="326">
        <f>[1]Margins!F65</f>
        <v>0.23884478741278709</v>
      </c>
      <c r="E64" s="326">
        <f>'[1]Return on capital'!H64</f>
        <v>2.748301739470577E-2</v>
      </c>
      <c r="F64" s="326">
        <f>'[1]Tax rates'!H65</f>
        <v>4.7930257626224437E-2</v>
      </c>
      <c r="G64" s="327">
        <f>[1]Beta!H67</f>
        <v>0.98822165167975773</v>
      </c>
      <c r="H64" s="327">
        <f>[1]Beta!C67</f>
        <v>1.3487431776038159</v>
      </c>
      <c r="I64" s="326">
        <f>[1]WACC!D75</f>
        <v>7.2286710730401799E-2</v>
      </c>
      <c r="J64" s="326">
        <f>[1]optvar!C69</f>
        <v>0.3264730533309092</v>
      </c>
      <c r="K64" s="326">
        <f>[1]WACC!G75</f>
        <v>3.1600000000000003E-2</v>
      </c>
      <c r="L64" s="326">
        <f>'[1]Debt fundamentals'!F64</f>
        <v>0.3498030592405354</v>
      </c>
      <c r="M64" s="326">
        <f>[1]WACC!K75</f>
        <v>5.5069855145032279E-2</v>
      </c>
      <c r="N64" s="327">
        <f>'[1]Cap Ex'!J64</f>
        <v>0.13741590713754628</v>
      </c>
      <c r="O64" s="327">
        <f>[1]PS!E64</f>
        <v>14.228009121413081</v>
      </c>
      <c r="P64" s="327">
        <f>[1]EVEBITDA!D65</f>
        <v>26.809893880742447</v>
      </c>
      <c r="Q64" s="327">
        <f>[1]EVEBITDA!E65</f>
        <v>64.774025705309413</v>
      </c>
      <c r="R64" s="327">
        <f>[1]PBV!C64</f>
        <v>2.8050848241846964</v>
      </c>
      <c r="S64" s="327">
        <f>[1]PE!D64</f>
        <v>62.795600413826357</v>
      </c>
      <c r="T64" s="326">
        <f>'[1]Working capital'!F64</f>
        <v>1.0709228623626357</v>
      </c>
      <c r="U64" s="326">
        <f>'[1]Summary sheet uValue'!G73</f>
        <v>2.8416951317659932E-2</v>
      </c>
      <c r="V64" s="326">
        <f>'[1]Cap Ex'!H64</f>
        <v>-3.3598271002145033E-2</v>
      </c>
      <c r="W64" s="326">
        <f>[1]fundgrEB!D64</f>
        <v>-0.19172257417070962</v>
      </c>
      <c r="X64" s="326">
        <f>[1]Fundgr!C64</f>
        <v>7.8118868019091278E-2</v>
      </c>
      <c r="Y64" s="326">
        <f>'[1]Dividend fundamentals'!E64</f>
        <v>1.123808598942081</v>
      </c>
      <c r="Z64" s="326">
        <f>1-[1]Fundgr!D64</f>
        <v>1.123808598942081</v>
      </c>
      <c r="AA64" s="328">
        <f>[1]Margins!J65</f>
        <v>0.20396040760574599</v>
      </c>
    </row>
    <row r="65" spans="1:27" ht="14">
      <c r="A65" s="325" t="str">
        <f>'[1]Master data'!A65</f>
        <v>Real Estate (Development)</v>
      </c>
      <c r="B65" s="143">
        <f>'[1]Master data'!B65</f>
        <v>19</v>
      </c>
      <c r="C65" s="326">
        <f>'[1]Hist Growth'!D65</f>
        <v>-8.4280000000000008E-2</v>
      </c>
      <c r="D65" s="326">
        <f>[1]Margins!F66</f>
        <v>7.4358588416750762E-2</v>
      </c>
      <c r="E65" s="326">
        <f>'[1]Return on capital'!H65</f>
        <v>1.2884336467941742E-2</v>
      </c>
      <c r="F65" s="326">
        <f>'[1]Tax rates'!H66</f>
        <v>0.21333719949954633</v>
      </c>
      <c r="G65" s="327">
        <f>[1]Beta!H68</f>
        <v>0.74244118019660266</v>
      </c>
      <c r="H65" s="327">
        <f>[1]Beta!C68</f>
        <v>1.0625427746169613</v>
      </c>
      <c r="I65" s="326">
        <f>[1]WACC!D76</f>
        <v>6.0151813643759162E-2</v>
      </c>
      <c r="J65" s="326">
        <f>[1]optvar!C70</f>
        <v>0.5132233183429773</v>
      </c>
      <c r="K65" s="326">
        <f>[1]WACC!G76</f>
        <v>3.5780000000000006E-2</v>
      </c>
      <c r="L65" s="326">
        <f>'[1]Debt fundamentals'!F65</f>
        <v>0.44425391464556702</v>
      </c>
      <c r="M65" s="326">
        <f>[1]WACC!K76</f>
        <v>4.5032780657681945E-2</v>
      </c>
      <c r="N65" s="327">
        <f>'[1]Cap Ex'!J65</f>
        <v>0.25614587241813269</v>
      </c>
      <c r="O65" s="327">
        <f>[1]PS!E65</f>
        <v>5.2270000621744046</v>
      </c>
      <c r="P65" s="327">
        <f>[1]EVEBITDA!D66</f>
        <v>26.837721323363908</v>
      </c>
      <c r="Q65" s="327">
        <f>[1]EVEBITDA!E66</f>
        <v>93.936759696315946</v>
      </c>
      <c r="R65" s="327">
        <f>[1]PBV!C65</f>
        <v>1.4269405749882402</v>
      </c>
      <c r="S65" s="327">
        <f>[1]PE!D65</f>
        <v>494.99392273171344</v>
      </c>
      <c r="T65" s="326">
        <f>'[1]Working capital'!F65</f>
        <v>-0.1066466991434878</v>
      </c>
      <c r="U65" s="326">
        <f>'[1]Summary sheet uValue'!G74</f>
        <v>5.8050697327131102E-3</v>
      </c>
      <c r="V65" s="326">
        <f>'[1]Cap Ex'!H65</f>
        <v>-8.3581842181590024E-2</v>
      </c>
      <c r="W65" s="326">
        <f>[1]fundgrEB!D65</f>
        <v>-5.5362123780783943</v>
      </c>
      <c r="X65" s="326">
        <f>[1]Fundgr!C65</f>
        <v>-4.6114032236593177E-3</v>
      </c>
      <c r="Y65" s="326">
        <f>'[1]Dividend fundamentals'!E65</f>
        <v>0</v>
      </c>
      <c r="Z65" s="326">
        <f>1-[1]Fundgr!D65</f>
        <v>0</v>
      </c>
      <c r="AA65" s="328">
        <f>[1]Margins!J66</f>
        <v>5.1645955430485814E-2</v>
      </c>
    </row>
    <row r="66" spans="1:27" ht="14">
      <c r="A66" s="325" t="str">
        <f>'[1]Master data'!A66</f>
        <v>Real Estate (General/Diversified)</v>
      </c>
      <c r="B66" s="143">
        <f>'[1]Master data'!B66</f>
        <v>10</v>
      </c>
      <c r="C66" s="326">
        <f>'[1]Hist Growth'!D66</f>
        <v>9.0999999999999984E-2</v>
      </c>
      <c r="D66" s="326">
        <f>[1]Margins!F67</f>
        <v>0.15457152166829585</v>
      </c>
      <c r="E66" s="326">
        <f>'[1]Return on capital'!H66</f>
        <v>5.0101285548222817E-2</v>
      </c>
      <c r="F66" s="326">
        <f>'[1]Tax rates'!H67</f>
        <v>0.20637910599390452</v>
      </c>
      <c r="G66" s="327">
        <f>[1]Beta!H69</f>
        <v>0.83326634114682563</v>
      </c>
      <c r="H66" s="327">
        <f>[1]Beta!C69</f>
        <v>0.90643693715530971</v>
      </c>
      <c r="I66" s="326">
        <f>[1]WACC!D77</f>
        <v>5.3532926135385135E-2</v>
      </c>
      <c r="J66" s="326">
        <f>[1]optvar!C71</f>
        <v>0.30698705855207647</v>
      </c>
      <c r="K66" s="326">
        <f>[1]WACC!G77</f>
        <v>3.1600000000000003E-2</v>
      </c>
      <c r="L66" s="326">
        <f>'[1]Debt fundamentals'!F66</f>
        <v>0.20890330406052429</v>
      </c>
      <c r="M66" s="326">
        <f>[1]WACC!K77</f>
        <v>4.716870240774336E-2</v>
      </c>
      <c r="N66" s="327">
        <f>'[1]Cap Ex'!J66</f>
        <v>0.36286422554519188</v>
      </c>
      <c r="O66" s="327">
        <f>[1]PS!E66</f>
        <v>6.0613040929319917</v>
      </c>
      <c r="P66" s="327">
        <f>[1]EVEBITDA!D67</f>
        <v>19.93412638096785</v>
      </c>
      <c r="Q66" s="327">
        <f>[1]EVEBITDA!E67</f>
        <v>32.231856879762837</v>
      </c>
      <c r="R66" s="327">
        <f>[1]PBV!C66</f>
        <v>1.3344122657580912</v>
      </c>
      <c r="S66" s="327">
        <f>[1]PE!D66</f>
        <v>68.454423504321937</v>
      </c>
      <c r="T66" s="326">
        <f>'[1]Working capital'!F66</f>
        <v>2.5099044205495828</v>
      </c>
      <c r="U66" s="326">
        <f>'[1]Summary sheet uValue'!G75</f>
        <v>1.7342239600304118E-2</v>
      </c>
      <c r="V66" s="326">
        <f>'[1]Cap Ex'!H66</f>
        <v>7.2553491908330535E-4</v>
      </c>
      <c r="W66" s="326">
        <f>[1]fundgrEB!D66</f>
        <v>1.1509958995078493</v>
      </c>
      <c r="X66" s="326">
        <f>[1]Fundgr!C66</f>
        <v>6.2898372315688691E-2</v>
      </c>
      <c r="Y66" s="326">
        <f>'[1]Dividend fundamentals'!E66</f>
        <v>0.31314559095357181</v>
      </c>
      <c r="Z66" s="326">
        <f>1-[1]Fundgr!D66</f>
        <v>0.31314559095357186</v>
      </c>
      <c r="AA66" s="328">
        <f>[1]Margins!J67</f>
        <v>0.15330320878408035</v>
      </c>
    </row>
    <row r="67" spans="1:27" ht="14">
      <c r="A67" s="325" t="str">
        <f>'[1]Master data'!A67</f>
        <v>Real Estate (Operations &amp; Services)</v>
      </c>
      <c r="B67" s="143">
        <f>'[1]Master data'!B67</f>
        <v>51</v>
      </c>
      <c r="C67" s="326">
        <f>'[1]Hist Growth'!D67</f>
        <v>5.4861904761904806E-2</v>
      </c>
      <c r="D67" s="326">
        <f>[1]Margins!F68</f>
        <v>2.908104439242231E-3</v>
      </c>
      <c r="E67" s="326">
        <f>'[1]Return on capital'!H67</f>
        <v>-2.7979285653854057E-2</v>
      </c>
      <c r="F67" s="326">
        <f>'[1]Tax rates'!H68</f>
        <v>0.22915300501466254</v>
      </c>
      <c r="G67" s="327">
        <f>[1]Beta!H70</f>
        <v>0.8711247503573315</v>
      </c>
      <c r="H67" s="327">
        <f>[1]Beta!C70</f>
        <v>1.1453386880064795</v>
      </c>
      <c r="I67" s="326">
        <f>[1]WACC!D78</f>
        <v>6.3662360371474727E-2</v>
      </c>
      <c r="J67" s="326">
        <f>[1]optvar!C72</f>
        <v>0.41428632688431055</v>
      </c>
      <c r="K67" s="326">
        <f>[1]WACC!G78</f>
        <v>3.5780000000000006E-2</v>
      </c>
      <c r="L67" s="326">
        <f>'[1]Debt fundamentals'!F67</f>
        <v>0.36046924354523768</v>
      </c>
      <c r="M67" s="326">
        <f>[1]WACC!K78</f>
        <v>5.0129277845920403E-2</v>
      </c>
      <c r="N67" s="327">
        <f>'[1]Cap Ex'!J67</f>
        <v>1.3475650254525198</v>
      </c>
      <c r="O67" s="327">
        <f>[1]PS!E67</f>
        <v>2.1828730872657123</v>
      </c>
      <c r="P67" s="327">
        <f>[1]EVEBITDA!D68</f>
        <v>20.84354465903348</v>
      </c>
      <c r="Q67" s="327" t="str">
        <f>[1]EVEBITDA!E68</f>
        <v>NA</v>
      </c>
      <c r="R67" s="327">
        <f>[1]PBV!C67</f>
        <v>3.6552262881439925</v>
      </c>
      <c r="S67" s="327">
        <f>[1]PE!D67</f>
        <v>35.265829146752985</v>
      </c>
      <c r="T67" s="326">
        <f>'[1]Working capital'!F67</f>
        <v>0.26835142725330152</v>
      </c>
      <c r="U67" s="326">
        <f>'[1]Summary sheet uValue'!G76</f>
        <v>1.4301572009245509E-2</v>
      </c>
      <c r="V67" s="326">
        <f>'[1]Cap Ex'!H67</f>
        <v>1.015086841400654E-2</v>
      </c>
      <c r="W67" s="326" t="str">
        <f>[1]fundgrEB!D67</f>
        <v>NA</v>
      </c>
      <c r="X67" s="326">
        <f>[1]Fundgr!C67</f>
        <v>-0.10814713330258764</v>
      </c>
      <c r="Y67" s="326">
        <f>'[1]Dividend fundamentals'!E67</f>
        <v>6.924828934076363E-4</v>
      </c>
      <c r="Z67" s="326">
        <f>1-[1]Fundgr!D67</f>
        <v>6.9248289340761993E-4</v>
      </c>
      <c r="AA67" s="328">
        <f>[1]Margins!J68</f>
        <v>-2.2518379977861221E-2</v>
      </c>
    </row>
    <row r="68" spans="1:27" ht="14">
      <c r="A68" s="325" t="str">
        <f>'[1]Master data'!A68</f>
        <v>Recreation</v>
      </c>
      <c r="B68" s="143">
        <f>'[1]Master data'!B68</f>
        <v>60</v>
      </c>
      <c r="C68" s="326">
        <f>'[1]Hist Growth'!D68</f>
        <v>7.5996896551724133E-2</v>
      </c>
      <c r="D68" s="326">
        <f>[1]Margins!F69</f>
        <v>0.11338293382467023</v>
      </c>
      <c r="E68" s="326">
        <f>'[1]Return on capital'!H68</f>
        <v>0.18444016078002451</v>
      </c>
      <c r="F68" s="326">
        <f>'[1]Tax rates'!H69</f>
        <v>0.19757046310467571</v>
      </c>
      <c r="G68" s="327">
        <f>[1]Beta!H71</f>
        <v>1.0736325867418679</v>
      </c>
      <c r="H68" s="327">
        <f>[1]Beta!C71</f>
        <v>1.2275901387348778</v>
      </c>
      <c r="I68" s="326">
        <f>[1]WACC!D79</f>
        <v>6.7149821882358823E-2</v>
      </c>
      <c r="J68" s="326">
        <f>[1]optvar!C73</f>
        <v>0.50354590966110735</v>
      </c>
      <c r="K68" s="326">
        <f>[1]WACC!G79</f>
        <v>3.5780000000000006E-2</v>
      </c>
      <c r="L68" s="326">
        <f>'[1]Debt fundamentals'!F68</f>
        <v>0.22826841628445271</v>
      </c>
      <c r="M68" s="326">
        <f>[1]WACC!K79</f>
        <v>5.7783872459789824E-2</v>
      </c>
      <c r="N68" s="327">
        <f>'[1]Cap Ex'!J68</f>
        <v>1.8536378685492867</v>
      </c>
      <c r="O68" s="327">
        <f>[1]PS!E68</f>
        <v>2.732831966710342</v>
      </c>
      <c r="P68" s="327">
        <f>[1]EVEBITDA!D69</f>
        <v>13.320045031608801</v>
      </c>
      <c r="Q68" s="327">
        <f>[1]EVEBITDA!E69</f>
        <v>24.04757365523351</v>
      </c>
      <c r="R68" s="327">
        <f>[1]PBV!C68</f>
        <v>5.3520372765415702</v>
      </c>
      <c r="S68" s="327">
        <f>[1]PE!D68</f>
        <v>28.205308755883312</v>
      </c>
      <c r="T68" s="326">
        <f>'[1]Working capital'!F68</f>
        <v>0.16206636067950578</v>
      </c>
      <c r="U68" s="326">
        <f>'[1]Summary sheet uValue'!G77</f>
        <v>4.6035370211971405E-2</v>
      </c>
      <c r="V68" s="326">
        <f>'[1]Cap Ex'!H68</f>
        <v>-4.3595322597696481E-2</v>
      </c>
      <c r="W68" s="326">
        <f>[1]fundgrEB!D68</f>
        <v>-0.29985700478481025</v>
      </c>
      <c r="X68" s="326">
        <f>[1]Fundgr!C68</f>
        <v>0.22762932541473643</v>
      </c>
      <c r="Y68" s="326">
        <f>'[1]Dividend fundamentals'!E68</f>
        <v>0.4798552925063892</v>
      </c>
      <c r="Z68" s="326">
        <f>1-[1]Fundgr!D68</f>
        <v>0.47985529250638925</v>
      </c>
      <c r="AA68" s="328">
        <f>[1]Margins!J69</f>
        <v>0.10743437826181099</v>
      </c>
    </row>
    <row r="69" spans="1:27" ht="14">
      <c r="A69" s="325" t="str">
        <f>'[1]Master data'!A69</f>
        <v>Reinsurance</v>
      </c>
      <c r="B69" s="143">
        <f>'[1]Master data'!B69</f>
        <v>2</v>
      </c>
      <c r="C69" s="326">
        <f>'[1]Hist Growth'!D69</f>
        <v>0.10414999999999999</v>
      </c>
      <c r="D69" s="326">
        <f>[1]Margins!F70</f>
        <v>7.3425126839075872E-2</v>
      </c>
      <c r="E69" s="326">
        <f>'[1]Return on capital'!H69</f>
        <v>6.6892016302657772E-2</v>
      </c>
      <c r="F69" s="326">
        <f>'[1]Tax rates'!H70</f>
        <v>0.22725963477158823</v>
      </c>
      <c r="G69" s="327">
        <f>[1]Beta!H72</f>
        <v>1.2950268765575916</v>
      </c>
      <c r="H69" s="327">
        <f>[1]Beta!C72</f>
        <v>1.3712668800409711</v>
      </c>
      <c r="I69" s="326">
        <f>[1]WACC!D80</f>
        <v>7.3241715713737179E-2</v>
      </c>
      <c r="J69" s="326">
        <f>[1]optvar!C74</f>
        <v>0.25945507184238659</v>
      </c>
      <c r="K69" s="326">
        <f>[1]WACC!G80</f>
        <v>3.1600000000000003E-2</v>
      </c>
      <c r="L69" s="326">
        <f>'[1]Debt fundamentals'!F69</f>
        <v>0.279797238850644</v>
      </c>
      <c r="M69" s="326">
        <f>[1]WACC!K80</f>
        <v>5.9203248594156349E-2</v>
      </c>
      <c r="N69" s="327">
        <f>'[1]Cap Ex'!J69</f>
        <v>1.1916412003962236</v>
      </c>
      <c r="O69" s="327">
        <f>[1]PS!E69</f>
        <v>0.687828362928392</v>
      </c>
      <c r="P69" s="327">
        <f>[1]EVEBITDA!D70</f>
        <v>7.4805949672981802</v>
      </c>
      <c r="Q69" s="327">
        <f>[1]EVEBITDA!E70</f>
        <v>9.4393544654726984</v>
      </c>
      <c r="R69" s="327">
        <f>[1]PBV!C69</f>
        <v>0.751892579633753</v>
      </c>
      <c r="S69" s="327">
        <f>[1]PE!D69</f>
        <v>12.98711049088983</v>
      </c>
      <c r="T69" s="326">
        <f>'[1]Working capital'!F69</f>
        <v>2.0911209017732094E-2</v>
      </c>
      <c r="U69" s="326">
        <f>'[1]Summary sheet uValue'!G78</f>
        <v>2.9468763836165289E-3</v>
      </c>
      <c r="V69" s="326">
        <f>'[1]Cap Ex'!H69</f>
        <v>-2.950505541724427E-3</v>
      </c>
      <c r="W69" s="326">
        <f>[1]fundgrEB!D69</f>
        <v>9.8321019937330181E-2</v>
      </c>
      <c r="X69" s="326">
        <f>[1]Fundgr!C69</f>
        <v>5.8265781462054793E-2</v>
      </c>
      <c r="Y69" s="326">
        <f>'[1]Dividend fundamentals'!E69</f>
        <v>0.15187283600881335</v>
      </c>
      <c r="Z69" s="326">
        <f>1-[1]Fundgr!D69</f>
        <v>0.15187283600881329</v>
      </c>
      <c r="AA69" s="328">
        <f>[1]Margins!J70</f>
        <v>7.286815697454023E-2</v>
      </c>
    </row>
    <row r="70" spans="1:27" ht="14">
      <c r="A70" s="325" t="str">
        <f>'[1]Master data'!A70</f>
        <v>Restaurant/Dining</v>
      </c>
      <c r="B70" s="143">
        <f>'[1]Master data'!B70</f>
        <v>70</v>
      </c>
      <c r="C70" s="326">
        <f>'[1]Hist Growth'!D70</f>
        <v>4.709627906976744E-2</v>
      </c>
      <c r="D70" s="326">
        <f>[1]Margins!F71</f>
        <v>0.16434019462502081</v>
      </c>
      <c r="E70" s="326">
        <f>'[1]Return on capital'!H70</f>
        <v>0.1472405112625087</v>
      </c>
      <c r="F70" s="326">
        <f>'[1]Tax rates'!H71</f>
        <v>0.16068891755321124</v>
      </c>
      <c r="G70" s="327">
        <f>[1]Beta!H73</f>
        <v>1.3321658941531931</v>
      </c>
      <c r="H70" s="327">
        <f>[1]Beta!C73</f>
        <v>1.5573890728698849</v>
      </c>
      <c r="I70" s="326">
        <f>[1]WACC!D81</f>
        <v>8.1133296689683124E-2</v>
      </c>
      <c r="J70" s="326">
        <f>[1]optvar!C75</f>
        <v>0.42757651363003341</v>
      </c>
      <c r="K70" s="326">
        <f>[1]WACC!G81</f>
        <v>3.5780000000000006E-2</v>
      </c>
      <c r="L70" s="326">
        <f>'[1]Debt fundamentals'!F70</f>
        <v>0.21474187869398875</v>
      </c>
      <c r="M70" s="326">
        <f>[1]WACC!K81</f>
        <v>6.9319509160263568E-2</v>
      </c>
      <c r="N70" s="327">
        <f>'[1]Cap Ex'!J70</f>
        <v>1.2897142199694605</v>
      </c>
      <c r="O70" s="327">
        <f>[1]PS!E70</f>
        <v>5.1228934048408474</v>
      </c>
      <c r="P70" s="327">
        <f>[1]EVEBITDA!D71</f>
        <v>19.324083244950906</v>
      </c>
      <c r="Q70" s="327">
        <f>[1]EVEBITDA!E71</f>
        <v>41.199465635000614</v>
      </c>
      <c r="R70" s="327" t="str">
        <f>[1]PBV!C70</f>
        <v>NA</v>
      </c>
      <c r="S70" s="327">
        <f>[1]PE!D70</f>
        <v>31.32565074107929</v>
      </c>
      <c r="T70" s="326">
        <f>'[1]Working capital'!F70</f>
        <v>2.3108168412183327E-3</v>
      </c>
      <c r="U70" s="326">
        <f>'[1]Summary sheet uValue'!G79</f>
        <v>4.9711665524406388E-2</v>
      </c>
      <c r="V70" s="326">
        <f>'[1]Cap Ex'!H70</f>
        <v>1.8306448116990975E-2</v>
      </c>
      <c r="W70" s="326">
        <f>[1]fundgrEB!D70</f>
        <v>0.19035481032674401</v>
      </c>
      <c r="X70" s="326" t="str">
        <f>[1]Fundgr!C70</f>
        <v>NA</v>
      </c>
      <c r="Y70" s="326">
        <f>'[1]Dividend fundamentals'!E70</f>
        <v>0.47432607296814405</v>
      </c>
      <c r="Z70" s="326">
        <f>1-[1]Fundgr!D70</f>
        <v>0.474326072968144</v>
      </c>
      <c r="AA70" s="328">
        <f>[1]Margins!J71</f>
        <v>0.12289948706745697</v>
      </c>
    </row>
    <row r="71" spans="1:27" ht="14">
      <c r="A71" s="325" t="str">
        <f>'[1]Master data'!A71</f>
        <v>Retail (Automotive)</v>
      </c>
      <c r="B71" s="143">
        <f>'[1]Master data'!B71</f>
        <v>32</v>
      </c>
      <c r="C71" s="326">
        <f>'[1]Hist Growth'!D71</f>
        <v>0.14697058823529413</v>
      </c>
      <c r="D71" s="326">
        <f>[1]Margins!F72</f>
        <v>7.0346959030187214E-2</v>
      </c>
      <c r="E71" s="326">
        <f>'[1]Return on capital'!H71</f>
        <v>0.15472145512223043</v>
      </c>
      <c r="F71" s="326">
        <f>'[1]Tax rates'!H72</f>
        <v>0.22942876172065518</v>
      </c>
      <c r="G71" s="327">
        <f>[1]Beta!H74</f>
        <v>1.1214912603915739</v>
      </c>
      <c r="H71" s="327">
        <f>[1]Beta!C74</f>
        <v>1.3980328627998966</v>
      </c>
      <c r="I71" s="326">
        <f>[1]WACC!D82</f>
        <v>7.4376593382715614E-2</v>
      </c>
      <c r="J71" s="326">
        <f>[1]optvar!C76</f>
        <v>0.44491963485055586</v>
      </c>
      <c r="K71" s="326">
        <f>[1]WACC!G82</f>
        <v>3.5780000000000006E-2</v>
      </c>
      <c r="L71" s="326">
        <f>'[1]Debt fundamentals'!F71</f>
        <v>0.27851142678761626</v>
      </c>
      <c r="M71" s="326">
        <f>[1]WACC!K82</f>
        <v>6.0936413600929579E-2</v>
      </c>
      <c r="N71" s="327">
        <f>'[1]Cap Ex'!J71</f>
        <v>2.8689940286968292</v>
      </c>
      <c r="O71" s="327">
        <f>[1]PS!E71</f>
        <v>1.1701678391563024</v>
      </c>
      <c r="P71" s="327">
        <f>[1]EVEBITDA!D72</f>
        <v>12.161277996339594</v>
      </c>
      <c r="Q71" s="327">
        <f>[1]EVEBITDA!E72</f>
        <v>18.423862512171258</v>
      </c>
      <c r="R71" s="327">
        <f>[1]PBV!C71</f>
        <v>7.060799742599845</v>
      </c>
      <c r="S71" s="327">
        <f>[1]PE!D71</f>
        <v>14.010872137008914</v>
      </c>
      <c r="T71" s="326">
        <f>'[1]Working capital'!F71</f>
        <v>8.2745302422708139E-2</v>
      </c>
      <c r="U71" s="326">
        <f>'[1]Summary sheet uValue'!G80</f>
        <v>1.6909138169052797E-2</v>
      </c>
      <c r="V71" s="326">
        <f>'[1]Cap Ex'!H71</f>
        <v>3.3968250773582245E-2</v>
      </c>
      <c r="W71" s="326">
        <f>[1]fundgrEB!D71</f>
        <v>0.56413999916341317</v>
      </c>
      <c r="X71" s="326">
        <f>[1]Fundgr!C71</f>
        <v>0.47181250808712544</v>
      </c>
      <c r="Y71" s="326">
        <f>'[1]Dividend fundamentals'!E71</f>
        <v>4.2642028643822404E-2</v>
      </c>
      <c r="Z71" s="326">
        <f>1-[1]Fundgr!D71</f>
        <v>4.2642028643822383E-2</v>
      </c>
      <c r="AA71" s="328">
        <f>[1]Margins!J72</f>
        <v>6.2851183078878145E-2</v>
      </c>
    </row>
    <row r="72" spans="1:27" ht="14">
      <c r="A72" s="325" t="str">
        <f>'[1]Master data'!A72</f>
        <v>Retail (Building Supply)</v>
      </c>
      <c r="B72" s="143">
        <f>'[1]Master data'!B72</f>
        <v>16</v>
      </c>
      <c r="C72" s="326">
        <f>'[1]Hist Growth'!D72</f>
        <v>0.17428083333333333</v>
      </c>
      <c r="D72" s="326">
        <f>[1]Margins!F73</f>
        <v>0.14403909492666528</v>
      </c>
      <c r="E72" s="326">
        <f>'[1]Return on capital'!H72</f>
        <v>0.54617060057669409</v>
      </c>
      <c r="F72" s="326">
        <f>'[1]Tax rates'!H73</f>
        <v>0.23846504940779112</v>
      </c>
      <c r="G72" s="327">
        <f>[1]Beta!H75</f>
        <v>1.4189632481805372</v>
      </c>
      <c r="H72" s="327">
        <f>[1]Beta!C75</f>
        <v>1.5246316572138299</v>
      </c>
      <c r="I72" s="326">
        <f>[1]WACC!D83</f>
        <v>7.9744382265866387E-2</v>
      </c>
      <c r="J72" s="326">
        <f>[1]optvar!C77</f>
        <v>0.44734618546240157</v>
      </c>
      <c r="K72" s="326">
        <f>[1]WACC!G83</f>
        <v>3.5780000000000006E-2</v>
      </c>
      <c r="L72" s="326">
        <f>'[1]Debt fundamentals'!F72</f>
        <v>0.11850650006364233</v>
      </c>
      <c r="M72" s="326">
        <f>[1]WACC!K83</f>
        <v>7.3389473301563687E-2</v>
      </c>
      <c r="N72" s="327">
        <f>'[1]Cap Ex'!J72</f>
        <v>4.5464116118132036</v>
      </c>
      <c r="O72" s="327">
        <f>[1]PS!E72</f>
        <v>2.633194470509554</v>
      </c>
      <c r="P72" s="327">
        <f>[1]EVEBITDA!D73</f>
        <v>14.867400765298026</v>
      </c>
      <c r="Q72" s="327">
        <f>[1]EVEBITDA!E73</f>
        <v>18.527716919840142</v>
      </c>
      <c r="R72" s="327">
        <f>[1]PBV!C72</f>
        <v>116.15182856035436</v>
      </c>
      <c r="S72" s="327">
        <f>[1]PE!D72</f>
        <v>21.778867224846465</v>
      </c>
      <c r="T72" s="326">
        <f>'[1]Working capital'!F72</f>
        <v>6.5703142192090183E-2</v>
      </c>
      <c r="U72" s="326">
        <f>'[1]Summary sheet uValue'!G81</f>
        <v>2.1266104052204037E-2</v>
      </c>
      <c r="V72" s="326">
        <f>'[1]Cap Ex'!H72</f>
        <v>3.3387263464073419E-2</v>
      </c>
      <c r="W72" s="326">
        <f>[1]fundgrEB!D72</f>
        <v>0.51732260889741166</v>
      </c>
      <c r="X72" s="326">
        <f>[1]Fundgr!C72</f>
        <v>9.7496138961380881E-3</v>
      </c>
      <c r="Y72" s="326">
        <f>'[1]Dividend fundamentals'!E72</f>
        <v>0.33900715513023766</v>
      </c>
      <c r="Z72" s="326">
        <f>1-[1]Fundgr!D72</f>
        <v>0.3390071551302376</v>
      </c>
      <c r="AA72" s="328">
        <f>[1]Margins!J73</f>
        <v>0.14216612657852842</v>
      </c>
    </row>
    <row r="73" spans="1:27" ht="14">
      <c r="A73" s="325" t="str">
        <f>'[1]Master data'!A73</f>
        <v>Retail (Distributors)</v>
      </c>
      <c r="B73" s="143">
        <f>'[1]Master data'!B73</f>
        <v>68</v>
      </c>
      <c r="C73" s="326">
        <f>'[1]Hist Growth'!D73</f>
        <v>4.0963404255319143E-2</v>
      </c>
      <c r="D73" s="326">
        <f>[1]Margins!F74</f>
        <v>9.6153784895278177E-2</v>
      </c>
      <c r="E73" s="326">
        <f>'[1]Return on capital'!H73</f>
        <v>0.16274787234090371</v>
      </c>
      <c r="F73" s="326">
        <f>'[1]Tax rates'!H74</f>
        <v>0.23751896645810627</v>
      </c>
      <c r="G73" s="327">
        <f>[1]Beta!H76</f>
        <v>1.0645116152504079</v>
      </c>
      <c r="H73" s="327">
        <f>[1]Beta!C76</f>
        <v>1.2810765889685047</v>
      </c>
      <c r="I73" s="326">
        <f>[1]WACC!D84</f>
        <v>6.9417647372264593E-2</v>
      </c>
      <c r="J73" s="326">
        <f>[1]optvar!C78</f>
        <v>0.43101350078053768</v>
      </c>
      <c r="K73" s="326">
        <f>[1]WACC!G84</f>
        <v>3.5780000000000006E-2</v>
      </c>
      <c r="L73" s="326">
        <f>'[1]Debt fundamentals'!F73</f>
        <v>0.24460220569262153</v>
      </c>
      <c r="M73" s="326">
        <f>[1]WACC!K84</f>
        <v>5.8826800562383916E-2</v>
      </c>
      <c r="N73" s="327">
        <f>'[1]Cap Ex'!J73</f>
        <v>1.8773949091872024</v>
      </c>
      <c r="O73" s="327">
        <f>[1]PS!E73</f>
        <v>1.8458050025238195</v>
      </c>
      <c r="P73" s="327">
        <f>[1]EVEBITDA!D74</f>
        <v>14.680028537845244</v>
      </c>
      <c r="Q73" s="327">
        <f>[1]EVEBITDA!E74</f>
        <v>18.75933428290752</v>
      </c>
      <c r="R73" s="327">
        <f>[1]PBV!C73</f>
        <v>4.228831219951334</v>
      </c>
      <c r="S73" s="327">
        <f>[1]PE!D73</f>
        <v>34.702727252465273</v>
      </c>
      <c r="T73" s="326">
        <f>'[1]Working capital'!F73</f>
        <v>0.1561475449878216</v>
      </c>
      <c r="U73" s="326">
        <f>'[1]Summary sheet uValue'!G82</f>
        <v>5.6668559074883884E-2</v>
      </c>
      <c r="V73" s="326">
        <f>'[1]Cap Ex'!H73</f>
        <v>7.6012561020002534E-2</v>
      </c>
      <c r="W73" s="326">
        <f>[1]fundgrEB!D73</f>
        <v>1.1172280899256213</v>
      </c>
      <c r="X73" s="326">
        <f>[1]Fundgr!C73</f>
        <v>0.19546756341753588</v>
      </c>
      <c r="Y73" s="326">
        <f>'[1]Dividend fundamentals'!E73</f>
        <v>0.28204348567436915</v>
      </c>
      <c r="Z73" s="326">
        <f>1-[1]Fundgr!D73</f>
        <v>0.28204348567436921</v>
      </c>
      <c r="AA73" s="328">
        <f>[1]Margins!J74</f>
        <v>9.8170833941736174E-2</v>
      </c>
    </row>
    <row r="74" spans="1:27" ht="14">
      <c r="A74" s="325" t="str">
        <f>'[1]Master data'!A74</f>
        <v>Retail (General)</v>
      </c>
      <c r="B74" s="143">
        <f>'[1]Master data'!B74</f>
        <v>16</v>
      </c>
      <c r="C74" s="326">
        <f>'[1]Hist Growth'!D74</f>
        <v>3.8878461538461535E-2</v>
      </c>
      <c r="D74" s="326">
        <f>[1]Margins!F75</f>
        <v>5.5404946457836134E-2</v>
      </c>
      <c r="E74" s="326">
        <f>'[1]Return on capital'!H74</f>
        <v>0.20876863871905457</v>
      </c>
      <c r="F74" s="326">
        <f>'[1]Tax rates'!H75</f>
        <v>0.27823001242262063</v>
      </c>
      <c r="G74" s="327">
        <f>[1]Beta!H77</f>
        <v>1.0383563104796276</v>
      </c>
      <c r="H74" s="327">
        <f>[1]Beta!C77</f>
        <v>1.1155492841734074</v>
      </c>
      <c r="I74" s="326">
        <f>[1]WACC!D85</f>
        <v>6.2399289648952472E-2</v>
      </c>
      <c r="J74" s="326">
        <f>[1]optvar!C79</f>
        <v>0.33881707698287428</v>
      </c>
      <c r="K74" s="326">
        <f>[1]WACC!G85</f>
        <v>3.1600000000000003E-2</v>
      </c>
      <c r="L74" s="326">
        <f>'[1]Debt fundamentals'!F74</f>
        <v>0.13827058850844251</v>
      </c>
      <c r="M74" s="326">
        <f>[1]WACC!K85</f>
        <v>5.6960929082395799E-2</v>
      </c>
      <c r="N74" s="327">
        <f>'[1]Cap Ex'!J74</f>
        <v>4.9863265542303257</v>
      </c>
      <c r="O74" s="327">
        <f>[1]PS!E74</f>
        <v>0.96385546275894596</v>
      </c>
      <c r="P74" s="327">
        <f>[1]EVEBITDA!D75</f>
        <v>11.843612233433941</v>
      </c>
      <c r="Q74" s="327">
        <f>[1]EVEBITDA!E75</f>
        <v>18.770871895768089</v>
      </c>
      <c r="R74" s="327">
        <f>[1]PBV!C74</f>
        <v>5.8909246119396972</v>
      </c>
      <c r="S74" s="327">
        <f>[1]PE!D74</f>
        <v>42.238971527636998</v>
      </c>
      <c r="T74" s="326">
        <f>'[1]Working capital'!F74</f>
        <v>9.9032418616356241E-3</v>
      </c>
      <c r="U74" s="326">
        <f>'[1]Summary sheet uValue'!G83</f>
        <v>2.2549481917834926E-2</v>
      </c>
      <c r="V74" s="326">
        <f>'[1]Cap Ex'!H74</f>
        <v>5.4331933324201914E-3</v>
      </c>
      <c r="W74" s="326">
        <f>[1]fundgrEB!D74</f>
        <v>0.27306624050067624</v>
      </c>
      <c r="X74" s="326">
        <f>[1]Fundgr!C74</f>
        <v>0.20058145934260757</v>
      </c>
      <c r="Y74" s="326">
        <f>'[1]Dividend fundamentals'!E74</f>
        <v>0.35329964001931607</v>
      </c>
      <c r="Z74" s="326">
        <f>1-[1]Fundgr!D74</f>
        <v>0.35329964001931602</v>
      </c>
      <c r="AA74" s="328">
        <f>[1]Margins!J75</f>
        <v>5.1340216795465861E-2</v>
      </c>
    </row>
    <row r="75" spans="1:27" ht="14">
      <c r="A75" s="325" t="str">
        <f>'[1]Master data'!A75</f>
        <v>Retail (Grocery and Food)</v>
      </c>
      <c r="B75" s="143">
        <f>'[1]Master data'!B75</f>
        <v>15</v>
      </c>
      <c r="C75" s="326">
        <f>'[1]Hist Growth'!D75</f>
        <v>3.2412499999999997E-2</v>
      </c>
      <c r="D75" s="326">
        <f>[1]Margins!F76</f>
        <v>2.5305680196662676E-2</v>
      </c>
      <c r="E75" s="326">
        <f>'[1]Return on capital'!H75</f>
        <v>7.0071627406092393E-2</v>
      </c>
      <c r="F75" s="326">
        <f>'[1]Tax rates'!H76</f>
        <v>0.20606611899144384</v>
      </c>
      <c r="G75" s="327">
        <f>[1]Beta!H78</f>
        <v>0.21200696239163366</v>
      </c>
      <c r="H75" s="327">
        <f>[1]Beta!C78</f>
        <v>0.29967567113248184</v>
      </c>
      <c r="I75" s="326">
        <f>[1]WACC!D86</f>
        <v>2.780624845601723E-2</v>
      </c>
      <c r="J75" s="326">
        <f>[1]optvar!C80</f>
        <v>0.34269086272021693</v>
      </c>
      <c r="K75" s="326">
        <f>[1]WACC!G86</f>
        <v>3.1600000000000003E-2</v>
      </c>
      <c r="L75" s="326">
        <f>'[1]Debt fundamentals'!F75</f>
        <v>0.40562526116963987</v>
      </c>
      <c r="M75" s="326">
        <f>[1]WACC!K86</f>
        <v>2.5884295188558597E-2</v>
      </c>
      <c r="N75" s="327">
        <f>'[1]Cap Ex'!J75</f>
        <v>4.4230931102763131</v>
      </c>
      <c r="O75" s="327">
        <f>[1]PS!E75</f>
        <v>0.44613019087613892</v>
      </c>
      <c r="P75" s="327">
        <f>[1]EVEBITDA!D76</f>
        <v>7.6033156983636676</v>
      </c>
      <c r="Q75" s="327">
        <f>[1]EVEBITDA!E76</f>
        <v>24.097484532089272</v>
      </c>
      <c r="R75" s="327">
        <f>[1]PBV!C75</f>
        <v>3.3467482766135315</v>
      </c>
      <c r="S75" s="327">
        <f>[1]PE!D75</f>
        <v>17.789675005516727</v>
      </c>
      <c r="T75" s="326">
        <f>'[1]Working capital'!F75</f>
        <v>-8.7562591365475447E-3</v>
      </c>
      <c r="U75" s="326">
        <f>'[1]Summary sheet uValue'!G84</f>
        <v>2.3529162451911827E-2</v>
      </c>
      <c r="V75" s="326">
        <f>'[1]Cap Ex'!H75</f>
        <v>5.2933973598223785E-3</v>
      </c>
      <c r="W75" s="326">
        <f>[1]fundgrEB!D75</f>
        <v>0.17152805678407723</v>
      </c>
      <c r="X75" s="326">
        <f>[1]Fundgr!C75</f>
        <v>0.14880044884622232</v>
      </c>
      <c r="Y75" s="326">
        <f>'[1]Dividend fundamentals'!E75</f>
        <v>0.33249412541776507</v>
      </c>
      <c r="Z75" s="326">
        <f>1-[1]Fundgr!D75</f>
        <v>0.33249412541776513</v>
      </c>
      <c r="AA75" s="328">
        <f>[1]Margins!J76</f>
        <v>1.8273934289233216E-2</v>
      </c>
    </row>
    <row r="76" spans="1:27" ht="14">
      <c r="A76" s="325" t="str">
        <f>'[1]Master data'!A76</f>
        <v>Retail (Online)</v>
      </c>
      <c r="B76" s="143">
        <f>'[1]Master data'!B76</f>
        <v>60</v>
      </c>
      <c r="C76" s="326">
        <f>'[1]Hist Growth'!D76</f>
        <v>0.10199999999999999</v>
      </c>
      <c r="D76" s="326">
        <f>[1]Margins!F77</f>
        <v>5.9928772661271376E-2</v>
      </c>
      <c r="E76" s="326">
        <f>'[1]Return on capital'!H76</f>
        <v>0.12181557341547236</v>
      </c>
      <c r="F76" s="326">
        <f>'[1]Tax rates'!H77</f>
        <v>0.15499468618569084</v>
      </c>
      <c r="G76" s="327">
        <f>[1]Beta!H79</f>
        <v>1.0650034437346438</v>
      </c>
      <c r="H76" s="327">
        <f>[1]Beta!C79</f>
        <v>1.1038085146753778</v>
      </c>
      <c r="I76" s="326">
        <f>[1]WACC!D87</f>
        <v>6.190148102223602E-2</v>
      </c>
      <c r="J76" s="326">
        <f>[1]optvar!C81</f>
        <v>0.58817664787562396</v>
      </c>
      <c r="K76" s="326">
        <f>[1]WACC!G87</f>
        <v>3.5780000000000006E-2</v>
      </c>
      <c r="L76" s="326">
        <f>'[1]Debt fundamentals'!F76</f>
        <v>7.543421784495645E-2</v>
      </c>
      <c r="M76" s="326">
        <f>[1]WACC!K87</f>
        <v>5.9202287727458787E-2</v>
      </c>
      <c r="N76" s="327">
        <f>'[1]Cap Ex'!J76</f>
        <v>1.769096633358876</v>
      </c>
      <c r="O76" s="327">
        <f>[1]PS!E76</f>
        <v>3.7332373529758698</v>
      </c>
      <c r="P76" s="327">
        <f>[1]EVEBITDA!D77</f>
        <v>26.224685253974695</v>
      </c>
      <c r="Q76" s="327">
        <f>[1]EVEBITDA!E77</f>
        <v>66.033005921255679</v>
      </c>
      <c r="R76" s="327">
        <f>[1]PBV!C76</f>
        <v>12.903295729268534</v>
      </c>
      <c r="S76" s="327">
        <f>[1]PE!D76</f>
        <v>144.26145945295102</v>
      </c>
      <c r="T76" s="326">
        <f>'[1]Working capital'!F76</f>
        <v>-3.1134353140477813E-2</v>
      </c>
      <c r="U76" s="326">
        <f>'[1]Summary sheet uValue'!G85</f>
        <v>0.10895888508287478</v>
      </c>
      <c r="V76" s="326">
        <f>'[1]Cap Ex'!H76</f>
        <v>7.2431148231703074E-2</v>
      </c>
      <c r="W76" s="326">
        <f>[1]fundgrEB!D76</f>
        <v>2.2108958272580734</v>
      </c>
      <c r="X76" s="326">
        <f>[1]Fundgr!C76</f>
        <v>0.44109781695576566</v>
      </c>
      <c r="Y76" s="326">
        <f>'[1]Dividend fundamentals'!E76</f>
        <v>1.3376273127241638E-2</v>
      </c>
      <c r="Z76" s="326">
        <f>1-[1]Fundgr!D76</f>
        <v>1.3376273127241656E-2</v>
      </c>
      <c r="AA76" s="328">
        <f>[1]Margins!J77</f>
        <v>7.1468782624073787E-2</v>
      </c>
    </row>
    <row r="77" spans="1:27" ht="14">
      <c r="A77" s="325" t="str">
        <f>'[1]Master data'!A77</f>
        <v>Retail (Special Lines)</v>
      </c>
      <c r="B77" s="143">
        <f>'[1]Master data'!B77</f>
        <v>76</v>
      </c>
      <c r="C77" s="326">
        <f>'[1]Hist Growth'!D77</f>
        <v>0.11782999999999999</v>
      </c>
      <c r="D77" s="326">
        <f>[1]Margins!F78</f>
        <v>6.8603541856728067E-2</v>
      </c>
      <c r="E77" s="326">
        <f>'[1]Return on capital'!H77</f>
        <v>0.17276294572604059</v>
      </c>
      <c r="F77" s="326">
        <f>'[1]Tax rates'!H78</f>
        <v>0.23766311439513196</v>
      </c>
      <c r="G77" s="327">
        <f>[1]Beta!H80</f>
        <v>1.2289647113509314</v>
      </c>
      <c r="H77" s="327">
        <f>[1]Beta!C80</f>
        <v>1.4433927807361351</v>
      </c>
      <c r="I77" s="326">
        <f>[1]WACC!D88</f>
        <v>7.6299853903212131E-2</v>
      </c>
      <c r="J77" s="326">
        <f>[1]optvar!C82</f>
        <v>0.45572346106389527</v>
      </c>
      <c r="K77" s="326">
        <f>[1]WACC!G88</f>
        <v>3.5780000000000006E-2</v>
      </c>
      <c r="L77" s="326">
        <f>'[1]Debt fundamentals'!F77</f>
        <v>0.25791058811371448</v>
      </c>
      <c r="M77" s="326">
        <f>[1]WACC!K88</f>
        <v>6.3357783525221548E-2</v>
      </c>
      <c r="N77" s="327">
        <f>'[1]Cap Ex'!J77</f>
        <v>2.991687190402613</v>
      </c>
      <c r="O77" s="327">
        <f>[1]PS!E77</f>
        <v>1.1110126754840375</v>
      </c>
      <c r="P77" s="327">
        <f>[1]EVEBITDA!D78</f>
        <v>8.4643430245304714</v>
      </c>
      <c r="Q77" s="327">
        <f>[1]EVEBITDA!E78</f>
        <v>16.203438357308254</v>
      </c>
      <c r="R77" s="327">
        <f>[1]PBV!C77</f>
        <v>5.4478730209887578</v>
      </c>
      <c r="S77" s="327">
        <f>[1]PE!D77</f>
        <v>19.137387835073852</v>
      </c>
      <c r="T77" s="326">
        <f>'[1]Working capital'!F77</f>
        <v>5.6680951833675525E-2</v>
      </c>
      <c r="U77" s="326">
        <f>'[1]Summary sheet uValue'!G86</f>
        <v>1.8074175275059456E-2</v>
      </c>
      <c r="V77" s="326">
        <f>'[1]Cap Ex'!H77</f>
        <v>9.61755238860546E-3</v>
      </c>
      <c r="W77" s="326">
        <f>[1]fundgrEB!D77</f>
        <v>0.50997045007859099</v>
      </c>
      <c r="X77" s="326">
        <f>[1]Fundgr!C77</f>
        <v>0.35229697393069398</v>
      </c>
      <c r="Y77" s="326">
        <f>'[1]Dividend fundamentals'!E77</f>
        <v>0.23500733683979194</v>
      </c>
      <c r="Z77" s="326">
        <f>1-[1]Fundgr!D77</f>
        <v>0.23500733683979191</v>
      </c>
      <c r="AA77" s="328">
        <f>[1]Margins!J78</f>
        <v>6.7685731160921039E-2</v>
      </c>
    </row>
    <row r="78" spans="1:27" ht="14">
      <c r="A78" s="325" t="str">
        <f>'[1]Master data'!A78</f>
        <v>Rubber&amp; Tires</v>
      </c>
      <c r="B78" s="143">
        <f>'[1]Master data'!B78</f>
        <v>2</v>
      </c>
      <c r="C78" s="326">
        <f>'[1]Hist Growth'!D78</f>
        <v>4.2015000000000004E-2</v>
      </c>
      <c r="D78" s="326">
        <f>[1]Margins!F79</f>
        <v>5.4031374162973315E-2</v>
      </c>
      <c r="E78" s="326">
        <f>'[1]Return on capital'!H78</f>
        <v>7.2812798388369154E-2</v>
      </c>
      <c r="F78" s="326">
        <f>'[1]Tax rates'!H79</f>
        <v>0.34810339793832956</v>
      </c>
      <c r="G78" s="327">
        <f>[1]Beta!H81</f>
        <v>0.58921293583338064</v>
      </c>
      <c r="H78" s="327">
        <f>[1]Beta!C81</f>
        <v>1.1565055181846227</v>
      </c>
      <c r="I78" s="326">
        <f>[1]WACC!D89</f>
        <v>6.4135833971027997E-2</v>
      </c>
      <c r="J78" s="326">
        <f>[1]optvar!C83</f>
        <v>0.47055042286877913</v>
      </c>
      <c r="K78" s="326">
        <f>[1]WACC!G89</f>
        <v>3.5780000000000006E-2</v>
      </c>
      <c r="L78" s="326">
        <f>'[1]Debt fundamentals'!F78</f>
        <v>0.60715603353142322</v>
      </c>
      <c r="M78" s="326">
        <f>[1]WACC!K89</f>
        <v>4.1053926712169383E-2</v>
      </c>
      <c r="N78" s="327">
        <f>'[1]Cap Ex'!J78</f>
        <v>1.5753193401009267</v>
      </c>
      <c r="O78" s="327">
        <f>[1]PS!E78</f>
        <v>0.87582002701647199</v>
      </c>
      <c r="P78" s="327">
        <f>[1]EVEBITDA!D79</f>
        <v>7.2567774949174471</v>
      </c>
      <c r="Q78" s="327">
        <f>[1]EVEBITDA!E79</f>
        <v>15.318721893353992</v>
      </c>
      <c r="R78" s="327">
        <f>[1]PBV!C78</f>
        <v>1.3312287862989995</v>
      </c>
      <c r="S78" s="327">
        <f>[1]PE!D78</f>
        <v>17.573425250067586</v>
      </c>
      <c r="T78" s="326">
        <f>'[1]Working capital'!F78</f>
        <v>0.11811390712337612</v>
      </c>
      <c r="U78" s="326">
        <f>'[1]Summary sheet uValue'!G87</f>
        <v>5.1360722054607934E-2</v>
      </c>
      <c r="V78" s="326">
        <f>'[1]Cap Ex'!H78</f>
        <v>0.11433316692787973</v>
      </c>
      <c r="W78" s="326">
        <f>[1]fundgrEB!D78</f>
        <v>2.9369324003201087</v>
      </c>
      <c r="X78" s="326">
        <f>[1]Fundgr!C78</f>
        <v>9.5854360924328613E-2</v>
      </c>
      <c r="Y78" s="326">
        <f>'[1]Dividend fundamentals'!E78</f>
        <v>0</v>
      </c>
      <c r="Z78" s="326">
        <f>1-[1]Fundgr!D78</f>
        <v>0</v>
      </c>
      <c r="AA78" s="328">
        <f>[1]Margins!J79</f>
        <v>5.6178103279153652E-2</v>
      </c>
    </row>
    <row r="79" spans="1:27" ht="14">
      <c r="A79" s="325" t="str">
        <f>'[1]Master data'!A79</f>
        <v>Semiconductor</v>
      </c>
      <c r="B79" s="143">
        <f>'[1]Master data'!B79</f>
        <v>67</v>
      </c>
      <c r="C79" s="326">
        <f>'[1]Hist Growth'!D79</f>
        <v>6.6251666666666653E-2</v>
      </c>
      <c r="D79" s="326">
        <f>[1]Margins!F80</f>
        <v>0.27418374364338888</v>
      </c>
      <c r="E79" s="326">
        <f>'[1]Return on capital'!H79</f>
        <v>0.21704586484505703</v>
      </c>
      <c r="F79" s="326">
        <f>'[1]Tax rates'!H80</f>
        <v>8.7395644777004372E-2</v>
      </c>
      <c r="G79" s="327">
        <f>[1]Beta!H82</f>
        <v>1.135821074309048</v>
      </c>
      <c r="H79" s="327">
        <f>[1]Beta!C82</f>
        <v>1.1624544797886844</v>
      </c>
      <c r="I79" s="326">
        <f>[1]WACC!D90</f>
        <v>6.4388069943040221E-2</v>
      </c>
      <c r="J79" s="326">
        <f>[1]optvar!C84</f>
        <v>0.37456362089820239</v>
      </c>
      <c r="K79" s="326">
        <f>[1]WACC!G90</f>
        <v>3.1600000000000003E-2</v>
      </c>
      <c r="L79" s="326">
        <f>'[1]Debt fundamentals'!F79</f>
        <v>6.3466331073444404E-2</v>
      </c>
      <c r="M79" s="326">
        <f>[1]WACC!K90</f>
        <v>6.1765636704057353E-2</v>
      </c>
      <c r="N79" s="327">
        <f>'[1]Cap Ex'!J79</f>
        <v>0.7976411155507358</v>
      </c>
      <c r="O79" s="327">
        <f>[1]PS!E79</f>
        <v>8.6891822943438513</v>
      </c>
      <c r="P79" s="327">
        <f>[1]EVEBITDA!D80</f>
        <v>21.2745940343858</v>
      </c>
      <c r="Q79" s="327">
        <f>[1]EVEBITDA!E80</f>
        <v>31.329896678224781</v>
      </c>
      <c r="R79" s="327">
        <f>[1]PBV!C79</f>
        <v>7.4467280819546318</v>
      </c>
      <c r="S79" s="327">
        <f>[1]PE!D79</f>
        <v>582.02061606700045</v>
      </c>
      <c r="T79" s="326">
        <f>'[1]Working capital'!F79</f>
        <v>0.17451531687405758</v>
      </c>
      <c r="U79" s="326">
        <f>'[1]Summary sheet uValue'!G88</f>
        <v>0.13019113289859427</v>
      </c>
      <c r="V79" s="326">
        <f>'[1]Cap Ex'!H79</f>
        <v>5.7855328849664822E-2</v>
      </c>
      <c r="W79" s="326">
        <f>[1]fundgrEB!D79</f>
        <v>0.28944322447652804</v>
      </c>
      <c r="X79" s="326">
        <f>[1]Fundgr!C79</f>
        <v>0.31906243535809431</v>
      </c>
      <c r="Y79" s="326">
        <f>'[1]Dividend fundamentals'!E79</f>
        <v>0.2894128400632231</v>
      </c>
      <c r="Z79" s="326">
        <f>1-[1]Fundgr!D79</f>
        <v>0.2894128400632231</v>
      </c>
      <c r="AA79" s="328">
        <f>[1]Margins!J80</f>
        <v>0.29076568384914475</v>
      </c>
    </row>
    <row r="80" spans="1:27" ht="14">
      <c r="A80" s="325" t="str">
        <f>'[1]Master data'!A80</f>
        <v>Semiconductor Equip</v>
      </c>
      <c r="B80" s="143">
        <f>'[1]Master data'!B80</f>
        <v>34</v>
      </c>
      <c r="C80" s="326">
        <f>'[1]Hist Growth'!D80</f>
        <v>0.13994241379310343</v>
      </c>
      <c r="D80" s="326">
        <f>[1]Margins!F81</f>
        <v>0.26975985462908919</v>
      </c>
      <c r="E80" s="326">
        <f>'[1]Return on capital'!H80</f>
        <v>0.37244506159692958</v>
      </c>
      <c r="F80" s="326">
        <f>'[1]Tax rates'!H81</f>
        <v>0.10509807157868395</v>
      </c>
      <c r="G80" s="327">
        <f>[1]Beta!H83</f>
        <v>1.3414180698068143</v>
      </c>
      <c r="H80" s="327">
        <f>[1]Beta!C83</f>
        <v>1.3390383903586967</v>
      </c>
      <c r="I80" s="326">
        <f>[1]WACC!D91</f>
        <v>7.1875227751208734E-2</v>
      </c>
      <c r="J80" s="326">
        <f>[1]optvar!C85</f>
        <v>0.33222794123720689</v>
      </c>
      <c r="K80" s="326">
        <f>[1]WACC!G91</f>
        <v>3.1600000000000003E-2</v>
      </c>
      <c r="L80" s="326">
        <f>'[1]Debt fundamentals'!F80</f>
        <v>4.7978220640165457E-2</v>
      </c>
      <c r="M80" s="326">
        <f>[1]WACC!K91</f>
        <v>6.9533543809326442E-2</v>
      </c>
      <c r="N80" s="327">
        <f>'[1]Cap Ex'!J80</f>
        <v>1.4645569495880471</v>
      </c>
      <c r="O80" s="327">
        <f>[1]PS!E80</f>
        <v>6.0797643742617691</v>
      </c>
      <c r="P80" s="327">
        <f>[1]EVEBITDA!D81</f>
        <v>19.426049408600392</v>
      </c>
      <c r="Q80" s="327">
        <f>[1]EVEBITDA!E81</f>
        <v>22.314550076762597</v>
      </c>
      <c r="R80" s="327">
        <f>[1]PBV!C80</f>
        <v>10.288758626187031</v>
      </c>
      <c r="S80" s="327">
        <f>[1]PE!D80</f>
        <v>44.443452384139157</v>
      </c>
      <c r="T80" s="326">
        <f>'[1]Working capital'!F80</f>
        <v>0.28907000576666675</v>
      </c>
      <c r="U80" s="326">
        <f>'[1]Summary sheet uValue'!G89</f>
        <v>4.2781267662427222E-2</v>
      </c>
      <c r="V80" s="326">
        <f>'[1]Cap Ex'!H80</f>
        <v>3.3659961920139383E-2</v>
      </c>
      <c r="W80" s="326">
        <f>[1]fundgrEB!D80</f>
        <v>0.45640033225974586</v>
      </c>
      <c r="X80" s="326">
        <f>[1]Fundgr!C80</f>
        <v>0.46379429934480615</v>
      </c>
      <c r="Y80" s="326">
        <f>'[1]Dividend fundamentals'!E80</f>
        <v>0.15111263187627602</v>
      </c>
      <c r="Z80" s="326">
        <f>1-[1]Fundgr!D80</f>
        <v>0.15111263187627599</v>
      </c>
      <c r="AA80" s="328">
        <f>[1]Margins!J81</f>
        <v>0.27920462731801343</v>
      </c>
    </row>
    <row r="81" spans="1:27" ht="14">
      <c r="A81" s="325" t="str">
        <f>'[1]Master data'!A81</f>
        <v>Shipbuilding &amp; Marine</v>
      </c>
      <c r="B81" s="143">
        <f>'[1]Master data'!B81</f>
        <v>8</v>
      </c>
      <c r="C81" s="326">
        <f>'[1]Hist Growth'!D81</f>
        <v>0.16393333333333335</v>
      </c>
      <c r="D81" s="326">
        <f>[1]Margins!F82</f>
        <v>0.17261716483856279</v>
      </c>
      <c r="E81" s="326">
        <f>'[1]Return on capital'!H81</f>
        <v>0.15008243815157002</v>
      </c>
      <c r="F81" s="326">
        <f>'[1]Tax rates'!H82</f>
        <v>0.19516554966489946</v>
      </c>
      <c r="G81" s="327">
        <f>[1]Beta!H84</f>
        <v>0.80231747596426517</v>
      </c>
      <c r="H81" s="327">
        <f>[1]Beta!C84</f>
        <v>0.99109853928181657</v>
      </c>
      <c r="I81" s="326">
        <f>[1]WACC!D92</f>
        <v>5.7122578065549025E-2</v>
      </c>
      <c r="J81" s="326">
        <f>[1]optvar!C86</f>
        <v>0.51037332437897842</v>
      </c>
      <c r="K81" s="326">
        <f>[1]WACC!G92</f>
        <v>3.5780000000000006E-2</v>
      </c>
      <c r="L81" s="326">
        <f>'[1]Debt fundamentals'!F81</f>
        <v>0.27517286898884336</v>
      </c>
      <c r="M81" s="326">
        <f>[1]WACC!K92</f>
        <v>4.859134460947992E-2</v>
      </c>
      <c r="N81" s="327">
        <f>'[1]Cap Ex'!J81</f>
        <v>0.87711734395524243</v>
      </c>
      <c r="O81" s="327">
        <f>[1]PS!E81</f>
        <v>1.6859173096783335</v>
      </c>
      <c r="P81" s="327">
        <f>[1]EVEBITDA!D82</f>
        <v>6.4910449820632321</v>
      </c>
      <c r="Q81" s="327">
        <f>[1]EVEBITDA!E82</f>
        <v>9.4716971120211095</v>
      </c>
      <c r="R81" s="327">
        <f>[1]PBV!C81</f>
        <v>1.4942441577614121</v>
      </c>
      <c r="S81" s="327">
        <f>[1]PE!D81</f>
        <v>10.47776069741097</v>
      </c>
      <c r="T81" s="326">
        <f>'[1]Working capital'!F81</f>
        <v>8.7563314614949275E-2</v>
      </c>
      <c r="U81" s="326">
        <f>'[1]Summary sheet uValue'!G90</f>
        <v>0.1161159187587144</v>
      </c>
      <c r="V81" s="326">
        <f>'[1]Cap Ex'!H81</f>
        <v>5.0034680309952617E-2</v>
      </c>
      <c r="W81" s="326">
        <f>[1]fundgrEB!D81</f>
        <v>0.53125073248598076</v>
      </c>
      <c r="X81" s="326">
        <f>[1]Fundgr!C81</f>
        <v>0.10287304772384712</v>
      </c>
      <c r="Y81" s="326">
        <f>'[1]Dividend fundamentals'!E81</f>
        <v>0.14860224719101123</v>
      </c>
      <c r="Z81" s="326">
        <f>1-[1]Fundgr!D81</f>
        <v>0.14860224719101123</v>
      </c>
      <c r="AA81" s="328">
        <f>[1]Margins!J82</f>
        <v>0.17674976747493815</v>
      </c>
    </row>
    <row r="82" spans="1:27" ht="14">
      <c r="A82" s="325" t="str">
        <f>'[1]Master data'!A82</f>
        <v>Shoe</v>
      </c>
      <c r="B82" s="143">
        <f>'[1]Master data'!B82</f>
        <v>12</v>
      </c>
      <c r="C82" s="326">
        <f>'[1]Hist Growth'!D82</f>
        <v>6.3799999999999996E-2</v>
      </c>
      <c r="D82" s="326">
        <f>[1]Margins!F83</f>
        <v>0.15559497794586052</v>
      </c>
      <c r="E82" s="326">
        <f>'[1]Return on capital'!H82</f>
        <v>0.40945983653995111</v>
      </c>
      <c r="F82" s="326">
        <f>'[1]Tax rates'!H83</f>
        <v>0.13138826276542734</v>
      </c>
      <c r="G82" s="327">
        <f>[1]Beta!H85</f>
        <v>1.1884916532310223</v>
      </c>
      <c r="H82" s="327">
        <f>[1]Beta!C85</f>
        <v>1.1858211455148611</v>
      </c>
      <c r="I82" s="326">
        <f>[1]WACC!D93</f>
        <v>6.5378816569830106E-2</v>
      </c>
      <c r="J82" s="326">
        <f>[1]optvar!C87</f>
        <v>0.34714879795280845</v>
      </c>
      <c r="K82" s="326">
        <f>[1]WACC!G93</f>
        <v>3.1600000000000003E-2</v>
      </c>
      <c r="L82" s="326">
        <f>'[1]Debt fundamentals'!F82</f>
        <v>5.4612912812058642E-2</v>
      </c>
      <c r="M82" s="326">
        <f>[1]WACC!K93</f>
        <v>6.3068099633494967E-2</v>
      </c>
      <c r="N82" s="327">
        <f>'[1]Cap Ex'!J82</f>
        <v>2.9550734680808151</v>
      </c>
      <c r="O82" s="327">
        <f>[1]PS!E82</f>
        <v>4.8500688710584061</v>
      </c>
      <c r="P82" s="327">
        <f>[1]EVEBITDA!D83</f>
        <v>25.774537466961387</v>
      </c>
      <c r="Q82" s="327">
        <f>[1]EVEBITDA!E83</f>
        <v>31.322184924643818</v>
      </c>
      <c r="R82" s="327">
        <f>[1]PBV!C82</f>
        <v>13.653978923750321</v>
      </c>
      <c r="S82" s="327">
        <f>[1]PE!D82</f>
        <v>21.57575697354401</v>
      </c>
      <c r="T82" s="326">
        <f>'[1]Working capital'!F82</f>
        <v>0.17191541209389335</v>
      </c>
      <c r="U82" s="326">
        <f>'[1]Summary sheet uValue'!G91</f>
        <v>7.770862732132921E-3</v>
      </c>
      <c r="V82" s="326">
        <f>'[1]Cap Ex'!H82</f>
        <v>2.7440348995670031E-3</v>
      </c>
      <c r="W82" s="326">
        <f>[1]fundgrEB!D82</f>
        <v>6.4384502898808205E-2</v>
      </c>
      <c r="X82" s="326">
        <f>[1]Fundgr!C82</f>
        <v>0.47908708081025414</v>
      </c>
      <c r="Y82" s="326">
        <f>'[1]Dividend fundamentals'!E82</f>
        <v>0.23922972589749616</v>
      </c>
      <c r="Z82" s="326">
        <f>1-[1]Fundgr!D82</f>
        <v>0.23922972589749614</v>
      </c>
      <c r="AA82" s="328">
        <f>[1]Margins!J83</f>
        <v>0.15371691531280396</v>
      </c>
    </row>
    <row r="83" spans="1:27" ht="14">
      <c r="A83" s="325" t="str">
        <f>'[1]Master data'!A83</f>
        <v>Software (Entertainment)</v>
      </c>
      <c r="B83" s="143">
        <f>'[1]Master data'!B83</f>
        <v>88</v>
      </c>
      <c r="C83" s="326">
        <f>'[1]Hist Growth'!D83</f>
        <v>0.22905962962962956</v>
      </c>
      <c r="D83" s="326">
        <f>[1]Margins!F84</f>
        <v>0.31118842701763666</v>
      </c>
      <c r="E83" s="326">
        <f>'[1]Return on capital'!H83</f>
        <v>0.25460137429438645</v>
      </c>
      <c r="F83" s="326">
        <f>'[1]Tax rates'!H84</f>
        <v>0.16361513724405366</v>
      </c>
      <c r="G83" s="327">
        <f>[1]Beta!H86</f>
        <v>1.2075498828617475</v>
      </c>
      <c r="H83" s="327">
        <f>[1]Beta!C86</f>
        <v>1.2040179086600062</v>
      </c>
      <c r="I83" s="326">
        <f>[1]WACC!D94</f>
        <v>6.6150359327184258E-2</v>
      </c>
      <c r="J83" s="326">
        <f>[1]optvar!C88</f>
        <v>0.54605972958610682</v>
      </c>
      <c r="K83" s="326">
        <f>[1]WACC!G94</f>
        <v>3.5780000000000006E-2</v>
      </c>
      <c r="L83" s="326">
        <f>'[1]Debt fundamentals'!F83</f>
        <v>1.9979459110468376E-2</v>
      </c>
      <c r="M83" s="326">
        <f>[1]WACC!K94</f>
        <v>6.5350562412153965E-2</v>
      </c>
      <c r="N83" s="327">
        <f>'[1]Cap Ex'!J83</f>
        <v>0.79790724899234045</v>
      </c>
      <c r="O83" s="327">
        <f>[1]PS!E83</f>
        <v>8.1174969511633002</v>
      </c>
      <c r="P83" s="327">
        <f>[1]EVEBITDA!D84</f>
        <v>20.512949920184127</v>
      </c>
      <c r="Q83" s="327">
        <f>[1]EVEBITDA!E84</f>
        <v>25.653863204839883</v>
      </c>
      <c r="R83" s="327">
        <f>[1]PBV!C83</f>
        <v>7.5208758943236038</v>
      </c>
      <c r="S83" s="327">
        <f>[1]PE!D83</f>
        <v>34.645571172438565</v>
      </c>
      <c r="T83" s="326">
        <f>'[1]Working capital'!F83</f>
        <v>6.1095097152198255E-2</v>
      </c>
      <c r="U83" s="326">
        <f>'[1]Summary sheet uValue'!G92</f>
        <v>0.11283252834027467</v>
      </c>
      <c r="V83" s="326">
        <f>'[1]Cap Ex'!H83</f>
        <v>9.0177658854285567E-2</v>
      </c>
      <c r="W83" s="326">
        <f>[1]fundgrEB!D83</f>
        <v>0.48679477169694524</v>
      </c>
      <c r="X83" s="326">
        <f>[1]Fundgr!C83</f>
        <v>0.31404402308995782</v>
      </c>
      <c r="Y83" s="326">
        <f>'[1]Dividend fundamentals'!E83</f>
        <v>3.5945635097982139E-3</v>
      </c>
      <c r="Z83" s="326">
        <f>1-[1]Fundgr!D83</f>
        <v>3.5945635097982542E-3</v>
      </c>
      <c r="AA83" s="328">
        <f>[1]Margins!J84</f>
        <v>0.32588347552321306</v>
      </c>
    </row>
    <row r="84" spans="1:27" ht="14">
      <c r="A84" s="325" t="str">
        <f>'[1]Master data'!A84</f>
        <v>Software (Internet)</v>
      </c>
      <c r="B84" s="143">
        <f>'[1]Master data'!B84</f>
        <v>36</v>
      </c>
      <c r="C84" s="326">
        <f>'[1]Hist Growth'!D84</f>
        <v>0.22060000000000002</v>
      </c>
      <c r="D84" s="326">
        <f>[1]Margins!F85</f>
        <v>-2.2843954586136864E-2</v>
      </c>
      <c r="E84" s="326">
        <f>'[1]Return on capital'!H84</f>
        <v>1.6450866361211937E-2</v>
      </c>
      <c r="F84" s="326">
        <f>'[1]Tax rates'!H85</f>
        <v>0.12059293202397502</v>
      </c>
      <c r="G84" s="327">
        <f>[1]Beta!H87</f>
        <v>0.97506380366216394</v>
      </c>
      <c r="H84" s="327">
        <f>[1]Beta!C87</f>
        <v>1.0043796741354865</v>
      </c>
      <c r="I84" s="326">
        <f>[1]WACC!D95</f>
        <v>5.7685698183344632E-2</v>
      </c>
      <c r="J84" s="326">
        <f>[1]optvar!C89</f>
        <v>0.38093997694500725</v>
      </c>
      <c r="K84" s="326">
        <f>[1]WACC!G95</f>
        <v>3.1600000000000003E-2</v>
      </c>
      <c r="L84" s="326">
        <f>'[1]Debt fundamentals'!F84</f>
        <v>7.127698628021864E-2</v>
      </c>
      <c r="M84" s="326">
        <f>[1]WACC!K95</f>
        <v>5.5218252984877626E-2</v>
      </c>
      <c r="N84" s="327">
        <f>'[1]Cap Ex'!J84</f>
        <v>0.75839560257645555</v>
      </c>
      <c r="O84" s="327">
        <f>[1]PS!E84</f>
        <v>17.06671248631822</v>
      </c>
      <c r="P84" s="327">
        <f>[1]EVEBITDA!D85</f>
        <v>22.97813339989667</v>
      </c>
      <c r="Q84" s="327" t="str">
        <f>[1]EVEBITDA!E85</f>
        <v>NA</v>
      </c>
      <c r="R84" s="327">
        <f>[1]PBV!C84</f>
        <v>10.499562428629719</v>
      </c>
      <c r="S84" s="327">
        <f>[1]PE!D84</f>
        <v>62.86401699078619</v>
      </c>
      <c r="T84" s="326">
        <f>'[1]Working capital'!F84</f>
        <v>0.10676151361370956</v>
      </c>
      <c r="U84" s="326">
        <f>'[1]Summary sheet uValue'!G93</f>
        <v>6.5392737234733683E-2</v>
      </c>
      <c r="V84" s="326">
        <f>'[1]Cap Ex'!H84</f>
        <v>0.14611696023333889</v>
      </c>
      <c r="W84" s="326" t="str">
        <f>[1]fundgrEB!D84</f>
        <v>NA</v>
      </c>
      <c r="X84" s="326">
        <f>[1]Fundgr!C84</f>
        <v>-0.11286268002917658</v>
      </c>
      <c r="Y84" s="326">
        <f>'[1]Dividend fundamentals'!E84</f>
        <v>1.4762443438914028E-3</v>
      </c>
      <c r="Z84" s="326">
        <f>1-[1]Fundgr!D84</f>
        <v>1.4762443438913753E-3</v>
      </c>
      <c r="AA84" s="328">
        <f>[1]Margins!J85</f>
        <v>2.1388849478196477E-2</v>
      </c>
    </row>
    <row r="85" spans="1:27" ht="14">
      <c r="A85" s="325" t="str">
        <f>'[1]Master data'!A85</f>
        <v>Software (System &amp; Application)</v>
      </c>
      <c r="B85" s="143">
        <f>'[1]Master data'!B85</f>
        <v>375</v>
      </c>
      <c r="C85" s="326">
        <f>'[1]Hist Growth'!D85</f>
        <v>0.17722259999999992</v>
      </c>
      <c r="D85" s="326">
        <f>[1]Margins!F86</f>
        <v>0.24021702846099471</v>
      </c>
      <c r="E85" s="326">
        <f>'[1]Return on capital'!H85</f>
        <v>0.25031590754955452</v>
      </c>
      <c r="F85" s="326">
        <f>'[1]Tax rates'!H86</f>
        <v>0.10425074823487464</v>
      </c>
      <c r="G85" s="327">
        <f>[1]Beta!H88</f>
        <v>1.1224549396080949</v>
      </c>
      <c r="H85" s="327">
        <f>[1]Beta!C88</f>
        <v>1.1414617043012938</v>
      </c>
      <c r="I85" s="326">
        <f>[1]WACC!D96</f>
        <v>6.3497976262374856E-2</v>
      </c>
      <c r="J85" s="326">
        <f>[1]optvar!C90</f>
        <v>0.45739896259792873</v>
      </c>
      <c r="K85" s="326">
        <f>[1]WACC!G96</f>
        <v>3.5780000000000006E-2</v>
      </c>
      <c r="L85" s="326">
        <f>'[1]Debt fundamentals'!F85</f>
        <v>5.3731482889603249E-2</v>
      </c>
      <c r="M85" s="326">
        <f>[1]WACC!K96</f>
        <v>6.1489569931495326E-2</v>
      </c>
      <c r="N85" s="327">
        <f>'[1]Cap Ex'!J85</f>
        <v>0.99595802099630049</v>
      </c>
      <c r="O85" s="327">
        <f>[1]PS!E85</f>
        <v>12.838747646041561</v>
      </c>
      <c r="P85" s="327">
        <f>[1]EVEBITDA!D86</f>
        <v>32.716680064633188</v>
      </c>
      <c r="Q85" s="327">
        <f>[1]EVEBITDA!E86</f>
        <v>46.507104968228958</v>
      </c>
      <c r="R85" s="327">
        <f>[1]PBV!C85</f>
        <v>14.516695215979457</v>
      </c>
      <c r="S85" s="327">
        <f>[1]PE!D85</f>
        <v>130.77289308327045</v>
      </c>
      <c r="T85" s="326">
        <f>'[1]Working capital'!F85</f>
        <v>0.12052602384179791</v>
      </c>
      <c r="U85" s="326">
        <f>'[1]Summary sheet uValue'!G94</f>
        <v>7.0697396782164496E-2</v>
      </c>
      <c r="V85" s="326">
        <f>'[1]Cap Ex'!H85</f>
        <v>0.17617209352863253</v>
      </c>
      <c r="W85" s="326">
        <f>[1]fundgrEB!D85</f>
        <v>0.89194689520312587</v>
      </c>
      <c r="X85" s="326">
        <f>[1]Fundgr!C85</f>
        <v>0.3046746836346888</v>
      </c>
      <c r="Y85" s="326">
        <f>'[1]Dividend fundamentals'!E85</f>
        <v>0.28716777779852998</v>
      </c>
      <c r="Z85" s="326">
        <f>1-[1]Fundgr!D85</f>
        <v>0.28716777779852998</v>
      </c>
      <c r="AA85" s="328">
        <f>[1]Margins!J86</f>
        <v>0.25940233010650704</v>
      </c>
    </row>
    <row r="86" spans="1:27" ht="14">
      <c r="A86" s="325" t="str">
        <f>'[1]Master data'!A86</f>
        <v>Steel</v>
      </c>
      <c r="B86" s="143">
        <f>'[1]Master data'!B86</f>
        <v>28</v>
      </c>
      <c r="C86" s="326">
        <f>'[1]Hist Growth'!D86</f>
        <v>0.19973333333333332</v>
      </c>
      <c r="D86" s="326">
        <f>[1]Margins!F87</f>
        <v>0.16129217388685041</v>
      </c>
      <c r="E86" s="326">
        <f>'[1]Return on capital'!H86</f>
        <v>0.37250515548260549</v>
      </c>
      <c r="F86" s="326">
        <f>'[1]Tax rates'!H87</f>
        <v>0.17547938410882577</v>
      </c>
      <c r="G86" s="327">
        <f>[1]Beta!H89</f>
        <v>0.98255699807352492</v>
      </c>
      <c r="H86" s="327">
        <f>[1]Beta!C89</f>
        <v>1.1331694544358604</v>
      </c>
      <c r="I86" s="326">
        <f>[1]WACC!D97</f>
        <v>6.3146384868080482E-2</v>
      </c>
      <c r="J86" s="326">
        <f>[1]optvar!C91</f>
        <v>0.33128196982890901</v>
      </c>
      <c r="K86" s="326">
        <f>[1]WACC!G97</f>
        <v>3.1600000000000003E-2</v>
      </c>
      <c r="L86" s="326">
        <f>'[1]Debt fundamentals'!F86</f>
        <v>0.24738970410465824</v>
      </c>
      <c r="M86" s="326">
        <f>[1]WACC!K97</f>
        <v>5.3231405094573442E-2</v>
      </c>
      <c r="N86" s="327">
        <f>'[1]Cap Ex'!J86</f>
        <v>2.6564250412699737</v>
      </c>
      <c r="O86" s="327">
        <f>[1]PS!E86</f>
        <v>0.88248419641896791</v>
      </c>
      <c r="P86" s="327">
        <f>[1]EVEBITDA!D87</f>
        <v>4.4590876680940292</v>
      </c>
      <c r="Q86" s="327">
        <f>[1]EVEBITDA!E87</f>
        <v>5.4285566105696565</v>
      </c>
      <c r="R86" s="327">
        <f>[1]PBV!C86</f>
        <v>1.8413254038983555</v>
      </c>
      <c r="S86" s="327">
        <f>[1]PE!D86</f>
        <v>13.18352736184794</v>
      </c>
      <c r="T86" s="326">
        <f>'[1]Working capital'!F86</f>
        <v>0.23135438391227187</v>
      </c>
      <c r="U86" s="326">
        <f>'[1]Summary sheet uValue'!G95</f>
        <v>4.0338381952751134E-2</v>
      </c>
      <c r="V86" s="326">
        <f>'[1]Cap Ex'!H86</f>
        <v>4.0675606583418691E-2</v>
      </c>
      <c r="W86" s="326">
        <f>[1]fundgrEB!D86</f>
        <v>0.90245292825802947</v>
      </c>
      <c r="X86" s="326">
        <f>[1]Fundgr!C86</f>
        <v>0.40047668555839688</v>
      </c>
      <c r="Y86" s="326">
        <f>'[1]Dividend fundamentals'!E86</f>
        <v>8.4502585240626232E-2</v>
      </c>
      <c r="Z86" s="326">
        <f>1-[1]Fundgr!D86</f>
        <v>8.450258524062626E-2</v>
      </c>
      <c r="AA86" s="328">
        <f>[1]Margins!J87</f>
        <v>0.16175424887640524</v>
      </c>
    </row>
    <row r="87" spans="1:27" ht="14">
      <c r="A87" s="325" t="str">
        <f>'[1]Master data'!A87</f>
        <v>Telecom (Wireless)</v>
      </c>
      <c r="B87" s="143">
        <f>'[1]Master data'!B87</f>
        <v>17</v>
      </c>
      <c r="C87" s="326">
        <f>'[1]Hist Growth'!D87</f>
        <v>-1.5962857142857147E-2</v>
      </c>
      <c r="D87" s="326">
        <f>[1]Margins!F88</f>
        <v>0.11699384526483113</v>
      </c>
      <c r="E87" s="326">
        <f>'[1]Return on capital'!H87</f>
        <v>5.18063778344608E-2</v>
      </c>
      <c r="F87" s="326">
        <f>'[1]Tax rates'!H88</f>
        <v>0.15404468771821075</v>
      </c>
      <c r="G87" s="327">
        <f>[1]Beta!H90</f>
        <v>0.62723011307829235</v>
      </c>
      <c r="H87" s="327">
        <f>[1]Beta!C90</f>
        <v>0.96476122265455444</v>
      </c>
      <c r="I87" s="326">
        <f>[1]WACC!D98</f>
        <v>5.600587584055311E-2</v>
      </c>
      <c r="J87" s="326">
        <f>[1]optvar!C92</f>
        <v>0.48157678673096171</v>
      </c>
      <c r="K87" s="326">
        <f>[1]WACC!G98</f>
        <v>3.5780000000000006E-2</v>
      </c>
      <c r="L87" s="326">
        <f>'[1]Debt fundamentals'!F87</f>
        <v>0.43917141176790819</v>
      </c>
      <c r="M87" s="326">
        <f>[1]WACC!K98</f>
        <v>4.2880590052889918E-2</v>
      </c>
      <c r="N87" s="327">
        <f>'[1]Cap Ex'!J87</f>
        <v>0.53901555104395316</v>
      </c>
      <c r="O87" s="327">
        <f>[1]PS!E87</f>
        <v>2.9596272770137189</v>
      </c>
      <c r="P87" s="327">
        <f>[1]EVEBITDA!D88</f>
        <v>7.7854742682897822</v>
      </c>
      <c r="Q87" s="327">
        <f>[1]EVEBITDA!E88</f>
        <v>30.020555852632732</v>
      </c>
      <c r="R87" s="327">
        <f>[1]PBV!C87</f>
        <v>1.9230724101577581</v>
      </c>
      <c r="S87" s="327">
        <f>[1]PE!D87</f>
        <v>52.339416166920685</v>
      </c>
      <c r="T87" s="326">
        <f>'[1]Working capital'!F87</f>
        <v>8.2667344800385123E-2</v>
      </c>
      <c r="U87" s="326">
        <f>'[1]Summary sheet uValue'!G96</f>
        <v>0.16927541140577165</v>
      </c>
      <c r="V87" s="326">
        <f>'[1]Cap Ex'!H87</f>
        <v>-1.102929511237208E-2</v>
      </c>
      <c r="W87" s="326">
        <f>[1]fundgrEB!D87</f>
        <v>0.72431571763620828</v>
      </c>
      <c r="X87" s="326">
        <f>[1]Fundgr!C87</f>
        <v>5.9312016734090908E-2</v>
      </c>
      <c r="Y87" s="326">
        <f>'[1]Dividend fundamentals'!E87</f>
        <v>2.4370330333568325E-2</v>
      </c>
      <c r="Z87" s="326">
        <f>1-[1]Fundgr!D87</f>
        <v>2.437033033356828E-2</v>
      </c>
      <c r="AA87" s="328">
        <f>[1]Margins!J88</f>
        <v>9.932320620441977E-2</v>
      </c>
    </row>
    <row r="88" spans="1:27" ht="14">
      <c r="A88" s="325" t="str">
        <f>'[1]Master data'!A88</f>
        <v>Telecom. Equipment</v>
      </c>
      <c r="B88" s="143">
        <f>'[1]Master data'!B88</f>
        <v>82</v>
      </c>
      <c r="C88" s="326">
        <f>'[1]Hist Growth'!D88</f>
        <v>6.6588448275862064E-2</v>
      </c>
      <c r="D88" s="326">
        <f>[1]Margins!F89</f>
        <v>0.19560040454889041</v>
      </c>
      <c r="E88" s="326">
        <f>'[1]Return on capital'!H88</f>
        <v>0.2684213717561465</v>
      </c>
      <c r="F88" s="326">
        <f>'[1]Tax rates'!H89</f>
        <v>0.18553284632860273</v>
      </c>
      <c r="G88" s="327">
        <f>[1]Beta!H91</f>
        <v>1.0568634798545709</v>
      </c>
      <c r="H88" s="327">
        <f>[1]Beta!C91</f>
        <v>1.083144981802276</v>
      </c>
      <c r="I88" s="326">
        <f>[1]WACC!D99</f>
        <v>6.1025347228416509E-2</v>
      </c>
      <c r="J88" s="326">
        <f>[1]optvar!C93</f>
        <v>0.40529263124804915</v>
      </c>
      <c r="K88" s="326">
        <f>[1]WACC!G99</f>
        <v>3.5780000000000006E-2</v>
      </c>
      <c r="L88" s="326">
        <f>'[1]Debt fundamentals'!F88</f>
        <v>8.0308145729124272E-2</v>
      </c>
      <c r="M88" s="326">
        <f>[1]WACC!K99</f>
        <v>5.822211533158371E-2</v>
      </c>
      <c r="N88" s="327">
        <f>'[1]Cap Ex'!J88</f>
        <v>1.3869602079823542</v>
      </c>
      <c r="O88" s="327">
        <f>[1]PS!E88</f>
        <v>4.7356525969763732</v>
      </c>
      <c r="P88" s="327">
        <f>[1]EVEBITDA!D89</f>
        <v>18.159138065315329</v>
      </c>
      <c r="Q88" s="327">
        <f>[1]EVEBITDA!E89</f>
        <v>23.515672335831848</v>
      </c>
      <c r="R88" s="327">
        <f>[1]PBV!C88</f>
        <v>6.1456448905816243</v>
      </c>
      <c r="S88" s="327">
        <f>[1]PE!D88</f>
        <v>65.147059852311045</v>
      </c>
      <c r="T88" s="326">
        <f>'[1]Working capital'!F88</f>
        <v>0.19257244032670351</v>
      </c>
      <c r="U88" s="326">
        <f>'[1]Summary sheet uValue'!G97</f>
        <v>2.5295616037249054E-2</v>
      </c>
      <c r="V88" s="326">
        <f>'[1]Cap Ex'!H88</f>
        <v>9.2631044670472437E-2</v>
      </c>
      <c r="W88" s="326">
        <f>[1]fundgrEB!D88</f>
        <v>0.73532628984178028</v>
      </c>
      <c r="X88" s="326">
        <f>[1]Fundgr!C88</f>
        <v>0.24928733205041886</v>
      </c>
      <c r="Y88" s="326">
        <f>'[1]Dividend fundamentals'!E88</f>
        <v>0.46151006398697708</v>
      </c>
      <c r="Z88" s="326">
        <f>1-[1]Fundgr!D88</f>
        <v>0.46151006398697714</v>
      </c>
      <c r="AA88" s="328">
        <f>[1]Margins!J89</f>
        <v>0.20401478771795842</v>
      </c>
    </row>
    <row r="89" spans="1:27" ht="14">
      <c r="A89" s="325" t="str">
        <f>'[1]Master data'!A89</f>
        <v>Telecom. Services</v>
      </c>
      <c r="B89" s="143">
        <f>'[1]Master data'!B89</f>
        <v>42</v>
      </c>
      <c r="C89" s="326">
        <f>'[1]Hist Growth'!D89</f>
        <v>0.10121849999999999</v>
      </c>
      <c r="D89" s="326">
        <f>[1]Margins!F90</f>
        <v>0.20942391773881094</v>
      </c>
      <c r="E89" s="326">
        <f>'[1]Return on capital'!H89</f>
        <v>0.15332858966929377</v>
      </c>
      <c r="F89" s="326">
        <f>'[1]Tax rates'!H90</f>
        <v>0.23964023206568558</v>
      </c>
      <c r="G89" s="327">
        <f>[1]Beta!H92</f>
        <v>0.50915335116483895</v>
      </c>
      <c r="H89" s="327">
        <f>[1]Beta!C92</f>
        <v>0.84601845269966747</v>
      </c>
      <c r="I89" s="326">
        <f>[1]WACC!D100</f>
        <v>5.0971182394465901E-2</v>
      </c>
      <c r="J89" s="326">
        <f>[1]optvar!C94</f>
        <v>0.38672324243299799</v>
      </c>
      <c r="K89" s="326">
        <f>[1]WACC!G100</f>
        <v>3.1600000000000003E-2</v>
      </c>
      <c r="L89" s="326">
        <f>'[1]Debt fundamentals'!F89</f>
        <v>0.50120497711288137</v>
      </c>
      <c r="M89" s="326">
        <f>[1]WACC!K100</f>
        <v>3.6985968501071068E-2</v>
      </c>
      <c r="N89" s="327">
        <f>'[1]Cap Ex'!J89</f>
        <v>0.78458197908009564</v>
      </c>
      <c r="O89" s="327">
        <f>[1]PS!E89</f>
        <v>2.4385102767407432</v>
      </c>
      <c r="P89" s="327">
        <f>[1]EVEBITDA!D90</f>
        <v>6.6061914621324309</v>
      </c>
      <c r="Q89" s="327">
        <f>[1]EVEBITDA!E90</f>
        <v>11.715013345691034</v>
      </c>
      <c r="R89" s="327">
        <f>[1]PBV!C89</f>
        <v>1.5309566564432715</v>
      </c>
      <c r="S89" s="327">
        <f>[1]PE!D89</f>
        <v>37.302787033796925</v>
      </c>
      <c r="T89" s="326">
        <f>'[1]Working capital'!F89</f>
        <v>-1.5800372747383547E-2</v>
      </c>
      <c r="U89" s="326">
        <f>'[1]Summary sheet uValue'!G98</f>
        <v>0.11306108828261063</v>
      </c>
      <c r="V89" s="326">
        <f>'[1]Cap Ex'!H89</f>
        <v>5.2744009801373559E-2</v>
      </c>
      <c r="W89" s="326">
        <f>[1]fundgrEB!D89</f>
        <v>0.38667782878723261</v>
      </c>
      <c r="X89" s="326">
        <f>[1]Fundgr!C89</f>
        <v>0.10413039057870234</v>
      </c>
      <c r="Y89" s="326">
        <f>'[1]Dividend fundamentals'!E89</f>
        <v>0.98028509926226504</v>
      </c>
      <c r="Z89" s="326">
        <f>1-[1]Fundgr!D89</f>
        <v>0.98028509926226504</v>
      </c>
      <c r="AA89" s="328">
        <f>[1]Margins!J90</f>
        <v>0.20757632969745807</v>
      </c>
    </row>
    <row r="90" spans="1:27" ht="14">
      <c r="A90" s="325" t="str">
        <f>'[1]Master data'!A90</f>
        <v>Tobacco</v>
      </c>
      <c r="B90" s="143">
        <f>'[1]Master data'!B90</f>
        <v>16</v>
      </c>
      <c r="C90" s="326">
        <f>'[1]Hist Growth'!D90</f>
        <v>6.9114999999999996E-2</v>
      </c>
      <c r="D90" s="326">
        <f>[1]Margins!F91</f>
        <v>0.44249767749170477</v>
      </c>
      <c r="E90" s="326">
        <f>'[1]Return on capital'!H90</f>
        <v>0.6444837918764037</v>
      </c>
      <c r="F90" s="326">
        <f>'[1]Tax rates'!H91</f>
        <v>0.2453534284511191</v>
      </c>
      <c r="G90" s="327">
        <f>[1]Beta!H93</f>
        <v>0.86224908484130214</v>
      </c>
      <c r="H90" s="327">
        <f>[1]Beta!C93</f>
        <v>0.99735259995367076</v>
      </c>
      <c r="I90" s="326">
        <f>[1]WACC!D101</f>
        <v>5.7387750238035641E-2</v>
      </c>
      <c r="J90" s="326">
        <f>[1]optvar!C95</f>
        <v>0.248828343980245</v>
      </c>
      <c r="K90" s="326">
        <f>[1]WACC!G101</f>
        <v>2.5000000000000001E-2</v>
      </c>
      <c r="L90" s="326">
        <f>'[1]Debt fundamentals'!F90</f>
        <v>0.2062317331476011</v>
      </c>
      <c r="M90" s="326">
        <f>[1]WACC!K101</f>
        <v>4.9316304174947617E-2</v>
      </c>
      <c r="N90" s="327">
        <f>'[1]Cap Ex'!J90</f>
        <v>1.5828785661483415</v>
      </c>
      <c r="O90" s="327">
        <f>[1]PS!E90</f>
        <v>5.0574267330240801</v>
      </c>
      <c r="P90" s="327">
        <f>[1]EVEBITDA!D91</f>
        <v>10.695601691884987</v>
      </c>
      <c r="Q90" s="327">
        <f>[1]EVEBITDA!E91</f>
        <v>11.373264886385954</v>
      </c>
      <c r="R90" s="327" t="str">
        <f>[1]PBV!C90</f>
        <v>NA</v>
      </c>
      <c r="S90" s="327">
        <f>[1]PE!D90</f>
        <v>14.6423019391752</v>
      </c>
      <c r="T90" s="326">
        <f>'[1]Working capital'!F90</f>
        <v>0.13378097798462144</v>
      </c>
      <c r="U90" s="326">
        <f>'[1]Summary sheet uValue'!G99</f>
        <v>1.526218997876465E-2</v>
      </c>
      <c r="V90" s="326">
        <f>'[1]Cap Ex'!H90</f>
        <v>4.3216561915277965E-2</v>
      </c>
      <c r="W90" s="326">
        <f>[1]fundgrEB!D90</f>
        <v>9.8991675839706833E-2</v>
      </c>
      <c r="X90" s="326" t="str">
        <f>[1]Fundgr!C90</f>
        <v>NA</v>
      </c>
      <c r="Y90" s="326">
        <f>'[1]Dividend fundamentals'!E90</f>
        <v>1.1817667335968365</v>
      </c>
      <c r="Z90" s="326">
        <f>1-[1]Fundgr!D90</f>
        <v>1.1817667335968365</v>
      </c>
      <c r="AA90" s="328">
        <f>[1]Margins!J91</f>
        <v>0.44366362497402767</v>
      </c>
    </row>
    <row r="91" spans="1:27" ht="14">
      <c r="A91" s="325" t="str">
        <f>'[1]Master data'!A91</f>
        <v>Transportation</v>
      </c>
      <c r="B91" s="143">
        <f>'[1]Master data'!B91</f>
        <v>17</v>
      </c>
      <c r="C91" s="326">
        <f>'[1]Hist Growth'!D91</f>
        <v>0.1085909090909091</v>
      </c>
      <c r="D91" s="326">
        <f>[1]Margins!F92</f>
        <v>8.246528841277441E-2</v>
      </c>
      <c r="E91" s="326">
        <f>'[1]Return on capital'!H91</f>
        <v>0.21050607736749496</v>
      </c>
      <c r="F91" s="326">
        <f>'[1]Tax rates'!H92</f>
        <v>0.23333591393258046</v>
      </c>
      <c r="G91" s="327">
        <f>[1]Beta!H94</f>
        <v>0.71581476967907198</v>
      </c>
      <c r="H91" s="327">
        <f>[1]Beta!C94</f>
        <v>0.79107781492951179</v>
      </c>
      <c r="I91" s="326">
        <f>[1]WACC!D102</f>
        <v>4.8641699353011304E-2</v>
      </c>
      <c r="J91" s="326">
        <f>[1]optvar!C96</f>
        <v>0.2833532543819442</v>
      </c>
      <c r="K91" s="326">
        <f>[1]WACC!G102</f>
        <v>3.1600000000000003E-2</v>
      </c>
      <c r="L91" s="326">
        <f>'[1]Debt fundamentals'!F91</f>
        <v>0.18631435914692018</v>
      </c>
      <c r="M91" s="326">
        <f>[1]WACC!K102</f>
        <v>4.3876951947038993E-2</v>
      </c>
      <c r="N91" s="327">
        <f>'[1]Cap Ex'!J91</f>
        <v>3.0323951225385621</v>
      </c>
      <c r="O91" s="327">
        <f>[1]PS!E91</f>
        <v>1.5202885672224511</v>
      </c>
      <c r="P91" s="327">
        <f>[1]EVEBITDA!D92</f>
        <v>11.416477749433529</v>
      </c>
      <c r="Q91" s="327">
        <f>[1]EVEBITDA!E92</f>
        <v>18.737926513227354</v>
      </c>
      <c r="R91" s="327">
        <f>[1]PBV!C91</f>
        <v>6.2025527321562164</v>
      </c>
      <c r="S91" s="327">
        <f>[1]PE!D91</f>
        <v>28.227405320714436</v>
      </c>
      <c r="T91" s="326">
        <f>'[1]Working capital'!F91</f>
        <v>8.2121945924141432E-2</v>
      </c>
      <c r="U91" s="326">
        <f>'[1]Summary sheet uValue'!G100</f>
        <v>5.221796197279413E-2</v>
      </c>
      <c r="V91" s="326">
        <f>'[1]Cap Ex'!H91</f>
        <v>2.1025406060666656E-2</v>
      </c>
      <c r="W91" s="326">
        <f>[1]fundgrEB!D91</f>
        <v>0.70158698662454977</v>
      </c>
      <c r="X91" s="326">
        <f>[1]Fundgr!C91</f>
        <v>0.40237423910520076</v>
      </c>
      <c r="Y91" s="326">
        <f>'[1]Dividend fundamentals'!E91</f>
        <v>0.32061125968583032</v>
      </c>
      <c r="Z91" s="326">
        <f>1-[1]Fundgr!D91</f>
        <v>0.32061125968583037</v>
      </c>
      <c r="AA91" s="328">
        <f>[1]Margins!J92</f>
        <v>8.1093659037854496E-2</v>
      </c>
    </row>
    <row r="92" spans="1:27" ht="14">
      <c r="A92" s="325" t="str">
        <f>'[1]Master data'!A92</f>
        <v>Transportation (Railroads)</v>
      </c>
      <c r="B92" s="143">
        <f>'[1]Master data'!B92</f>
        <v>4</v>
      </c>
      <c r="C92" s="326">
        <f>'[1]Hist Growth'!D92</f>
        <v>1.67E-2</v>
      </c>
      <c r="D92" s="326">
        <f>[1]Margins!F93</f>
        <v>0.41947948630526194</v>
      </c>
      <c r="E92" s="326">
        <f>'[1]Return on capital'!H92</f>
        <v>0.15305518344153013</v>
      </c>
      <c r="F92" s="326">
        <f>'[1]Tax rates'!H93</f>
        <v>0.23139696548389047</v>
      </c>
      <c r="G92" s="327">
        <f>[1]Beta!H95</f>
        <v>0.64760822307726795</v>
      </c>
      <c r="H92" s="327">
        <f>[1]Beta!C95</f>
        <v>0.73244696143394594</v>
      </c>
      <c r="I92" s="326">
        <f>[1]WACC!D103</f>
        <v>4.6155751164799308E-2</v>
      </c>
      <c r="J92" s="326">
        <f>[1]optvar!C97</f>
        <v>0.16394179419082858</v>
      </c>
      <c r="K92" s="326">
        <f>[1]WACC!G103</f>
        <v>2.5000000000000001E-2</v>
      </c>
      <c r="L92" s="326">
        <f>'[1]Debt fundamentals'!F92</f>
        <v>0.16623185079376421</v>
      </c>
      <c r="M92" s="326">
        <f>[1]WACC!K103</f>
        <v>4.1516926500884475E-2</v>
      </c>
      <c r="N92" s="327">
        <f>'[1]Cap Ex'!J92</f>
        <v>0.44548358403100868</v>
      </c>
      <c r="O92" s="327">
        <f>[1]PS!E92</f>
        <v>8.5538699357743848</v>
      </c>
      <c r="P92" s="327">
        <f>[1]EVEBITDA!D93</f>
        <v>15.869353454684745</v>
      </c>
      <c r="Q92" s="327">
        <f>[1]EVEBITDA!E93</f>
        <v>20.579513818159775</v>
      </c>
      <c r="R92" s="327">
        <f>[1]PBV!C92</f>
        <v>7.755848789535337</v>
      </c>
      <c r="S92" s="327">
        <f>[1]PE!D92</f>
        <v>24.707092715621854</v>
      </c>
      <c r="T92" s="326">
        <f>'[1]Working capital'!F92</f>
        <v>2.7707694056142745E-2</v>
      </c>
      <c r="U92" s="326">
        <f>'[1]Summary sheet uValue'!G101</f>
        <v>0.12912831003523129</v>
      </c>
      <c r="V92" s="326">
        <f>'[1]Cap Ex'!H92</f>
        <v>3.2685532446868962E-2</v>
      </c>
      <c r="W92" s="326">
        <f>[1]fundgrEB!D92</f>
        <v>0.10299348956288693</v>
      </c>
      <c r="X92" s="326">
        <f>[1]Fundgr!C92</f>
        <v>0.28348159543397322</v>
      </c>
      <c r="Y92" s="326">
        <f>'[1]Dividend fundamentals'!E92</f>
        <v>0.35627211954384586</v>
      </c>
      <c r="Z92" s="326">
        <f>1-[1]Fundgr!D92</f>
        <v>0.35627211954384586</v>
      </c>
      <c r="AA92" s="328">
        <f>[1]Margins!J93</f>
        <v>0.41564792442598464</v>
      </c>
    </row>
    <row r="93" spans="1:27" ht="14">
      <c r="A93" s="325" t="str">
        <f>'[1]Master data'!A93</f>
        <v>Trucking</v>
      </c>
      <c r="B93" s="143">
        <f>'[1]Master data'!B93</f>
        <v>34</v>
      </c>
      <c r="C93" s="326">
        <f>'[1]Hist Growth'!D93</f>
        <v>7.6031818181818173E-2</v>
      </c>
      <c r="D93" s="326">
        <f>[1]Margins!F94</f>
        <v>5.1730306572259389E-2</v>
      </c>
      <c r="E93" s="326">
        <f>'[1]Return on capital'!H93</f>
        <v>5.7622813229085725E-2</v>
      </c>
      <c r="F93" s="326">
        <f>'[1]Tax rates'!H94</f>
        <v>0.23984931774165821</v>
      </c>
      <c r="G93" s="327">
        <f>[1]Beta!H96</f>
        <v>1.2784881792172302</v>
      </c>
      <c r="H93" s="327">
        <f>[1]Beta!C96</f>
        <v>1.4387162765613046</v>
      </c>
      <c r="I93" s="326">
        <f>[1]WACC!D104</f>
        <v>7.6101570126199322E-2</v>
      </c>
      <c r="J93" s="326">
        <f>[1]optvar!C98</f>
        <v>0.32991773770474286</v>
      </c>
      <c r="K93" s="326">
        <f>[1]WACC!G104</f>
        <v>3.1600000000000003E-2</v>
      </c>
      <c r="L93" s="326">
        <f>'[1]Debt fundamentals'!F93</f>
        <v>0.20796912367853282</v>
      </c>
      <c r="M93" s="326">
        <f>[1]WACC!K104</f>
        <v>6.5072225021509639E-2</v>
      </c>
      <c r="N93" s="327">
        <f>'[1]Cap Ex'!J93</f>
        <v>1.3132883224162306</v>
      </c>
      <c r="O93" s="327">
        <f>[1]PS!E93</f>
        <v>2.587826665715327</v>
      </c>
      <c r="P93" s="327">
        <f>[1]EVEBITDA!D94</f>
        <v>9.9329540188337173</v>
      </c>
      <c r="Q93" s="327">
        <f>[1]EVEBITDA!E94</f>
        <v>31.303922870410435</v>
      </c>
      <c r="R93" s="327">
        <f>[1]PBV!C93</f>
        <v>4.898352888347687</v>
      </c>
      <c r="S93" s="327">
        <f>[1]PE!D93</f>
        <v>20.714931615189311</v>
      </c>
      <c r="T93" s="326">
        <f>'[1]Working capital'!F93</f>
        <v>4.9552868599793083E-2</v>
      </c>
      <c r="U93" s="326">
        <f>'[1]Summary sheet uValue'!G102</f>
        <v>0.12060656769514498</v>
      </c>
      <c r="V93" s="326">
        <f>'[1]Cap Ex'!H93</f>
        <v>7.847720321111723E-2</v>
      </c>
      <c r="W93" s="326">
        <f>[1]fundgrEB!D93</f>
        <v>3.2508235444541747</v>
      </c>
      <c r="X93" s="326">
        <f>[1]Fundgr!C93</f>
        <v>5.5427841299503539E-2</v>
      </c>
      <c r="Y93" s="326">
        <f>'[1]Dividend fundamentals'!E93</f>
        <v>0.34413679872225877</v>
      </c>
      <c r="Z93" s="326">
        <f>1-[1]Fundgr!D93</f>
        <v>0.34413679872225877</v>
      </c>
      <c r="AA93" s="328">
        <f>[1]Margins!J94</f>
        <v>5.246885740985717E-2</v>
      </c>
    </row>
    <row r="94" spans="1:27" ht="14">
      <c r="A94" s="325" t="str">
        <f>'[1]Master data'!A94</f>
        <v>Utility (General)</v>
      </c>
      <c r="B94" s="143">
        <f>'[1]Master data'!B94</f>
        <v>16</v>
      </c>
      <c r="C94" s="326">
        <f>'[1]Hist Growth'!D94</f>
        <v>2.7306875000000001E-2</v>
      </c>
      <c r="D94" s="326">
        <f>[1]Margins!F95</f>
        <v>0.19226760162986831</v>
      </c>
      <c r="E94" s="326">
        <f>'[1]Return on capital'!H94</f>
        <v>5.9117785815711511E-2</v>
      </c>
      <c r="F94" s="326">
        <f>'[1]Tax rates'!H95</f>
        <v>0.12102541076298808</v>
      </c>
      <c r="G94" s="327">
        <f>[1]Beta!H97</f>
        <v>0.59621878625724234</v>
      </c>
      <c r="H94" s="327">
        <f>[1]Beta!C97</f>
        <v>0.89179459508359282</v>
      </c>
      <c r="I94" s="326">
        <f>[1]WACC!D105</f>
        <v>5.2912090831544335E-2</v>
      </c>
      <c r="J94" s="326">
        <f>[1]optvar!C99</f>
        <v>0.18828200758700916</v>
      </c>
      <c r="K94" s="326">
        <f>[1]WACC!G105</f>
        <v>2.5000000000000001E-2</v>
      </c>
      <c r="L94" s="326">
        <f>'[1]Debt fundamentals'!F94</f>
        <v>0.40904182570173886</v>
      </c>
      <c r="M94" s="326">
        <f>[1]WACC!K105</f>
        <v>3.8733845915169936E-2</v>
      </c>
      <c r="N94" s="327">
        <f>'[1]Cap Ex'!J94</f>
        <v>0.34550960027522909</v>
      </c>
      <c r="O94" s="327">
        <f>[1]PS!E94</f>
        <v>4.8124178224519714</v>
      </c>
      <c r="P94" s="327">
        <f>[1]EVEBITDA!D95</f>
        <v>14.297505883621557</v>
      </c>
      <c r="Q94" s="327">
        <f>[1]EVEBITDA!E95</f>
        <v>25.377856467784756</v>
      </c>
      <c r="R94" s="327">
        <f>[1]PBV!C94</f>
        <v>2.0880264047502157</v>
      </c>
      <c r="S94" s="327">
        <f>[1]PE!D94</f>
        <v>21.937262152147429</v>
      </c>
      <c r="T94" s="326">
        <f>'[1]Working capital'!F94</f>
        <v>0.11402470883100328</v>
      </c>
      <c r="U94" s="326">
        <f>'[1]Summary sheet uValue'!G103</f>
        <v>0.3444300807544618</v>
      </c>
      <c r="V94" s="326">
        <f>'[1]Cap Ex'!H94</f>
        <v>0.20669282268531849</v>
      </c>
      <c r="W94" s="326">
        <f>[1]fundgrEB!D94</f>
        <v>1.2522890558976274</v>
      </c>
      <c r="X94" s="326">
        <f>[1]Fundgr!C94</f>
        <v>8.4441424896409462E-2</v>
      </c>
      <c r="Y94" s="326">
        <f>'[1]Dividend fundamentals'!E94</f>
        <v>0.80766361876346204</v>
      </c>
      <c r="Z94" s="326">
        <f>1-[1]Fundgr!D94</f>
        <v>0.80766361876346204</v>
      </c>
      <c r="AA94" s="328">
        <f>[1]Margins!J95</f>
        <v>0.1895958129117444</v>
      </c>
    </row>
    <row r="95" spans="1:27" ht="14">
      <c r="A95" s="325" t="str">
        <f>'[1]Master data'!A95</f>
        <v>Utility (Water)</v>
      </c>
      <c r="B95" s="143">
        <f>'[1]Master data'!B95</f>
        <v>14</v>
      </c>
      <c r="C95" s="326">
        <f>'[1]Hist Growth'!D95</f>
        <v>0.14579166666666665</v>
      </c>
      <c r="D95" s="326">
        <f>[1]Margins!F96</f>
        <v>0.30154940583112638</v>
      </c>
      <c r="E95" s="326">
        <f>'[1]Return on capital'!H95</f>
        <v>7.2882494230344888E-2</v>
      </c>
      <c r="F95" s="326">
        <f>'[1]Tax rates'!H96</f>
        <v>0.1252597592182321</v>
      </c>
      <c r="G95" s="327">
        <f>[1]Beta!H98</f>
        <v>0.61417995243827894</v>
      </c>
      <c r="H95" s="327">
        <f>[1]Beta!C98</f>
        <v>0.76530503730492327</v>
      </c>
      <c r="I95" s="326">
        <f>[1]WACC!D106</f>
        <v>4.754893358172875E-2</v>
      </c>
      <c r="J95" s="326">
        <f>[1]optvar!C100</f>
        <v>0.270944618528484</v>
      </c>
      <c r="K95" s="326">
        <f>[1]WACC!G106</f>
        <v>3.1600000000000003E-2</v>
      </c>
      <c r="L95" s="326">
        <f>'[1]Debt fundamentals'!F95</f>
        <v>0.25562813687375691</v>
      </c>
      <c r="M95" s="326">
        <f>[1]WACC!K106</f>
        <v>4.1290918141301244E-2</v>
      </c>
      <c r="N95" s="327">
        <f>'[1]Cap Ex'!J95</f>
        <v>0.27053211178840647</v>
      </c>
      <c r="O95" s="327">
        <f>[1]PS!E95</f>
        <v>10.393836717091054</v>
      </c>
      <c r="P95" s="327">
        <f>[1]EVEBITDA!D96</f>
        <v>22.421981690615254</v>
      </c>
      <c r="Q95" s="327">
        <f>[1]EVEBITDA!E96</f>
        <v>34.621265391362179</v>
      </c>
      <c r="R95" s="327">
        <f>[1]PBV!C95</f>
        <v>3.9441576868309003</v>
      </c>
      <c r="S95" s="327">
        <f>[1]PE!D95</f>
        <v>43.415526541353131</v>
      </c>
      <c r="T95" s="326">
        <f>'[1]Working capital'!F95</f>
        <v>0.18222728690486034</v>
      </c>
      <c r="U95" s="326">
        <f>'[1]Summary sheet uValue'!G104</f>
        <v>0.44612832016881676</v>
      </c>
      <c r="V95" s="326">
        <f>'[1]Cap Ex'!H95</f>
        <v>0.32273708508021731</v>
      </c>
      <c r="W95" s="326">
        <f>[1]fundgrEB!D95</f>
        <v>1.3049349143088795</v>
      </c>
      <c r="X95" s="326">
        <f>[1]Fundgr!C95</f>
        <v>0.18122051244667817</v>
      </c>
      <c r="Y95" s="326">
        <f>'[1]Dividend fundamentals'!E95</f>
        <v>0.56980060795157828</v>
      </c>
      <c r="Z95" s="326">
        <f>1-[1]Fundgr!D95</f>
        <v>0.33061634277708485</v>
      </c>
      <c r="AA95" s="328">
        <f>[1]Margins!J96</f>
        <v>0.29935845535632899</v>
      </c>
    </row>
  </sheetData>
  <phoneticPr fontId="6"/>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5"/>
  <sheetViews>
    <sheetView topLeftCell="A57" workbookViewId="0">
      <selection sqref="A1:AA95"/>
    </sheetView>
  </sheetViews>
  <sheetFormatPr baseColWidth="10"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s>
  <sheetData>
    <row r="1" spans="1:27" s="239" customFormat="1" ht="84">
      <c r="A1" s="322" t="s">
        <v>96</v>
      </c>
      <c r="B1" s="239" t="s">
        <v>172</v>
      </c>
      <c r="C1" s="323" t="s">
        <v>160</v>
      </c>
      <c r="D1" s="323" t="s">
        <v>641</v>
      </c>
      <c r="E1" s="323" t="s">
        <v>179</v>
      </c>
      <c r="F1" s="239" t="s">
        <v>161</v>
      </c>
      <c r="G1" s="239" t="s">
        <v>209</v>
      </c>
      <c r="H1" s="239" t="s">
        <v>162</v>
      </c>
      <c r="I1" s="239" t="s">
        <v>163</v>
      </c>
      <c r="J1" s="239" t="s">
        <v>164</v>
      </c>
      <c r="K1" s="239" t="s">
        <v>165</v>
      </c>
      <c r="L1" s="239" t="s">
        <v>166</v>
      </c>
      <c r="M1" s="239" t="s">
        <v>145</v>
      </c>
      <c r="N1" s="324" t="s">
        <v>99</v>
      </c>
      <c r="O1" s="239" t="s">
        <v>167</v>
      </c>
      <c r="P1" s="239" t="s">
        <v>168</v>
      </c>
      <c r="Q1" s="239" t="s">
        <v>169</v>
      </c>
      <c r="R1" s="239" t="s">
        <v>170</v>
      </c>
      <c r="S1" s="239" t="s">
        <v>171</v>
      </c>
      <c r="T1" s="239" t="s">
        <v>494</v>
      </c>
      <c r="U1" s="239" t="s">
        <v>495</v>
      </c>
      <c r="V1" s="239" t="s">
        <v>496</v>
      </c>
      <c r="W1" s="239" t="s">
        <v>497</v>
      </c>
      <c r="X1" s="322" t="s">
        <v>481</v>
      </c>
      <c r="Y1" s="322" t="s">
        <v>498</v>
      </c>
      <c r="Z1" s="322" t="s">
        <v>499</v>
      </c>
      <c r="AA1" s="239" t="s">
        <v>649</v>
      </c>
    </row>
    <row r="2" spans="1:27" s="295" customFormat="1">
      <c r="A2" s="325" t="s">
        <v>97</v>
      </c>
      <c r="B2" s="143">
        <f>'[2]Summary Sheet for valn'!B2</f>
        <v>348</v>
      </c>
      <c r="C2" s="326">
        <f>'[2]Summary sheet uValue'!C11</f>
        <v>4.9301099999999966E-2</v>
      </c>
      <c r="D2" s="326">
        <f>[2]Margins!F3</f>
        <v>8.4543099547611134E-2</v>
      </c>
      <c r="E2" s="326">
        <f>'[2]Return on capital'!H2</f>
        <v>0.21254792947849876</v>
      </c>
      <c r="F2" s="326">
        <f>'[2]Tax rates'!H3</f>
        <v>0.31004565269780121</v>
      </c>
      <c r="G2" s="327">
        <f>[2]Beta!H5</f>
        <v>1.1846627950549029</v>
      </c>
      <c r="H2" s="327">
        <f>[2]Beta!C5</f>
        <v>1.2920214899611719</v>
      </c>
      <c r="I2" s="326">
        <f>[2]WACC!D13</f>
        <v>8.3060330371957647E-2</v>
      </c>
      <c r="J2" s="326">
        <f>[2]optvar!C7</f>
        <v>0.38279622822720849</v>
      </c>
      <c r="K2" s="326">
        <f>[2]WACC!G13</f>
        <v>4.0400000000000005E-2</v>
      </c>
      <c r="L2" s="326">
        <f>'[2]Debt fundamentals'!F2</f>
        <v>0.24555203666377023</v>
      </c>
      <c r="M2" s="326">
        <f>[2]WACC!K13</f>
        <v>6.9999768589889183E-2</v>
      </c>
      <c r="N2" s="327">
        <f>'[2]Cap Ex'!J2</f>
        <v>2.7953022987689566</v>
      </c>
      <c r="O2" s="327">
        <f>[2]PS!E2</f>
        <v>1.7514773186811119</v>
      </c>
      <c r="P2" s="327">
        <f>[2]EVEBITDA!D3</f>
        <v>12.244853279181939</v>
      </c>
      <c r="Q2" s="327">
        <f>[2]EVEBITDA!E3</f>
        <v>19.0038240115279</v>
      </c>
      <c r="R2" s="327">
        <f>[2]PBV!C2</f>
        <v>2.7336345845477452</v>
      </c>
      <c r="S2" s="327">
        <f>[2]PE!D2</f>
        <v>74.812069371756152</v>
      </c>
      <c r="T2" s="326">
        <f>'[2]Working capital'!F2</f>
        <v>-4.2051277463476901E-2</v>
      </c>
      <c r="U2" s="326">
        <f>'[2]Summary sheet uValue'!G11</f>
        <v>1.4256336664141151E-2</v>
      </c>
      <c r="V2" s="326">
        <f>'[2]Cap Ex'!H2</f>
        <v>-8.9523825484201739E-3</v>
      </c>
      <c r="W2" s="326">
        <f>[2]fundgrEB!D2</f>
        <v>-0.31313698055209749</v>
      </c>
      <c r="X2" s="326">
        <f>[2]Fundgr!C2</f>
        <v>5.6334524668553806E-2</v>
      </c>
      <c r="Y2" s="326">
        <f>'[2]Dividend fundamentals'!E2</f>
        <v>0.73983027279387559</v>
      </c>
      <c r="Z2" s="326">
        <f>1-[2]Fundgr!D2</f>
        <v>0.73983027279387559</v>
      </c>
      <c r="AA2" s="328">
        <f>[2]Margins!J3</f>
        <v>8.8187898752127583E-2</v>
      </c>
    </row>
    <row r="3" spans="1:27" s="295" customFormat="1">
      <c r="A3" s="325" t="str">
        <f>'[2]Master data'!A3</f>
        <v>Aerospace/Defense</v>
      </c>
      <c r="B3" s="143">
        <f>'[2]Master data'!B3</f>
        <v>272</v>
      </c>
      <c r="C3" s="326">
        <f>'[2]Hist Growth'!D3</f>
        <v>8.6036707317073177E-2</v>
      </c>
      <c r="D3" s="326">
        <f>[2]Margins!F4</f>
        <v>7.4999464290287893E-2</v>
      </c>
      <c r="E3" s="326">
        <f>'[2]Return on capital'!H3</f>
        <v>0.12703004438534796</v>
      </c>
      <c r="F3" s="326">
        <f>'[2]Tax rates'!H4</f>
        <v>0.15691352818553894</v>
      </c>
      <c r="G3" s="327">
        <f>[2]Beta!H6</f>
        <v>1.1116864156748973</v>
      </c>
      <c r="H3" s="327">
        <f>[2]Beta!C6</f>
        <v>1.2231440544338203</v>
      </c>
      <c r="I3" s="326">
        <f>[2]WACC!D14</f>
        <v>7.943737726321895E-2</v>
      </c>
      <c r="J3" s="326">
        <f>[2]optvar!C8</f>
        <v>0.33194361135732015</v>
      </c>
      <c r="K3" s="326">
        <f>[2]WACC!G14</f>
        <v>4.0400000000000005E-2</v>
      </c>
      <c r="L3" s="326">
        <f>'[2]Debt fundamentals'!F3</f>
        <v>0.20608557334061123</v>
      </c>
      <c r="M3" s="326">
        <f>[2]WACC!K14</f>
        <v>6.9222618611547188E-2</v>
      </c>
      <c r="N3" s="327">
        <f>'[2]Cap Ex'!J3</f>
        <v>1.8431906216043816</v>
      </c>
      <c r="O3" s="327">
        <f>[2]PS!E3</f>
        <v>2.1398082490983557</v>
      </c>
      <c r="P3" s="327">
        <f>[2]EVEBITDA!D4</f>
        <v>14.580152005130218</v>
      </c>
      <c r="Q3" s="327">
        <f>[2]EVEBITDA!E4</f>
        <v>23.349402485976363</v>
      </c>
      <c r="R3" s="327">
        <f>[2]PBV!C3</f>
        <v>4.324099155641318</v>
      </c>
      <c r="S3" s="327">
        <f>[2]PE!D3</f>
        <v>70.171653420811069</v>
      </c>
      <c r="T3" s="326">
        <f>'[2]Working capital'!F3</f>
        <v>0.41790338856432757</v>
      </c>
      <c r="U3" s="326">
        <f>'[2]Summary sheet uValue'!G12</f>
        <v>3.0930587252808305E-2</v>
      </c>
      <c r="V3" s="326">
        <f>'[2]Cap Ex'!H3</f>
        <v>1.2612646382451399E-2</v>
      </c>
      <c r="W3" s="326">
        <f>[2]fundgrEB!D3</f>
        <v>0.58754651208492248</v>
      </c>
      <c r="X3" s="326">
        <f>[2]Fundgr!C3</f>
        <v>0.14422294145208617</v>
      </c>
      <c r="Y3" s="326">
        <f>'[2]Dividend fundamentals'!E3</f>
        <v>0.44794410996649281</v>
      </c>
      <c r="Z3" s="326">
        <f>1-[2]Fundgr!D3</f>
        <v>0.44794410996649281</v>
      </c>
      <c r="AA3" s="328">
        <f>[2]Margins!J4</f>
        <v>7.6020079162414239E-2</v>
      </c>
    </row>
    <row r="4" spans="1:27" s="295" customFormat="1">
      <c r="A4" s="325" t="str">
        <f>'[2]Master data'!A4</f>
        <v>Air Transport</v>
      </c>
      <c r="B4" s="143">
        <f>'[2]Master data'!B4</f>
        <v>151</v>
      </c>
      <c r="C4" s="326">
        <f>'[2]Hist Growth'!D4</f>
        <v>-8.8139663865546239E-2</v>
      </c>
      <c r="D4" s="326">
        <f>[2]Margins!F5</f>
        <v>-0.21449240751555679</v>
      </c>
      <c r="E4" s="326">
        <f>'[2]Return on capital'!H4</f>
        <v>-0.10837641876215605</v>
      </c>
      <c r="F4" s="326">
        <f>'[2]Tax rates'!H5</f>
        <v>0.18938706264681515</v>
      </c>
      <c r="G4" s="327">
        <f>[2]Beta!H7</f>
        <v>0.93954659070741131</v>
      </c>
      <c r="H4" s="327">
        <f>[2]Beta!C7</f>
        <v>1.5924295331769072</v>
      </c>
      <c r="I4" s="326">
        <f>[2]WACC!D15</f>
        <v>9.8861793445105317E-2</v>
      </c>
      <c r="J4" s="326">
        <f>[2]optvar!C9</f>
        <v>0.30929768864093088</v>
      </c>
      <c r="K4" s="326">
        <f>[2]WACC!G15</f>
        <v>4.0400000000000005E-2</v>
      </c>
      <c r="L4" s="326">
        <f>'[2]Debt fundamentals'!F4</f>
        <v>0.55822719310873492</v>
      </c>
      <c r="M4" s="326">
        <f>[2]WACC!K15</f>
        <v>6.0349680722566433E-2</v>
      </c>
      <c r="N4" s="327">
        <f>'[2]Cap Ex'!J4</f>
        <v>0.52042457558651478</v>
      </c>
      <c r="O4" s="327">
        <f>[2]PS!E4</f>
        <v>3.2503221375332387</v>
      </c>
      <c r="P4" s="327">
        <f>[2]EVEBITDA!D5</f>
        <v>24.038826628279597</v>
      </c>
      <c r="Q4" s="327" t="str">
        <f>[2]EVEBITDA!E5</f>
        <v>NA</v>
      </c>
      <c r="R4" s="327">
        <f>[2]PBV!C4</f>
        <v>2.7518293888637335</v>
      </c>
      <c r="S4" s="327">
        <f>[2]PE!D4</f>
        <v>721.84168558254396</v>
      </c>
      <c r="T4" s="326">
        <f>'[2]Working capital'!F4</f>
        <v>-8.2245625276857207E-2</v>
      </c>
      <c r="U4" s="326">
        <f>'[2]Summary sheet uValue'!G13</f>
        <v>0.12211844838164911</v>
      </c>
      <c r="V4" s="326">
        <f>'[2]Cap Ex'!H4</f>
        <v>-2.1550757358998661E-2</v>
      </c>
      <c r="W4" s="326" t="str">
        <f>[2]fundgrEB!D4</f>
        <v>NA</v>
      </c>
      <c r="X4" s="326">
        <f>[2]Fundgr!C4</f>
        <v>-0.36718258170208184</v>
      </c>
      <c r="Y4" s="326">
        <f>'[2]Dividend fundamentals'!E4</f>
        <v>3.5324529286747254E-3</v>
      </c>
      <c r="Z4" s="326">
        <f>1-[2]Fundgr!D4</f>
        <v>3.5324529286747675E-3</v>
      </c>
      <c r="AA4" s="328">
        <f>[2]Margins!J5</f>
        <v>-0.21794243408520517</v>
      </c>
    </row>
    <row r="5" spans="1:27" s="295" customFormat="1">
      <c r="A5" s="325" t="str">
        <f>'[2]Master data'!A5</f>
        <v>Apparel</v>
      </c>
      <c r="B5" s="143">
        <f>'[2]Master data'!B5</f>
        <v>1170</v>
      </c>
      <c r="C5" s="326">
        <f>'[2]Hist Growth'!D5</f>
        <v>1.8564522968197879E-2</v>
      </c>
      <c r="D5" s="326">
        <f>[2]Margins!F6</f>
        <v>0.13987576720981593</v>
      </c>
      <c r="E5" s="326">
        <f>'[2]Return on capital'!H5</f>
        <v>0.17908039725328107</v>
      </c>
      <c r="F5" s="326">
        <f>'[2]Tax rates'!H6</f>
        <v>0.24202358225619941</v>
      </c>
      <c r="G5" s="327">
        <f>[2]Beta!H8</f>
        <v>0.90334410020822542</v>
      </c>
      <c r="H5" s="327">
        <f>[2]Beta!C8</f>
        <v>0.95434110854960208</v>
      </c>
      <c r="I5" s="326">
        <f>[2]WACC!D16</f>
        <v>6.5298342309709073E-2</v>
      </c>
      <c r="J5" s="326">
        <f>[2]optvar!C10</f>
        <v>0.31364960971071709</v>
      </c>
      <c r="K5" s="326">
        <f>[2]WACC!G16</f>
        <v>4.0400000000000005E-2</v>
      </c>
      <c r="L5" s="326">
        <f>'[2]Debt fundamentals'!F5</f>
        <v>0.14029831728344888</v>
      </c>
      <c r="M5" s="326">
        <f>[2]WACC!K16</f>
        <v>6.0328052424553295E-2</v>
      </c>
      <c r="N5" s="327">
        <f>'[2]Cap Ex'!J5</f>
        <v>1.4629072003367607</v>
      </c>
      <c r="O5" s="327">
        <f>[2]PS!E5</f>
        <v>3.1280483352660666</v>
      </c>
      <c r="P5" s="327">
        <f>[2]EVEBITDA!D6</f>
        <v>16.194467267469712</v>
      </c>
      <c r="Q5" s="327">
        <f>[2]EVEBITDA!E6</f>
        <v>21.71269977388101</v>
      </c>
      <c r="R5" s="327">
        <f>[2]PBV!C5</f>
        <v>4.1312367447299314</v>
      </c>
      <c r="S5" s="327">
        <f>[2]PE!D5</f>
        <v>39.241218718759413</v>
      </c>
      <c r="T5" s="326">
        <f>'[2]Working capital'!F5</f>
        <v>0.22005913661415077</v>
      </c>
      <c r="U5" s="326">
        <f>'[2]Summary sheet uValue'!G14</f>
        <v>3.7076869963940808E-2</v>
      </c>
      <c r="V5" s="326">
        <f>'[2]Cap Ex'!H5</f>
        <v>6.7615443487588939E-2</v>
      </c>
      <c r="W5" s="326">
        <f>[2]fundgrEB!D5</f>
        <v>0.56891468169475412</v>
      </c>
      <c r="X5" s="326">
        <f>[2]Fundgr!C5</f>
        <v>0.16730567243824646</v>
      </c>
      <c r="Y5" s="326">
        <f>'[2]Dividend fundamentals'!E5</f>
        <v>0.3581338121940682</v>
      </c>
      <c r="Z5" s="326">
        <f>1-[2]Fundgr!D5</f>
        <v>0.35813381219406826</v>
      </c>
      <c r="AA5" s="328">
        <f>[2]Margins!J6</f>
        <v>0.14196742020145089</v>
      </c>
    </row>
    <row r="6" spans="1:27" s="295" customFormat="1">
      <c r="A6" s="325" t="str">
        <f>'[2]Master data'!A6</f>
        <v>Auto &amp; Truck</v>
      </c>
      <c r="B6" s="143">
        <f>'[2]Master data'!B6</f>
        <v>152</v>
      </c>
      <c r="C6" s="326">
        <f>'[2]Hist Growth'!D6</f>
        <v>8.029980392156863E-2</v>
      </c>
      <c r="D6" s="326">
        <f>[2]Margins!F7</f>
        <v>6.6427463400085623E-2</v>
      </c>
      <c r="E6" s="326">
        <f>'[2]Return on capital'!H6</f>
        <v>6.3151279912088049E-2</v>
      </c>
      <c r="F6" s="326">
        <f>'[2]Tax rates'!H7</f>
        <v>0.23154247088679311</v>
      </c>
      <c r="G6" s="327">
        <f>[2]Beta!H9</f>
        <v>1.1105973232557309</v>
      </c>
      <c r="H6" s="327">
        <f>[2]Beta!C9</f>
        <v>1.3542108327743885</v>
      </c>
      <c r="I6" s="326">
        <f>[2]WACC!D17</f>
        <v>8.6331489803932834E-2</v>
      </c>
      <c r="J6" s="326">
        <f>[2]optvar!C11</f>
        <v>0.31485943066687894</v>
      </c>
      <c r="K6" s="326">
        <f>[2]WACC!G17</f>
        <v>4.0400000000000005E-2</v>
      </c>
      <c r="L6" s="326">
        <f>'[2]Debt fundamentals'!F6</f>
        <v>0.3236961084525225</v>
      </c>
      <c r="M6" s="326">
        <f>[2]WACC!K17</f>
        <v>6.8055694982118872E-2</v>
      </c>
      <c r="N6" s="327">
        <f>'[2]Cap Ex'!J6</f>
        <v>1.0329652431485967</v>
      </c>
      <c r="O6" s="327">
        <f>[2]PS!E6</f>
        <v>1.657755537537851</v>
      </c>
      <c r="P6" s="327">
        <f>[2]EVEBITDA!D7</f>
        <v>14.178659732002052</v>
      </c>
      <c r="Q6" s="327">
        <f>[2]EVEBITDA!E7</f>
        <v>23.295411401861397</v>
      </c>
      <c r="R6" s="327">
        <f>[2]PBV!C6</f>
        <v>2.272490877709755</v>
      </c>
      <c r="S6" s="327">
        <f>[2]PE!D6</f>
        <v>96.320301200433363</v>
      </c>
      <c r="T6" s="326">
        <f>'[2]Working capital'!F6</f>
        <v>4.6013592236395201E-2</v>
      </c>
      <c r="U6" s="326">
        <f>'[2]Summary sheet uValue'!G15</f>
        <v>6.8882672628164721E-2</v>
      </c>
      <c r="V6" s="326">
        <f>'[2]Cap Ex'!H6</f>
        <v>3.0356457541861143E-2</v>
      </c>
      <c r="W6" s="326">
        <f>[2]fundgrEB!D6</f>
        <v>0.63730019540503957</v>
      </c>
      <c r="X6" s="326">
        <f>[2]Fundgr!C6</f>
        <v>0.1284901839770943</v>
      </c>
      <c r="Y6" s="326">
        <f>'[2]Dividend fundamentals'!E6</f>
        <v>0.18454035954098272</v>
      </c>
      <c r="Z6" s="326">
        <f>1-[2]Fundgr!D6</f>
        <v>0.18454035954098269</v>
      </c>
      <c r="AA6" s="328">
        <f>[2]Margins!J7</f>
        <v>6.8471847303878355E-2</v>
      </c>
    </row>
    <row r="7" spans="1:27" s="295" customFormat="1">
      <c r="A7" s="325" t="str">
        <f>'[2]Master data'!A7</f>
        <v>Auto Parts</v>
      </c>
      <c r="B7" s="143">
        <f>'[2]Master data'!B7</f>
        <v>728</v>
      </c>
      <c r="C7" s="326">
        <f>'[2]Hist Growth'!D7</f>
        <v>4.3832314814814824E-2</v>
      </c>
      <c r="D7" s="326">
        <f>[2]Margins!F8</f>
        <v>5.687112926828853E-2</v>
      </c>
      <c r="E7" s="326">
        <f>'[2]Return on capital'!H7</f>
        <v>7.9482915964166512E-2</v>
      </c>
      <c r="F7" s="326">
        <f>'[2]Tax rates'!H8</f>
        <v>0.22947135861987436</v>
      </c>
      <c r="G7" s="327">
        <f>[2]Beta!H10</f>
        <v>1.4360496102184261</v>
      </c>
      <c r="H7" s="327">
        <f>[2]Beta!C10</f>
        <v>1.526205558396474</v>
      </c>
      <c r="I7" s="326">
        <f>[2]WACC!D18</f>
        <v>9.5378412371654536E-2</v>
      </c>
      <c r="J7" s="326">
        <f>[2]optvar!C12</f>
        <v>0.29799635626299609</v>
      </c>
      <c r="K7" s="326">
        <f>[2]WACC!G18</f>
        <v>4.0400000000000005E-2</v>
      </c>
      <c r="L7" s="326">
        <f>'[2]Debt fundamentals'!F7</f>
        <v>0.21800615312817079</v>
      </c>
      <c r="M7" s="326">
        <f>[2]WACC!K18</f>
        <v>8.1097559083805781E-2</v>
      </c>
      <c r="N7" s="327">
        <f>'[2]Cap Ex'!J7</f>
        <v>1.6424210993270012</v>
      </c>
      <c r="O7" s="327">
        <f>[2]PS!E7</f>
        <v>0.96566908965516662</v>
      </c>
      <c r="P7" s="327">
        <f>[2]EVEBITDA!D8</f>
        <v>8.6303600375017897</v>
      </c>
      <c r="Q7" s="327">
        <f>[2]EVEBITDA!E8</f>
        <v>16.035236595518619</v>
      </c>
      <c r="R7" s="327">
        <f>[2]PBV!C7</f>
        <v>1.7609585507812662</v>
      </c>
      <c r="S7" s="327">
        <f>[2]PE!D7</f>
        <v>54.536693186062124</v>
      </c>
      <c r="T7" s="326">
        <f>'[2]Working capital'!F7</f>
        <v>0.11745604445634995</v>
      </c>
      <c r="U7" s="326">
        <f>'[2]Summary sheet uValue'!G16</f>
        <v>4.5362951932876726E-2</v>
      </c>
      <c r="V7" s="326">
        <f>'[2]Cap Ex'!H7</f>
        <v>2.6259069392558291E-2</v>
      </c>
      <c r="W7" s="326">
        <f>[2]fundgrEB!D7</f>
        <v>0.83229043102503319</v>
      </c>
      <c r="X7" s="326">
        <f>[2]Fundgr!C7</f>
        <v>9.1165324018322391E-2</v>
      </c>
      <c r="Y7" s="326">
        <f>'[2]Dividend fundamentals'!E7</f>
        <v>0.30966197453943284</v>
      </c>
      <c r="Z7" s="326">
        <f>1-[2]Fundgr!D7</f>
        <v>0.30966197453943289</v>
      </c>
      <c r="AA7" s="328">
        <f>[2]Margins!J8</f>
        <v>5.797613668665412E-2</v>
      </c>
    </row>
    <row r="8" spans="1:27" s="295" customFormat="1">
      <c r="A8" s="325" t="str">
        <f>'[2]Master data'!A8</f>
        <v>Bank (Money Center)</v>
      </c>
      <c r="B8" s="143">
        <f>'[2]Master data'!B8</f>
        <v>610</v>
      </c>
      <c r="C8" s="326">
        <f>'[2]Hist Growth'!D8</f>
        <v>8.7159472727272702E-2</v>
      </c>
      <c r="D8" s="326">
        <f>[2]Margins!F9</f>
        <v>1.5071133131963795E-3</v>
      </c>
      <c r="E8" s="326">
        <f>'[2]Return on capital'!H8</f>
        <v>1.9926716307348935E-4</v>
      </c>
      <c r="F8" s="326">
        <f>'[2]Tax rates'!H9</f>
        <v>0.19308548262966244</v>
      </c>
      <c r="G8" s="327">
        <f>[2]Beta!H11</f>
        <v>0.59060387039135132</v>
      </c>
      <c r="H8" s="327">
        <f>[2]Beta!C11</f>
        <v>1.0325221935011708</v>
      </c>
      <c r="I8" s="326">
        <f>[2]WACC!D19</f>
        <v>6.9410667378161581E-2</v>
      </c>
      <c r="J8" s="326">
        <f>[2]optvar!C13</f>
        <v>0.20423641425778655</v>
      </c>
      <c r="K8" s="326">
        <f>[2]WACC!G19</f>
        <v>3.3800000000000004E-2</v>
      </c>
      <c r="L8" s="326">
        <f>'[2]Debt fundamentals'!F8</f>
        <v>0.73091664044997162</v>
      </c>
      <c r="M8" s="326">
        <f>[2]WACC!K19</f>
        <v>3.6944119588191646E-2</v>
      </c>
      <c r="N8" s="327">
        <f>'[2]Cap Ex'!J8</f>
        <v>0.14974045836073357</v>
      </c>
      <c r="O8" s="327">
        <f>[2]PS!E8</f>
        <v>6.3536453292811039</v>
      </c>
      <c r="P8" s="327" t="str">
        <f>[2]EVEBITDA!D9</f>
        <v>NA</v>
      </c>
      <c r="Q8" s="327" t="str">
        <f>[2]EVEBITDA!E9</f>
        <v>NA</v>
      </c>
      <c r="R8" s="327">
        <f>[2]PBV!C8</f>
        <v>0.84916559276818682</v>
      </c>
      <c r="S8" s="327">
        <f>[2]PE!D8</f>
        <v>28.883925497987057</v>
      </c>
      <c r="T8" s="326" t="str">
        <f>'[2]Working capital'!F8</f>
        <v>NA</v>
      </c>
      <c r="U8" s="326">
        <f>'[2]Summary sheet uValue'!G17</f>
        <v>3.2505868811293921E-2</v>
      </c>
      <c r="V8" s="326">
        <f>'[2]Cap Ex'!H8</f>
        <v>3.1613624335839467E-2</v>
      </c>
      <c r="W8" s="326">
        <f>[2]fundgrEB!D8</f>
        <v>20.91188464781732</v>
      </c>
      <c r="X8" s="326">
        <f>[2]Fundgr!C8</f>
        <v>0.11242346507589568</v>
      </c>
      <c r="Y8" s="326">
        <f>'[2]Dividend fundamentals'!E8</f>
        <v>0.27349123608217429</v>
      </c>
      <c r="Z8" s="326">
        <f>1-[2]Fundgr!D8</f>
        <v>0.27349123608217429</v>
      </c>
      <c r="AA8" s="328">
        <f>[2]Margins!J9</f>
        <v>1.6736924278596722E-3</v>
      </c>
    </row>
    <row r="9" spans="1:27" s="295" customFormat="1">
      <c r="A9" s="325" t="str">
        <f>'[2]Master data'!A9</f>
        <v>Banks (Regional)</v>
      </c>
      <c r="B9" s="143">
        <f>'[2]Master data'!B9</f>
        <v>816</v>
      </c>
      <c r="C9" s="326">
        <f>'[2]Hist Growth'!D9</f>
        <v>9.0462953846153923E-2</v>
      </c>
      <c r="D9" s="326">
        <f>[2]Margins!F10</f>
        <v>1.0328958134624571E-4</v>
      </c>
      <c r="E9" s="326">
        <f>'[2]Return on capital'!H9</f>
        <v>-1.9878893258210381E-4</v>
      </c>
      <c r="F9" s="326">
        <f>'[2]Tax rates'!H10</f>
        <v>0.20368678246331401</v>
      </c>
      <c r="G9" s="327">
        <f>[2]Beta!H12</f>
        <v>0.66676960190822621</v>
      </c>
      <c r="H9" s="327">
        <f>[2]Beta!C12</f>
        <v>0.7372332048488982</v>
      </c>
      <c r="I9" s="326">
        <f>[2]WACC!D20</f>
        <v>5.3878466575052048E-2</v>
      </c>
      <c r="J9" s="326">
        <f>[2]optvar!C14</f>
        <v>0.19215480409539265</v>
      </c>
      <c r="K9" s="326">
        <f>[2]WACC!G20</f>
        <v>3.3800000000000004E-2</v>
      </c>
      <c r="L9" s="326">
        <f>'[2]Debt fundamentals'!F9</f>
        <v>0.63959448420053988</v>
      </c>
      <c r="M9" s="326">
        <f>[2]WACC!K20</f>
        <v>3.5402662799149928E-2</v>
      </c>
      <c r="N9" s="327">
        <f>'[2]Cap Ex'!J9</f>
        <v>0.22938959797579286</v>
      </c>
      <c r="O9" s="327">
        <f>[2]PS!E9</f>
        <v>4.4604026563522723</v>
      </c>
      <c r="P9" s="327" t="str">
        <f>[2]EVEBITDA!D10</f>
        <v>NA</v>
      </c>
      <c r="Q9" s="327" t="str">
        <f>[2]EVEBITDA!E10</f>
        <v>NA</v>
      </c>
      <c r="R9" s="327">
        <f>[2]PBV!C9</f>
        <v>0.93914809919445397</v>
      </c>
      <c r="S9" s="327">
        <f>[2]PE!D9</f>
        <v>24.903502919393066</v>
      </c>
      <c r="T9" s="326" t="str">
        <f>'[2]Working capital'!F9</f>
        <v>NA</v>
      </c>
      <c r="U9" s="326">
        <f>'[2]Summary sheet uValue'!G18</f>
        <v>4.7393923824739642E-2</v>
      </c>
      <c r="V9" s="326">
        <f>'[2]Cap Ex'!H9</f>
        <v>7.984463977211817E-2</v>
      </c>
      <c r="W9" s="326" t="str">
        <f>[2]fundgrEB!D9</f>
        <v>NA</v>
      </c>
      <c r="X9" s="326">
        <f>[2]Fundgr!C9</f>
        <v>9.7813108396503909E-2</v>
      </c>
      <c r="Y9" s="326">
        <f>'[2]Dividend fundamentals'!E9</f>
        <v>0.26641100825320135</v>
      </c>
      <c r="Z9" s="326">
        <f>1-[2]Fundgr!D9</f>
        <v>0.26641100825320141</v>
      </c>
      <c r="AA9" s="328">
        <f>[2]Margins!J10</f>
        <v>-1.0817144530146413E-3</v>
      </c>
    </row>
    <row r="10" spans="1:27" s="295" customFormat="1">
      <c r="A10" s="325" t="str">
        <f>'[2]Master data'!A10</f>
        <v>Beverage (Alcoholic)</v>
      </c>
      <c r="B10" s="143">
        <f>'[2]Master data'!B10</f>
        <v>219</v>
      </c>
      <c r="C10" s="326">
        <f>'[2]Hist Growth'!D10</f>
        <v>5.5807803468208066E-2</v>
      </c>
      <c r="D10" s="326">
        <f>[2]Margins!F11</f>
        <v>0.21794915189633945</v>
      </c>
      <c r="E10" s="326">
        <f>'[2]Return on capital'!H10</f>
        <v>0.1302382056431195</v>
      </c>
      <c r="F10" s="326">
        <f>'[2]Tax rates'!H11</f>
        <v>0.26070513026418185</v>
      </c>
      <c r="G10" s="327">
        <f>[2]Beta!H13</f>
        <v>0.86018320494677103</v>
      </c>
      <c r="H10" s="327">
        <f>[2]Beta!C13</f>
        <v>0.92090243003027572</v>
      </c>
      <c r="I10" s="326">
        <f>[2]WACC!D21</f>
        <v>6.3539467819592507E-2</v>
      </c>
      <c r="J10" s="326">
        <f>[2]optvar!C15</f>
        <v>0.25204820366049158</v>
      </c>
      <c r="K10" s="326">
        <f>[2]WACC!G21</f>
        <v>4.0400000000000005E-2</v>
      </c>
      <c r="L10" s="326">
        <f>'[2]Debt fundamentals'!F10</f>
        <v>0.12924031417486145</v>
      </c>
      <c r="M10" s="326">
        <f>[2]WACC!K21</f>
        <v>5.9188242683440931E-2</v>
      </c>
      <c r="N10" s="327">
        <f>'[2]Cap Ex'!J10</f>
        <v>0.72317532053776501</v>
      </c>
      <c r="O10" s="327">
        <f>[2]PS!E10</f>
        <v>5.3009781589270615</v>
      </c>
      <c r="P10" s="327">
        <f>[2]EVEBITDA!D11</f>
        <v>19.765968125565983</v>
      </c>
      <c r="Q10" s="327">
        <f>[2]EVEBITDA!E11</f>
        <v>24.195400759974508</v>
      </c>
      <c r="R10" s="327">
        <f>[2]PBV!C10</f>
        <v>4.4481171369433268</v>
      </c>
      <c r="S10" s="327">
        <f>[2]PE!D10</f>
        <v>44.851489172576848</v>
      </c>
      <c r="T10" s="326">
        <f>'[2]Working capital'!F10</f>
        <v>8.8092151339660321E-2</v>
      </c>
      <c r="U10" s="326">
        <f>'[2]Summary sheet uValue'!G19</f>
        <v>4.1966264950670663E-2</v>
      </c>
      <c r="V10" s="326">
        <f>'[2]Cap Ex'!H10</f>
        <v>3.8145715766077009E-3</v>
      </c>
      <c r="W10" s="326">
        <f>[2]fundgrEB!D10</f>
        <v>6.1904632235447888E-4</v>
      </c>
      <c r="X10" s="326">
        <f>[2]Fundgr!C10</f>
        <v>0.14566001091751701</v>
      </c>
      <c r="Y10" s="326">
        <f>'[2]Dividend fundamentals'!E10</f>
        <v>0.43890122855911506</v>
      </c>
      <c r="Z10" s="326">
        <f>1-[2]Fundgr!D10</f>
        <v>0.43890122855911506</v>
      </c>
      <c r="AA10" s="328">
        <f>[2]Margins!J11</f>
        <v>0.21828449276979628</v>
      </c>
    </row>
    <row r="11" spans="1:27" s="295" customFormat="1">
      <c r="A11" s="325" t="str">
        <f>'[2]Master data'!A11</f>
        <v>Beverage (Soft)</v>
      </c>
      <c r="B11" s="143">
        <f>'[2]Master data'!B11</f>
        <v>100</v>
      </c>
      <c r="C11" s="326">
        <f>'[2]Hist Growth'!D11</f>
        <v>7.5315166666666669E-2</v>
      </c>
      <c r="D11" s="326">
        <f>[2]Margins!F12</f>
        <v>0.17190985297251421</v>
      </c>
      <c r="E11" s="326">
        <f>'[2]Return on capital'!H11</f>
        <v>0.22203947756178474</v>
      </c>
      <c r="F11" s="326">
        <f>'[2]Tax rates'!H12</f>
        <v>0.24433613620151137</v>
      </c>
      <c r="G11" s="327">
        <f>[2]Beta!H14</f>
        <v>0.81590433902085402</v>
      </c>
      <c r="H11" s="327">
        <f>[2]Beta!C14</f>
        <v>0.8838214934890084</v>
      </c>
      <c r="I11" s="326">
        <f>[2]WACC!D22</f>
        <v>6.1589010557521848E-2</v>
      </c>
      <c r="J11" s="326">
        <f>[2]optvar!C16</f>
        <v>0.30683803257362013</v>
      </c>
      <c r="K11" s="326">
        <f>[2]WACC!G22</f>
        <v>4.0400000000000005E-2</v>
      </c>
      <c r="L11" s="326">
        <f>'[2]Debt fundamentals'!F11</f>
        <v>0.14281839695018891</v>
      </c>
      <c r="M11" s="326">
        <f>[2]WACC!K22</f>
        <v>5.7059203677229088E-2</v>
      </c>
      <c r="N11" s="327">
        <f>'[2]Cap Ex'!J11</f>
        <v>1.4547388292735512</v>
      </c>
      <c r="O11" s="327">
        <f>[2]PS!E11</f>
        <v>4.1909320175085218</v>
      </c>
      <c r="P11" s="327">
        <f>[2]EVEBITDA!D12</f>
        <v>19.401824087295569</v>
      </c>
      <c r="Q11" s="327">
        <f>[2]EVEBITDA!E12</f>
        <v>24.26434610924019</v>
      </c>
      <c r="R11" s="327">
        <f>[2]PBV!C11</f>
        <v>6.6554108982808966</v>
      </c>
      <c r="S11" s="327">
        <f>[2]PE!D11</f>
        <v>70.240049088776445</v>
      </c>
      <c r="T11" s="326">
        <f>'[2]Working capital'!F11</f>
        <v>-5.1763655911389386E-2</v>
      </c>
      <c r="U11" s="326">
        <f>'[2]Summary sheet uValue'!G20</f>
        <v>4.4794497319526255E-2</v>
      </c>
      <c r="V11" s="326">
        <f>'[2]Cap Ex'!H11</f>
        <v>4.1359988705378374E-2</v>
      </c>
      <c r="W11" s="326">
        <f>[2]fundgrEB!D11</f>
        <v>0.2864594920560114</v>
      </c>
      <c r="X11" s="326">
        <f>[2]Fundgr!C11</f>
        <v>0.24731986590461932</v>
      </c>
      <c r="Y11" s="326">
        <f>'[2]Dividend fundamentals'!E11</f>
        <v>0.75415189854831</v>
      </c>
      <c r="Z11" s="326">
        <f>1-[2]Fundgr!D11</f>
        <v>0.75415189854831</v>
      </c>
      <c r="AA11" s="328">
        <f>[2]Margins!J12</f>
        <v>0.17241253195656203</v>
      </c>
    </row>
    <row r="12" spans="1:27" s="295" customFormat="1">
      <c r="A12" s="325" t="str">
        <f>'[2]Master data'!A12</f>
        <v>Broadcasting</v>
      </c>
      <c r="B12" s="143">
        <f>'[2]Master data'!B12</f>
        <v>139</v>
      </c>
      <c r="C12" s="326">
        <f>'[2]Hist Growth'!D12</f>
        <v>1.8059655172413792E-2</v>
      </c>
      <c r="D12" s="326">
        <f>[2]Margins!F13</f>
        <v>0.15739832815923319</v>
      </c>
      <c r="E12" s="326">
        <f>'[2]Return on capital'!H12</f>
        <v>0.14843946881188957</v>
      </c>
      <c r="F12" s="326">
        <f>'[2]Tax rates'!H13</f>
        <v>0.22760724752419223</v>
      </c>
      <c r="G12" s="327">
        <f>[2]Beta!H15</f>
        <v>0.81220301000216433</v>
      </c>
      <c r="H12" s="327">
        <f>[2]Beta!C15</f>
        <v>1.0940244505371257</v>
      </c>
      <c r="I12" s="326">
        <f>[2]WACC!D23</f>
        <v>7.264568609825281E-2</v>
      </c>
      <c r="J12" s="326">
        <f>[2]optvar!C17</f>
        <v>0.32837290457933188</v>
      </c>
      <c r="K12" s="326">
        <f>[2]WACC!G23</f>
        <v>4.0400000000000005E-2</v>
      </c>
      <c r="L12" s="326">
        <f>'[2]Debt fundamentals'!F12</f>
        <v>0.40355659638413288</v>
      </c>
      <c r="M12" s="326">
        <f>[2]WACC!K23</f>
        <v>5.5383986068055474E-2</v>
      </c>
      <c r="N12" s="327">
        <f>'[2]Cap Ex'!J12</f>
        <v>1.1393690544768109</v>
      </c>
      <c r="O12" s="327">
        <f>[2]PS!E12</f>
        <v>1.5854016127255348</v>
      </c>
      <c r="P12" s="327">
        <f>[2]EVEBITDA!D13</f>
        <v>7.3394652714791127</v>
      </c>
      <c r="Q12" s="327">
        <f>[2]EVEBITDA!E13</f>
        <v>9.9726906511674223</v>
      </c>
      <c r="R12" s="327">
        <f>[2]PBV!C12</f>
        <v>1.1364201887933771</v>
      </c>
      <c r="S12" s="327">
        <f>[2]PE!D12</f>
        <v>41.599630597037567</v>
      </c>
      <c r="T12" s="326">
        <f>'[2]Working capital'!F12</f>
        <v>9.6895490447640426E-2</v>
      </c>
      <c r="U12" s="326">
        <f>'[2]Summary sheet uValue'!G21</f>
        <v>3.3465454747841419E-2</v>
      </c>
      <c r="V12" s="326">
        <f>'[2]Cap Ex'!H12</f>
        <v>1.536153808767424E-2</v>
      </c>
      <c r="W12" s="326">
        <f>[2]fundgrEB!D12</f>
        <v>0.72883101237152792</v>
      </c>
      <c r="X12" s="326">
        <f>[2]Fundgr!C12</f>
        <v>0.13346324081446648</v>
      </c>
      <c r="Y12" s="326">
        <f>'[2]Dividend fundamentals'!E12</f>
        <v>0.25046767216384253</v>
      </c>
      <c r="Z12" s="326">
        <f>1-[2]Fundgr!D12</f>
        <v>0.25046767216384258</v>
      </c>
      <c r="AA12" s="328">
        <f>[2]Margins!J13</f>
        <v>0.15662202949102244</v>
      </c>
    </row>
    <row r="13" spans="1:27" s="295" customFormat="1">
      <c r="A13" s="325" t="str">
        <f>'[2]Master data'!A13</f>
        <v>Brokerage &amp; Investment Banking</v>
      </c>
      <c r="B13" s="143">
        <f>'[2]Master data'!B13</f>
        <v>599</v>
      </c>
      <c r="C13" s="326">
        <f>'[2]Hist Growth'!D13</f>
        <v>0.15494220183486232</v>
      </c>
      <c r="D13" s="326">
        <f>[2]Margins!F14</f>
        <v>1.8452197655494426E-2</v>
      </c>
      <c r="E13" s="326">
        <f>'[2]Return on capital'!H13</f>
        <v>3.6598308950019842E-3</v>
      </c>
      <c r="F13" s="326">
        <f>'[2]Tax rates'!H14</f>
        <v>0.21963887009183547</v>
      </c>
      <c r="G13" s="327">
        <f>[2]Beta!H16</f>
        <v>0.45383438531295534</v>
      </c>
      <c r="H13" s="327">
        <f>[2]Beta!C16</f>
        <v>0.91644923419476632</v>
      </c>
      <c r="I13" s="326">
        <f>[2]WACC!D24</f>
        <v>6.3305229718644704E-2</v>
      </c>
      <c r="J13" s="326">
        <f>[2]optvar!C18</f>
        <v>0.30270055107808447</v>
      </c>
      <c r="K13" s="326">
        <f>[2]WACC!G24</f>
        <v>4.0400000000000005E-2</v>
      </c>
      <c r="L13" s="326">
        <f>'[2]Debt fundamentals'!F13</f>
        <v>0.66354770858050638</v>
      </c>
      <c r="M13" s="326">
        <f>[2]WACC!K24</f>
        <v>4.1120527496942269E-2</v>
      </c>
      <c r="N13" s="327">
        <f>'[2]Cap Ex'!J13</f>
        <v>0.21945659992468944</v>
      </c>
      <c r="O13" s="327">
        <f>[2]PS!E13</f>
        <v>6.1118486679454067</v>
      </c>
      <c r="P13" s="327">
        <f>[2]EVEBITDA!D14</f>
        <v>145.39801135677905</v>
      </c>
      <c r="Q13" s="327" t="str">
        <f>[2]EVEBITDA!E14</f>
        <v>NA</v>
      </c>
      <c r="R13" s="327">
        <f>[2]PBV!C13</f>
        <v>1.4822015010926872</v>
      </c>
      <c r="S13" s="327">
        <f>[2]PE!D13</f>
        <v>35.400303039401535</v>
      </c>
      <c r="T13" s="326" t="str">
        <f>'[2]Working capital'!F13</f>
        <v>NA</v>
      </c>
      <c r="U13" s="326">
        <f>'[2]Summary sheet uValue'!G22</f>
        <v>3.0199249157337339E-2</v>
      </c>
      <c r="V13" s="326">
        <f>'[2]Cap Ex'!H13</f>
        <v>-2.3799526575878373E-3</v>
      </c>
      <c r="W13" s="326">
        <f>[2]fundgrEB!D13</f>
        <v>-10.368075570850641</v>
      </c>
      <c r="X13" s="326">
        <f>[2]Fundgr!C13</f>
        <v>0.14708442590964979</v>
      </c>
      <c r="Y13" s="326">
        <f>'[2]Dividend fundamentals'!E13</f>
        <v>0.36975144322577064</v>
      </c>
      <c r="Z13" s="326">
        <f>1-[2]Fundgr!D13</f>
        <v>0.36975144322577069</v>
      </c>
      <c r="AA13" s="328">
        <f>[2]Margins!J14</f>
        <v>1.9354410552105617E-2</v>
      </c>
    </row>
    <row r="14" spans="1:27" s="295" customFormat="1">
      <c r="A14" s="325" t="str">
        <f>'[2]Master data'!A14</f>
        <v>Building Materials</v>
      </c>
      <c r="B14" s="143">
        <f>'[2]Master data'!B14</f>
        <v>449</v>
      </c>
      <c r="C14" s="326">
        <f>'[2]Hist Growth'!D14</f>
        <v>6.3021604584527269E-2</v>
      </c>
      <c r="D14" s="326">
        <f>[2]Margins!F15</f>
        <v>0.11322914933881555</v>
      </c>
      <c r="E14" s="326">
        <f>'[2]Return on capital'!H14</f>
        <v>0.18207973069883476</v>
      </c>
      <c r="F14" s="326">
        <f>'[2]Tax rates'!H15</f>
        <v>0.23523115155532526</v>
      </c>
      <c r="G14" s="327">
        <f>[2]Beta!H17</f>
        <v>1.0533687030919148</v>
      </c>
      <c r="H14" s="327">
        <f>[2]Beta!C17</f>
        <v>1.118843607970198</v>
      </c>
      <c r="I14" s="326">
        <f>[2]WACC!D25</f>
        <v>7.395117377923241E-2</v>
      </c>
      <c r="J14" s="326">
        <f>[2]optvar!C19</f>
        <v>0.28033869784105359</v>
      </c>
      <c r="K14" s="326">
        <f>[2]WACC!G25</f>
        <v>4.0400000000000005E-2</v>
      </c>
      <c r="L14" s="326">
        <f>'[2]Debt fundamentals'!F14</f>
        <v>0.15146564753406297</v>
      </c>
      <c r="M14" s="326">
        <f>[2]WACC!K25</f>
        <v>6.7274656828239077E-2</v>
      </c>
      <c r="N14" s="327">
        <f>'[2]Cap Ex'!J14</f>
        <v>1.9207262185722309</v>
      </c>
      <c r="O14" s="327">
        <f>[2]PS!E14</f>
        <v>2.0016532316693967</v>
      </c>
      <c r="P14" s="327">
        <f>[2]EVEBITDA!D15</f>
        <v>12.88305355321155</v>
      </c>
      <c r="Q14" s="327">
        <f>[2]EVEBITDA!E15</f>
        <v>17.428755729361715</v>
      </c>
      <c r="R14" s="327">
        <f>[2]PBV!C14</f>
        <v>3.3421957960917124</v>
      </c>
      <c r="S14" s="327">
        <f>[2]PE!D14</f>
        <v>66.276654505597776</v>
      </c>
      <c r="T14" s="326">
        <f>'[2]Working capital'!F14</f>
        <v>0.16314694678034158</v>
      </c>
      <c r="U14" s="326">
        <f>'[2]Summary sheet uValue'!G23</f>
        <v>3.7975504885286428E-2</v>
      </c>
      <c r="V14" s="326">
        <f>'[2]Cap Ex'!H14</f>
        <v>3.2959674260180927E-2</v>
      </c>
      <c r="W14" s="326">
        <f>[2]fundgrEB!D14</f>
        <v>0.49692437860489486</v>
      </c>
      <c r="X14" s="326">
        <f>[2]Fundgr!C14</f>
        <v>0.1698539227799756</v>
      </c>
      <c r="Y14" s="326">
        <f>'[2]Dividend fundamentals'!E14</f>
        <v>0.27340547096016066</v>
      </c>
      <c r="Z14" s="326">
        <f>1-[2]Fundgr!D14</f>
        <v>0.27340547096016066</v>
      </c>
      <c r="AA14" s="328">
        <f>[2]Margins!J15</f>
        <v>0.11469694869580641</v>
      </c>
    </row>
    <row r="15" spans="1:27" s="295" customFormat="1">
      <c r="A15" s="325" t="str">
        <f>'[2]Master data'!A15</f>
        <v>Business &amp; Consumer Services</v>
      </c>
      <c r="B15" s="143">
        <f>'[2]Master data'!B15</f>
        <v>948</v>
      </c>
      <c r="C15" s="326">
        <f>'[2]Hist Growth'!D15</f>
        <v>5.9959058219178102E-2</v>
      </c>
      <c r="D15" s="326">
        <f>[2]Margins!F16</f>
        <v>8.4161259092761648E-2</v>
      </c>
      <c r="E15" s="326">
        <f>'[2]Return on capital'!H15</f>
        <v>0.195131567973233</v>
      </c>
      <c r="F15" s="326">
        <f>'[2]Tax rates'!H16</f>
        <v>0.25522392488247392</v>
      </c>
      <c r="G15" s="327">
        <f>[2]Beta!H18</f>
        <v>1.0366605291428443</v>
      </c>
      <c r="H15" s="327">
        <f>[2]Beta!C18</f>
        <v>1.1058963659887098</v>
      </c>
      <c r="I15" s="326">
        <f>[2]WACC!D26</f>
        <v>7.3270148851006134E-2</v>
      </c>
      <c r="J15" s="326">
        <f>[2]optvar!C20</f>
        <v>0.32342540173106121</v>
      </c>
      <c r="K15" s="326">
        <f>[2]WACC!G26</f>
        <v>4.0400000000000005E-2</v>
      </c>
      <c r="L15" s="326">
        <f>'[2]Debt fundamentals'!F15</f>
        <v>0.15501805706750268</v>
      </c>
      <c r="M15" s="326">
        <f>[2]WACC!K26</f>
        <v>6.6542614931463184E-2</v>
      </c>
      <c r="N15" s="327">
        <f>'[2]Cap Ex'!J15</f>
        <v>2.7155500036360642</v>
      </c>
      <c r="O15" s="327">
        <f>[2]PS!E15</f>
        <v>2.3481930203402368</v>
      </c>
      <c r="P15" s="327">
        <f>[2]EVEBITDA!D16</f>
        <v>17.077872619073723</v>
      </c>
      <c r="Q15" s="327">
        <f>[2]EVEBITDA!E16</f>
        <v>26.198126833108557</v>
      </c>
      <c r="R15" s="327">
        <f>[2]PBV!C15</f>
        <v>4.4706149638763684</v>
      </c>
      <c r="S15" s="327">
        <f>[2]PE!D15</f>
        <v>83.44953125089296</v>
      </c>
      <c r="T15" s="326">
        <f>'[2]Working capital'!F15</f>
        <v>9.9017269076309228E-2</v>
      </c>
      <c r="U15" s="326">
        <f>'[2]Summary sheet uValue'!G24</f>
        <v>2.2459011396246009E-2</v>
      </c>
      <c r="V15" s="326">
        <f>'[2]Cap Ex'!H15</f>
        <v>1.8732578896551822E-2</v>
      </c>
      <c r="W15" s="326">
        <f>[2]fundgrEB!D15</f>
        <v>0.41381989227101956</v>
      </c>
      <c r="X15" s="326">
        <f>[2]Fundgr!C15</f>
        <v>0.15401079666199044</v>
      </c>
      <c r="Y15" s="326">
        <f>'[2]Dividend fundamentals'!E15</f>
        <v>0.39715129561444124</v>
      </c>
      <c r="Z15" s="326">
        <f>1-[2]Fundgr!D15</f>
        <v>0.39715129561444118</v>
      </c>
      <c r="AA15" s="328">
        <f>[2]Margins!J16</f>
        <v>8.6005375303710885E-2</v>
      </c>
    </row>
    <row r="16" spans="1:27" s="295" customFormat="1">
      <c r="A16" s="325" t="str">
        <f>'[2]Master data'!A16</f>
        <v>Cable TV</v>
      </c>
      <c r="B16" s="143">
        <f>'[2]Master data'!B16</f>
        <v>54</v>
      </c>
      <c r="C16" s="326">
        <f>'[2]Hist Growth'!D16</f>
        <v>3.6265853658536587E-2</v>
      </c>
      <c r="D16" s="326">
        <f>[2]Margins!F17</f>
        <v>0.19022318847102621</v>
      </c>
      <c r="E16" s="326">
        <f>'[2]Return on capital'!H16</f>
        <v>0.1300867452515298</v>
      </c>
      <c r="F16" s="326">
        <f>'[2]Tax rates'!H17</f>
        <v>0.25014412321263152</v>
      </c>
      <c r="G16" s="327">
        <f>[2]Beta!H19</f>
        <v>0.71520894978392191</v>
      </c>
      <c r="H16" s="327">
        <f>[2]Beta!C19</f>
        <v>0.99186346090864785</v>
      </c>
      <c r="I16" s="326">
        <f>[2]WACC!D27</f>
        <v>6.7272018043794873E-2</v>
      </c>
      <c r="J16" s="326">
        <f>[2]optvar!C21</f>
        <v>0.25394099714328017</v>
      </c>
      <c r="K16" s="326">
        <f>[2]WACC!G27</f>
        <v>4.0400000000000005E-2</v>
      </c>
      <c r="L16" s="326">
        <f>'[2]Debt fundamentals'!F16</f>
        <v>0.36871437739759638</v>
      </c>
      <c r="M16" s="326">
        <f>[2]WACC!K27</f>
        <v>5.34820051846676E-2</v>
      </c>
      <c r="N16" s="327">
        <f>'[2]Cap Ex'!J16</f>
        <v>0.80491089853914344</v>
      </c>
      <c r="O16" s="327">
        <f>[2]PS!E16</f>
        <v>3.2469485986887721</v>
      </c>
      <c r="P16" s="327">
        <f>[2]EVEBITDA!D17</f>
        <v>9.7944340692338177</v>
      </c>
      <c r="Q16" s="327">
        <f>[2]EVEBITDA!E17</f>
        <v>17.076096431323403</v>
      </c>
      <c r="R16" s="327">
        <f>[2]PBV!C16</f>
        <v>2.671368922797507</v>
      </c>
      <c r="S16" s="327">
        <f>[2]PE!D16</f>
        <v>30.633594726895119</v>
      </c>
      <c r="T16" s="326">
        <f>'[2]Working capital'!F16</f>
        <v>7.2116223021930015E-3</v>
      </c>
      <c r="U16" s="326">
        <f>'[2]Summary sheet uValue'!G25</f>
        <v>0.10785785727282911</v>
      </c>
      <c r="V16" s="326">
        <f>'[2]Cap Ex'!H16</f>
        <v>-1.1778116070334552E-2</v>
      </c>
      <c r="W16" s="326">
        <f>[2]fundgrEB!D16</f>
        <v>-5.6067087549653533E-2</v>
      </c>
      <c r="X16" s="326">
        <f>[2]Fundgr!C16</f>
        <v>0.15219360765722542</v>
      </c>
      <c r="Y16" s="326">
        <f>'[2]Dividend fundamentals'!E16</f>
        <v>0.25204662726783561</v>
      </c>
      <c r="Z16" s="326">
        <f>1-[2]Fundgr!D16</f>
        <v>0.25204662726783567</v>
      </c>
      <c r="AA16" s="328">
        <f>[2]Margins!J17</f>
        <v>0.19022629467515539</v>
      </c>
    </row>
    <row r="17" spans="1:27" s="295" customFormat="1">
      <c r="A17" s="325" t="str">
        <f>'[2]Master data'!A17</f>
        <v>Chemical (Basic)</v>
      </c>
      <c r="B17" s="143">
        <f>'[2]Master data'!B17</f>
        <v>854</v>
      </c>
      <c r="C17" s="326">
        <f>'[2]Hist Growth'!D17</f>
        <v>0.10183789137380189</v>
      </c>
      <c r="D17" s="326">
        <f>[2]Margins!F18</f>
        <v>0.1254853150733761</v>
      </c>
      <c r="E17" s="326">
        <f>'[2]Return on capital'!H17</f>
        <v>0.13693265275656669</v>
      </c>
      <c r="F17" s="326">
        <f>'[2]Tax rates'!H18</f>
        <v>0.19099032988116654</v>
      </c>
      <c r="G17" s="327">
        <f>[2]Beta!H20</f>
        <v>1.0219877158206196</v>
      </c>
      <c r="H17" s="327">
        <f>[2]Beta!C20</f>
        <v>1.1361222166300649</v>
      </c>
      <c r="I17" s="326">
        <f>[2]WACC!D28</f>
        <v>7.4860028594741418E-2</v>
      </c>
      <c r="J17" s="326">
        <f>[2]optvar!C22</f>
        <v>0.29518907722389626</v>
      </c>
      <c r="K17" s="326">
        <f>[2]WACC!G28</f>
        <v>4.0400000000000005E-2</v>
      </c>
      <c r="L17" s="326">
        <f>'[2]Debt fundamentals'!F17</f>
        <v>0.22347788057332674</v>
      </c>
      <c r="M17" s="326">
        <f>[2]WACC!K28</f>
        <v>6.4806145678525051E-2</v>
      </c>
      <c r="N17" s="327">
        <f>'[2]Cap Ex'!J17</f>
        <v>1.276877647002252</v>
      </c>
      <c r="O17" s="327">
        <f>[2]PS!E17</f>
        <v>1.597656952437307</v>
      </c>
      <c r="P17" s="327">
        <f>[2]EVEBITDA!D18</f>
        <v>8.8002307184756372</v>
      </c>
      <c r="Q17" s="327">
        <f>[2]EVEBITDA!E18</f>
        <v>12.333044234546465</v>
      </c>
      <c r="R17" s="327">
        <f>[2]PBV!C17</f>
        <v>1.9222744211919043</v>
      </c>
      <c r="S17" s="327">
        <f>[2]PE!D17</f>
        <v>71.65296521126902</v>
      </c>
      <c r="T17" s="326">
        <f>'[2]Working capital'!F17</f>
        <v>0.12701261692842419</v>
      </c>
      <c r="U17" s="326">
        <f>'[2]Summary sheet uValue'!G26</f>
        <v>8.3992720908773272E-2</v>
      </c>
      <c r="V17" s="326">
        <f>'[2]Cap Ex'!H17</f>
        <v>5.9890191714082858E-2</v>
      </c>
      <c r="W17" s="326">
        <f>[2]fundgrEB!D17</f>
        <v>0.86074387613751724</v>
      </c>
      <c r="X17" s="326">
        <f>[2]Fundgr!C17</f>
        <v>0.17904217450125054</v>
      </c>
      <c r="Y17" s="326">
        <f>'[2]Dividend fundamentals'!E17</f>
        <v>0.29407301643677597</v>
      </c>
      <c r="Z17" s="326">
        <f>1-[2]Fundgr!D17</f>
        <v>0.29407301643677597</v>
      </c>
      <c r="AA17" s="328">
        <f>[2]Margins!J18</f>
        <v>0.12735849459508572</v>
      </c>
    </row>
    <row r="18" spans="1:27" s="295" customFormat="1">
      <c r="A18" s="325" t="str">
        <f>'[2]Master data'!A18</f>
        <v>Chemical (Diversified)</v>
      </c>
      <c r="B18" s="143">
        <f>'[2]Master data'!B18</f>
        <v>71</v>
      </c>
      <c r="C18" s="326">
        <f>'[2]Hist Growth'!D18</f>
        <v>6.0420952380952374E-2</v>
      </c>
      <c r="D18" s="326">
        <f>[2]Margins!F19</f>
        <v>0.1150904544943412</v>
      </c>
      <c r="E18" s="326">
        <f>'[2]Return on capital'!H18</f>
        <v>0.11000865238866055</v>
      </c>
      <c r="F18" s="326">
        <f>'[2]Tax rates'!H19</f>
        <v>0.21153545872282883</v>
      </c>
      <c r="G18" s="327">
        <f>[2]Beta!H21</f>
        <v>1.1476290063670667</v>
      </c>
      <c r="H18" s="327">
        <f>[2]Beta!C21</f>
        <v>1.4031540999878529</v>
      </c>
      <c r="I18" s="326">
        <f>[2]WACC!D29</f>
        <v>8.8905905659361059E-2</v>
      </c>
      <c r="J18" s="326">
        <f>[2]optvar!C23</f>
        <v>0.24802826424181612</v>
      </c>
      <c r="K18" s="326">
        <f>[2]WACC!G29</f>
        <v>3.3800000000000004E-2</v>
      </c>
      <c r="L18" s="326">
        <f>'[2]Debt fundamentals'!F18</f>
        <v>0.30619471112751695</v>
      </c>
      <c r="M18" s="326">
        <f>[2]WACC!K29</f>
        <v>6.9335720044442523E-2</v>
      </c>
      <c r="N18" s="327">
        <f>'[2]Cap Ex'!J18</f>
        <v>1.1928368145194908</v>
      </c>
      <c r="O18" s="327">
        <f>[2]PS!E18</f>
        <v>1.2026694544700858</v>
      </c>
      <c r="P18" s="327">
        <f>[2]EVEBITDA!D19</f>
        <v>6.9324763781470118</v>
      </c>
      <c r="Q18" s="327">
        <f>[2]EVEBITDA!E19</f>
        <v>10.365940777240223</v>
      </c>
      <c r="R18" s="327">
        <f>[2]PBV!C18</f>
        <v>1.4440542319516374</v>
      </c>
      <c r="S18" s="327">
        <f>[2]PE!D18</f>
        <v>19.816760266521058</v>
      </c>
      <c r="T18" s="326">
        <f>'[2]Working capital'!F18</f>
        <v>0.1669565823564432</v>
      </c>
      <c r="U18" s="326">
        <f>'[2]Summary sheet uValue'!G27</f>
        <v>5.3503326097392334E-2</v>
      </c>
      <c r="V18" s="326">
        <f>'[2]Cap Ex'!H18</f>
        <v>2.3175042368213269E-2</v>
      </c>
      <c r="W18" s="326">
        <f>[2]fundgrEB!D18</f>
        <v>0.44861305514442557</v>
      </c>
      <c r="X18" s="326">
        <f>[2]Fundgr!C18</f>
        <v>0.13399234336985921</v>
      </c>
      <c r="Y18" s="326">
        <f>'[2]Dividend fundamentals'!E18</f>
        <v>0.36879123823642057</v>
      </c>
      <c r="Z18" s="326">
        <f>1-[2]Fundgr!D18</f>
        <v>0.36879123823642057</v>
      </c>
      <c r="AA18" s="328">
        <f>[2]Margins!J19</f>
        <v>0.11497133470922671</v>
      </c>
    </row>
    <row r="19" spans="1:27" s="295" customFormat="1">
      <c r="A19" s="325" t="str">
        <f>'[2]Master data'!A19</f>
        <v>Chemical (Specialty)</v>
      </c>
      <c r="B19" s="143">
        <f>'[2]Master data'!B19</f>
        <v>898</v>
      </c>
      <c r="C19" s="326">
        <f>'[2]Hist Growth'!D19</f>
        <v>9.5149849498327707E-2</v>
      </c>
      <c r="D19" s="326">
        <f>[2]Margins!F20</f>
        <v>0.13599534057610846</v>
      </c>
      <c r="E19" s="326">
        <f>'[2]Return on capital'!H19</f>
        <v>0.14707006878043802</v>
      </c>
      <c r="F19" s="326">
        <f>'[2]Tax rates'!H20</f>
        <v>0.20150021156475381</v>
      </c>
      <c r="G19" s="327">
        <f>[2]Beta!H22</f>
        <v>1.0394823310715897</v>
      </c>
      <c r="H19" s="327">
        <f>[2]Beta!C22</f>
        <v>1.106939031227731</v>
      </c>
      <c r="I19" s="326">
        <f>[2]WACC!D30</f>
        <v>7.3324993042578654E-2</v>
      </c>
      <c r="J19" s="326">
        <f>[2]optvar!C24</f>
        <v>0.3076472863588649</v>
      </c>
      <c r="K19" s="326">
        <f>[2]WACC!G30</f>
        <v>4.0400000000000005E-2</v>
      </c>
      <c r="L19" s="326">
        <f>'[2]Debt fundamentals'!F19</f>
        <v>0.13717913174815943</v>
      </c>
      <c r="M19" s="326">
        <f>[2]WACC!K30</f>
        <v>6.7364116262147292E-2</v>
      </c>
      <c r="N19" s="327">
        <f>'[2]Cap Ex'!J19</f>
        <v>1.2522363682932998</v>
      </c>
      <c r="O19" s="327">
        <f>[2]PS!E19</f>
        <v>2.9043272980490888</v>
      </c>
      <c r="P19" s="327">
        <f>[2]EVEBITDA!D20</f>
        <v>14.557587354835901</v>
      </c>
      <c r="Q19" s="327">
        <f>[2]EVEBITDA!E20</f>
        <v>20.979208710878872</v>
      </c>
      <c r="R19" s="327">
        <f>[2]PBV!C19</f>
        <v>3.3605366252371152</v>
      </c>
      <c r="S19" s="327">
        <f>[2]PE!D19</f>
        <v>45.967145779035391</v>
      </c>
      <c r="T19" s="326">
        <f>'[2]Working capital'!F19</f>
        <v>0.17730838243972824</v>
      </c>
      <c r="U19" s="326">
        <f>'[2]Summary sheet uValue'!G28</f>
        <v>7.2185351096449954E-2</v>
      </c>
      <c r="V19" s="326">
        <f>'[2]Cap Ex'!H19</f>
        <v>4.6584219137677074E-2</v>
      </c>
      <c r="W19" s="326">
        <f>[2]fundgrEB!D19</f>
        <v>0.56317247030465956</v>
      </c>
      <c r="X19" s="326">
        <f>[2]Fundgr!C19</f>
        <v>0.15459574781393212</v>
      </c>
      <c r="Y19" s="326">
        <f>'[2]Dividend fundamentals'!E19</f>
        <v>0.33472651529688596</v>
      </c>
      <c r="Z19" s="326">
        <f>1-[2]Fundgr!D19</f>
        <v>0.33472651529688591</v>
      </c>
      <c r="AA19" s="328">
        <f>[2]Margins!J20</f>
        <v>0.13854725526088174</v>
      </c>
    </row>
    <row r="20" spans="1:27" s="295" customFormat="1">
      <c r="A20" s="325" t="str">
        <f>'[2]Master data'!A20</f>
        <v>Coal &amp; Related Energy</v>
      </c>
      <c r="B20" s="143">
        <f>'[2]Master data'!B20</f>
        <v>206</v>
      </c>
      <c r="C20" s="326">
        <f>'[2]Hist Growth'!D20</f>
        <v>0.10247798165137617</v>
      </c>
      <c r="D20" s="326">
        <f>[2]Margins!F21</f>
        <v>0.17168028247758654</v>
      </c>
      <c r="E20" s="326">
        <f>'[2]Return on capital'!H20</f>
        <v>0.18046530915311906</v>
      </c>
      <c r="F20" s="326">
        <f>'[2]Tax rates'!H21</f>
        <v>0.2249929636464062</v>
      </c>
      <c r="G20" s="327">
        <f>[2]Beta!H23</f>
        <v>1.0910424717421947</v>
      </c>
      <c r="H20" s="327">
        <f>[2]Beta!C23</f>
        <v>1.1269458657734746</v>
      </c>
      <c r="I20" s="326">
        <f>[2]WACC!D31</f>
        <v>7.4377352539684763E-2</v>
      </c>
      <c r="J20" s="326">
        <f>[2]optvar!C25</f>
        <v>0.44900567823215992</v>
      </c>
      <c r="K20" s="326">
        <f>[2]WACC!G31</f>
        <v>4.4580000000000009E-2</v>
      </c>
      <c r="L20" s="326">
        <f>'[2]Debt fundamentals'!F20</f>
        <v>0.29163516474050882</v>
      </c>
      <c r="M20" s="326">
        <f>[2]WACC!K31</f>
        <v>6.2299311198082012E-2</v>
      </c>
      <c r="N20" s="327">
        <f>'[2]Cap Ex'!J20</f>
        <v>1.1248637774971952</v>
      </c>
      <c r="O20" s="327">
        <f>[2]PS!E20</f>
        <v>1.2371727116757574</v>
      </c>
      <c r="P20" s="327">
        <f>[2]EVEBITDA!D21</f>
        <v>4.7088611102541647</v>
      </c>
      <c r="Q20" s="327">
        <f>[2]EVEBITDA!E21</f>
        <v>6.7913183886254656</v>
      </c>
      <c r="R20" s="327">
        <f>[2]PBV!C20</f>
        <v>1.1762027586426183</v>
      </c>
      <c r="S20" s="327">
        <f>[2]PE!D20</f>
        <v>51.036653185157519</v>
      </c>
      <c r="T20" s="326">
        <f>'[2]Working capital'!F20</f>
        <v>-1.8569185591852402E-2</v>
      </c>
      <c r="U20" s="326">
        <f>'[2]Summary sheet uValue'!G29</f>
        <v>7.1084374464417358E-2</v>
      </c>
      <c r="V20" s="326">
        <f>'[2]Cap Ex'!H20</f>
        <v>3.7949460245922946E-2</v>
      </c>
      <c r="W20" s="326">
        <f>[2]fundgrEB!D20</f>
        <v>0.26446122755836421</v>
      </c>
      <c r="X20" s="326">
        <f>[2]Fundgr!C20</f>
        <v>0.1346193475163229</v>
      </c>
      <c r="Y20" s="326">
        <f>'[2]Dividend fundamentals'!E20</f>
        <v>0.63438373208153398</v>
      </c>
      <c r="Z20" s="326">
        <f>1-[2]Fundgr!D20</f>
        <v>0.63438373208153398</v>
      </c>
      <c r="AA20" s="328">
        <f>[2]Margins!J21</f>
        <v>0.1730722645904654</v>
      </c>
    </row>
    <row r="21" spans="1:27" s="295" customFormat="1">
      <c r="A21" s="325" t="str">
        <f>'[2]Master data'!A21</f>
        <v>Computer Services</v>
      </c>
      <c r="B21" s="143">
        <f>'[2]Master data'!B21</f>
        <v>1040</v>
      </c>
      <c r="C21" s="326">
        <f>'[2]Hist Growth'!D21</f>
        <v>8.8413371266002849E-2</v>
      </c>
      <c r="D21" s="326">
        <f>[2]Margins!F22</f>
        <v>7.1005998561306238E-2</v>
      </c>
      <c r="E21" s="326">
        <f>'[2]Return on capital'!H21</f>
        <v>0.21216102854698943</v>
      </c>
      <c r="F21" s="326">
        <f>'[2]Tax rates'!H22</f>
        <v>0.23768986525070973</v>
      </c>
      <c r="G21" s="327">
        <f>[2]Beta!H24</f>
        <v>1.0872547993735642</v>
      </c>
      <c r="H21" s="327">
        <f>[2]Beta!C24</f>
        <v>1.1194804007685029</v>
      </c>
      <c r="I21" s="326">
        <f>[2]WACC!D32</f>
        <v>7.3984669080423254E-2</v>
      </c>
      <c r="J21" s="326">
        <f>[2]optvar!C26</f>
        <v>0.3178022147834853</v>
      </c>
      <c r="K21" s="326">
        <f>[2]WACC!G32</f>
        <v>4.0400000000000005E-2</v>
      </c>
      <c r="L21" s="326">
        <f>'[2]Debt fundamentals'!F21</f>
        <v>0.11071567434317883</v>
      </c>
      <c r="M21" s="326">
        <f>[2]WACC!K32</f>
        <v>6.9100678604344851E-2</v>
      </c>
      <c r="N21" s="327">
        <f>'[2]Cap Ex'!J21</f>
        <v>3.4445685929185372</v>
      </c>
      <c r="O21" s="327">
        <f>[2]PS!E21</f>
        <v>1.6693508154641841</v>
      </c>
      <c r="P21" s="327">
        <f>[2]EVEBITDA!D22</f>
        <v>15.876580918265343</v>
      </c>
      <c r="Q21" s="327">
        <f>[2]EVEBITDA!E22</f>
        <v>22.370829098468235</v>
      </c>
      <c r="R21" s="327">
        <f>[2]PBV!C21</f>
        <v>4.7232498594280399</v>
      </c>
      <c r="S21" s="327">
        <f>[2]PE!D21</f>
        <v>77.490892349686391</v>
      </c>
      <c r="T21" s="326">
        <f>'[2]Working capital'!F21</f>
        <v>0.14396138673690137</v>
      </c>
      <c r="U21" s="326">
        <f>'[2]Summary sheet uValue'!G30</f>
        <v>1.4734770045120372E-2</v>
      </c>
      <c r="V21" s="326">
        <f>'[2]Cap Ex'!H21</f>
        <v>1.2408356424096047E-2</v>
      </c>
      <c r="W21" s="326">
        <f>[2]fundgrEB!D21</f>
        <v>0.34247507974849473</v>
      </c>
      <c r="X21" s="326">
        <f>[2]Fundgr!C21</f>
        <v>0.16203687158794108</v>
      </c>
      <c r="Y21" s="326">
        <f>'[2]Dividend fundamentals'!E21</f>
        <v>0.45350477108677362</v>
      </c>
      <c r="Z21" s="326">
        <f>1-[2]Fundgr!D21</f>
        <v>0.45350477108677367</v>
      </c>
      <c r="AA21" s="328">
        <f>[2]Margins!J22</f>
        <v>7.3892714992320904E-2</v>
      </c>
    </row>
    <row r="22" spans="1:27" s="295" customFormat="1">
      <c r="A22" s="325" t="str">
        <f>'[2]Master data'!A22</f>
        <v>Computers/Peripherals</v>
      </c>
      <c r="B22" s="143">
        <f>'[2]Master data'!B22</f>
        <v>336</v>
      </c>
      <c r="C22" s="326">
        <f>'[2]Hist Growth'!D22</f>
        <v>4.2003705179282882E-2</v>
      </c>
      <c r="D22" s="326">
        <f>[2]Margins!F23</f>
        <v>0.13420801258847981</v>
      </c>
      <c r="E22" s="326">
        <f>'[2]Return on capital'!H22</f>
        <v>0.22731167282354162</v>
      </c>
      <c r="F22" s="326">
        <f>'[2]Tax rates'!H23</f>
        <v>0.17035675915354098</v>
      </c>
      <c r="G22" s="327">
        <f>[2]Beta!H25</f>
        <v>1.3273913361115275</v>
      </c>
      <c r="H22" s="327">
        <f>[2]Beta!C25</f>
        <v>1.3545573197237926</v>
      </c>
      <c r="I22" s="326">
        <f>[2]WACC!D33</f>
        <v>8.634971501747149E-2</v>
      </c>
      <c r="J22" s="326">
        <f>[2]optvar!C27</f>
        <v>0.33865869728221859</v>
      </c>
      <c r="K22" s="326">
        <f>[2]WACC!G33</f>
        <v>4.0400000000000005E-2</v>
      </c>
      <c r="L22" s="326">
        <f>'[2]Debt fundamentals'!F22</f>
        <v>8.4819040314930094E-2</v>
      </c>
      <c r="M22" s="326">
        <f>[2]WACC!K33</f>
        <v>8.1559309073939767E-2</v>
      </c>
      <c r="N22" s="327">
        <f>'[2]Cap Ex'!J22</f>
        <v>1.8795730347568325</v>
      </c>
      <c r="O22" s="327">
        <f>[2]PS!E22</f>
        <v>2.7942470732119915</v>
      </c>
      <c r="P22" s="327">
        <f>[2]EVEBITDA!D23</f>
        <v>15.557308034826878</v>
      </c>
      <c r="Q22" s="327">
        <f>[2]EVEBITDA!E23</f>
        <v>20.602691486321962</v>
      </c>
      <c r="R22" s="327">
        <f>[2]PBV!C22</f>
        <v>6.7665197195831697</v>
      </c>
      <c r="S22" s="327">
        <f>[2]PE!D22</f>
        <v>41.633679475354413</v>
      </c>
      <c r="T22" s="326">
        <f>'[2]Working capital'!F22</f>
        <v>2.2248699917148208E-2</v>
      </c>
      <c r="U22" s="326">
        <f>'[2]Summary sheet uValue'!G31</f>
        <v>4.6925212227599641E-2</v>
      </c>
      <c r="V22" s="326">
        <f>'[2]Cap Ex'!H22</f>
        <v>3.2827286518238762E-2</v>
      </c>
      <c r="W22" s="326">
        <f>[2]fundgrEB!D22</f>
        <v>0.37029589006892605</v>
      </c>
      <c r="X22" s="326">
        <f>[2]Fundgr!C22</f>
        <v>0.34074969243364617</v>
      </c>
      <c r="Y22" s="326">
        <f>'[2]Dividend fundamentals'!E22</f>
        <v>0.25742826139615732</v>
      </c>
      <c r="Z22" s="326">
        <f>1-[2]Fundgr!D22</f>
        <v>0.25742826139615738</v>
      </c>
      <c r="AA22" s="328">
        <f>[2]Margins!J23</f>
        <v>0.13717532124286425</v>
      </c>
    </row>
    <row r="23" spans="1:27" s="295" customFormat="1">
      <c r="A23" s="325" t="str">
        <f>'[2]Master data'!A23</f>
        <v>Construction Supplies</v>
      </c>
      <c r="B23" s="143">
        <f>'[2]Master data'!B23</f>
        <v>784</v>
      </c>
      <c r="C23" s="326">
        <f>'[2]Hist Growth'!D23</f>
        <v>7.4234515050167052E-2</v>
      </c>
      <c r="D23" s="326">
        <f>[2]Margins!F24</f>
        <v>9.9700015155526275E-2</v>
      </c>
      <c r="E23" s="326">
        <f>'[2]Return on capital'!H23</f>
        <v>0.1031080627281033</v>
      </c>
      <c r="F23" s="326">
        <f>'[2]Tax rates'!H24</f>
        <v>0.21413837828768953</v>
      </c>
      <c r="G23" s="327">
        <f>[2]Beta!H26</f>
        <v>1.021934901271395</v>
      </c>
      <c r="H23" s="327">
        <f>[2]Beta!C26</f>
        <v>1.1571894446027715</v>
      </c>
      <c r="I23" s="326">
        <f>[2]WACC!D34</f>
        <v>7.5968164786105782E-2</v>
      </c>
      <c r="J23" s="326">
        <f>[2]optvar!C28</f>
        <v>0.28428217213446577</v>
      </c>
      <c r="K23" s="326">
        <f>[2]WACC!G34</f>
        <v>4.0400000000000005E-2</v>
      </c>
      <c r="L23" s="326">
        <f>'[2]Debt fundamentals'!F23</f>
        <v>0.26554309882822053</v>
      </c>
      <c r="M23" s="326">
        <f>[2]WACC!K34</f>
        <v>6.3727582614363232E-2</v>
      </c>
      <c r="N23" s="327">
        <f>'[2]Cap Ex'!J23</f>
        <v>1.1877188506102832</v>
      </c>
      <c r="O23" s="327">
        <f>[2]PS!E23</f>
        <v>1.5359911710330114</v>
      </c>
      <c r="P23" s="327">
        <f>[2]EVEBITDA!D24</f>
        <v>9.6996372586891582</v>
      </c>
      <c r="Q23" s="327">
        <f>[2]EVEBITDA!E24</f>
        <v>14.413173404233582</v>
      </c>
      <c r="R23" s="327">
        <f>[2]PBV!C23</f>
        <v>1.6545950096783477</v>
      </c>
      <c r="S23" s="327">
        <f>[2]PE!D23</f>
        <v>83.180494729762572</v>
      </c>
      <c r="T23" s="326">
        <f>'[2]Working capital'!F23</f>
        <v>0.11058472194030441</v>
      </c>
      <c r="U23" s="326">
        <f>'[2]Summary sheet uValue'!G32</f>
        <v>5.3591838303769686E-2</v>
      </c>
      <c r="V23" s="326">
        <f>'[2]Cap Ex'!H23</f>
        <v>3.5796678594107754E-2</v>
      </c>
      <c r="W23" s="326">
        <f>[2]fundgrEB!D23</f>
        <v>0.63503321477779107</v>
      </c>
      <c r="X23" s="326">
        <f>[2]Fundgr!C23</f>
        <v>0.11261441512209489</v>
      </c>
      <c r="Y23" s="326">
        <f>'[2]Dividend fundamentals'!E23</f>
        <v>0.4872110658449082</v>
      </c>
      <c r="Z23" s="326">
        <f>1-[2]Fundgr!D23</f>
        <v>0.48721106584490825</v>
      </c>
      <c r="AA23" s="328">
        <f>[2]Margins!J24</f>
        <v>0.10196080141016332</v>
      </c>
    </row>
    <row r="24" spans="1:27" s="295" customFormat="1">
      <c r="A24" s="325" t="str">
        <f>'[2]Master data'!A24</f>
        <v>Diversified</v>
      </c>
      <c r="B24" s="143">
        <f>'[2]Master data'!B24</f>
        <v>318</v>
      </c>
      <c r="C24" s="326">
        <f>'[2]Hist Growth'!D24</f>
        <v>7.9333945312500001E-2</v>
      </c>
      <c r="D24" s="326">
        <f>[2]Margins!F25</f>
        <v>0.17094793633714722</v>
      </c>
      <c r="E24" s="326">
        <f>'[2]Return on capital'!H24</f>
        <v>0.12454034333861526</v>
      </c>
      <c r="F24" s="326">
        <f>'[2]Tax rates'!H25</f>
        <v>0.18456934409629669</v>
      </c>
      <c r="G24" s="327">
        <f>[2]Beta!H27</f>
        <v>0.81945247458655002</v>
      </c>
      <c r="H24" s="327">
        <f>[2]Beta!C27</f>
        <v>1.0538717452295296</v>
      </c>
      <c r="I24" s="326">
        <f>[2]WACC!D35</f>
        <v>7.0533653799073254E-2</v>
      </c>
      <c r="J24" s="326">
        <f>[2]optvar!C29</f>
        <v>0.23874797952027321</v>
      </c>
      <c r="K24" s="326">
        <f>[2]WACC!G35</f>
        <v>3.3800000000000004E-2</v>
      </c>
      <c r="L24" s="326">
        <f>'[2]Debt fundamentals'!F24</f>
        <v>0.36232884846159458</v>
      </c>
      <c r="M24" s="326">
        <f>[2]WACC!K35</f>
        <v>5.403249736894087E-2</v>
      </c>
      <c r="N24" s="327">
        <f>'[2]Cap Ex'!J24</f>
        <v>0.85005852741487009</v>
      </c>
      <c r="O24" s="327">
        <f>[2]PS!E24</f>
        <v>1.8318941608933268</v>
      </c>
      <c r="P24" s="327">
        <f>[2]EVEBITDA!D25</f>
        <v>8.3831365749235829</v>
      </c>
      <c r="Q24" s="327">
        <f>[2]EVEBITDA!E25</f>
        <v>10.344015782300399</v>
      </c>
      <c r="R24" s="327">
        <f>[2]PBV!C24</f>
        <v>1.200473639942399</v>
      </c>
      <c r="S24" s="327">
        <f>[2]PE!D24</f>
        <v>35.812846592019916</v>
      </c>
      <c r="T24" s="326">
        <f>'[2]Working capital'!F24</f>
        <v>-0.20072186982204104</v>
      </c>
      <c r="U24" s="326">
        <f>'[2]Summary sheet uValue'!G33</f>
        <v>4.5552353048106523E-2</v>
      </c>
      <c r="V24" s="326">
        <f>'[2]Cap Ex'!H24</f>
        <v>3.5727032438049547E-2</v>
      </c>
      <c r="W24" s="326">
        <f>[2]fundgrEB!D24</f>
        <v>0.29352196818304338</v>
      </c>
      <c r="X24" s="326">
        <f>[2]Fundgr!C24</f>
        <v>0.15311078720268695</v>
      </c>
      <c r="Y24" s="326">
        <f>'[2]Dividend fundamentals'!E24</f>
        <v>0.14003089806773888</v>
      </c>
      <c r="Z24" s="326">
        <f>1-[2]Fundgr!D24</f>
        <v>0.14003089806773894</v>
      </c>
      <c r="AA24" s="328">
        <f>[2]Margins!J25</f>
        <v>0.17135881524418048</v>
      </c>
    </row>
    <row r="25" spans="1:27" s="295" customFormat="1">
      <c r="A25" s="325" t="str">
        <f>'[2]Master data'!A25</f>
        <v>Drugs (Biotechnology)</v>
      </c>
      <c r="B25" s="143">
        <f>'[2]Master data'!B25</f>
        <v>1223</v>
      </c>
      <c r="C25" s="326">
        <f>'[2]Hist Growth'!D25</f>
        <v>0.2725598423423426</v>
      </c>
      <c r="D25" s="326">
        <f>[2]Margins!F26</f>
        <v>0.10866206804464593</v>
      </c>
      <c r="E25" s="326">
        <f>'[2]Return on capital'!H25</f>
        <v>7.0506081837415288E-2</v>
      </c>
      <c r="F25" s="326">
        <f>'[2]Tax rates'!H26</f>
        <v>0.12712654679326621</v>
      </c>
      <c r="G25" s="327">
        <f>[2]Beta!H28</f>
        <v>1.1008038836104794</v>
      </c>
      <c r="H25" s="327">
        <f>[2]Beta!C28</f>
        <v>1.1044876675583117</v>
      </c>
      <c r="I25" s="326">
        <f>[2]WACC!D36</f>
        <v>7.3196051313567198E-2</v>
      </c>
      <c r="J25" s="326">
        <f>[2]optvar!C30</f>
        <v>0.45420702418042541</v>
      </c>
      <c r="K25" s="326">
        <f>[2]WACC!G36</f>
        <v>4.4580000000000009E-2</v>
      </c>
      <c r="L25" s="326">
        <f>'[2]Debt fundamentals'!F25</f>
        <v>0.10482815596938155</v>
      </c>
      <c r="M25" s="326">
        <f>[2]WACC!K36</f>
        <v>6.8978437289514985E-2</v>
      </c>
      <c r="N25" s="327">
        <f>'[2]Cap Ex'!J25</f>
        <v>0.49198829684546491</v>
      </c>
      <c r="O25" s="327">
        <f>[2]PS!E25</f>
        <v>7.8705698445343453</v>
      </c>
      <c r="P25" s="327">
        <f>[2]EVEBITDA!D26</f>
        <v>14.132888174042824</v>
      </c>
      <c r="Q25" s="327">
        <f>[2]EVEBITDA!E26</f>
        <v>52.142945760445869</v>
      </c>
      <c r="R25" s="327">
        <f>[2]PBV!C25</f>
        <v>5.8773916677363491</v>
      </c>
      <c r="S25" s="327">
        <f>[2]PE!D25</f>
        <v>188.72003212013664</v>
      </c>
      <c r="T25" s="326">
        <f>'[2]Working capital'!F25</f>
        <v>0.17868203186658602</v>
      </c>
      <c r="U25" s="326">
        <f>'[2]Summary sheet uValue'!G34</f>
        <v>5.6319451162497959E-2</v>
      </c>
      <c r="V25" s="326">
        <f>'[2]Cap Ex'!H25</f>
        <v>0.13788348638401227</v>
      </c>
      <c r="W25" s="326">
        <f>[2]fundgrEB!D25</f>
        <v>2.4381763078636784</v>
      </c>
      <c r="X25" s="326">
        <f>[2]Fundgr!C25</f>
        <v>-1.265233660853342E-2</v>
      </c>
      <c r="Y25" s="326">
        <f>'[2]Dividend fundamentals'!E25</f>
        <v>1.7469244414724792E-3</v>
      </c>
      <c r="Z25" s="326">
        <f>1-[2]Fundgr!D25</f>
        <v>1.7469244414725082E-3</v>
      </c>
      <c r="AA25" s="328">
        <f>[2]Margins!J26</f>
        <v>0.14553082143009591</v>
      </c>
    </row>
    <row r="26" spans="1:27" s="295" customFormat="1">
      <c r="A26" s="325" t="str">
        <f>'[2]Master data'!A26</f>
        <v>Drugs (Pharmaceutical)</v>
      </c>
      <c r="B26" s="143">
        <f>'[2]Master data'!B26</f>
        <v>1371</v>
      </c>
      <c r="C26" s="326">
        <f>'[2]Hist Growth'!D26</f>
        <v>0.17784532959326782</v>
      </c>
      <c r="D26" s="326">
        <f>[2]Margins!F27</f>
        <v>0.21443651696312521</v>
      </c>
      <c r="E26" s="326">
        <f>'[2]Return on capital'!H26</f>
        <v>0.15533891167406097</v>
      </c>
      <c r="F26" s="326">
        <f>'[2]Tax rates'!H27</f>
        <v>0.16089749310217782</v>
      </c>
      <c r="G26" s="327">
        <f>[2]Beta!H29</f>
        <v>1.0195095362001769</v>
      </c>
      <c r="H26" s="327">
        <f>[2]Beta!C29</f>
        <v>1.0775601817466782</v>
      </c>
      <c r="I26" s="326">
        <f>[2]WACC!D37</f>
        <v>7.1779665559875278E-2</v>
      </c>
      <c r="J26" s="326">
        <f>[2]optvar!C31</f>
        <v>0.39786296480578942</v>
      </c>
      <c r="K26" s="326">
        <f>[2]WACC!G37</f>
        <v>4.0400000000000005E-2</v>
      </c>
      <c r="L26" s="326">
        <f>'[2]Debt fundamentals'!F26</f>
        <v>0.12882992669944857</v>
      </c>
      <c r="M26" s="326">
        <f>[2]WACC!K37</f>
        <v>6.6380673158469142E-2</v>
      </c>
      <c r="N26" s="327">
        <f>'[2]Cap Ex'!J26</f>
        <v>0.72372750503909877</v>
      </c>
      <c r="O26" s="327">
        <f>[2]PS!E26</f>
        <v>4.3072203653376766</v>
      </c>
      <c r="P26" s="327">
        <f>[2]EVEBITDA!D27</f>
        <v>14.01756506083159</v>
      </c>
      <c r="Q26" s="327">
        <f>[2]EVEBITDA!E27</f>
        <v>19.395587124409477</v>
      </c>
      <c r="R26" s="327">
        <f>[2]PBV!C26</f>
        <v>3.9070693428554377</v>
      </c>
      <c r="S26" s="327">
        <f>[2]PE!D26</f>
        <v>54.437546232993952</v>
      </c>
      <c r="T26" s="326">
        <f>'[2]Working capital'!F26</f>
        <v>0.15045192833609722</v>
      </c>
      <c r="U26" s="326">
        <f>'[2]Summary sheet uValue'!G35</f>
        <v>4.8696108167801858E-2</v>
      </c>
      <c r="V26" s="326">
        <f>'[2]Cap Ex'!H26</f>
        <v>5.7433549769644821E-2</v>
      </c>
      <c r="W26" s="326">
        <f>[2]fundgrEB!D26</f>
        <v>0.39181138458615739</v>
      </c>
      <c r="X26" s="326">
        <f>[2]Fundgr!C26</f>
        <v>0.12595871454134275</v>
      </c>
      <c r="Y26" s="326">
        <f>'[2]Dividend fundamentals'!E26</f>
        <v>0.74314367916302693</v>
      </c>
      <c r="Z26" s="326">
        <f>1-[2]Fundgr!D26</f>
        <v>0.74314367916302693</v>
      </c>
      <c r="AA26" s="328">
        <f>[2]Margins!J27</f>
        <v>0.23448744322135934</v>
      </c>
    </row>
    <row r="27" spans="1:27" s="295" customFormat="1">
      <c r="A27" s="325" t="str">
        <f>'[2]Master data'!A27</f>
        <v>Education</v>
      </c>
      <c r="B27" s="143">
        <f>'[2]Master data'!B27</f>
        <v>244</v>
      </c>
      <c r="C27" s="326">
        <f>'[2]Hist Growth'!D27</f>
        <v>7.7773846153846152E-2</v>
      </c>
      <c r="D27" s="326">
        <f>[2]Margins!F28</f>
        <v>9.6140138413167694E-2</v>
      </c>
      <c r="E27" s="326">
        <f>'[2]Return on capital'!H27</f>
        <v>8.4427654333280935E-2</v>
      </c>
      <c r="F27" s="326">
        <f>'[2]Tax rates'!H28</f>
        <v>0.17821466796831487</v>
      </c>
      <c r="G27" s="327">
        <f>[2]Beta!H30</f>
        <v>0.997308360259894</v>
      </c>
      <c r="H27" s="327">
        <f>[2]Beta!C30</f>
        <v>1.0631824876684701</v>
      </c>
      <c r="I27" s="326">
        <f>[2]WACC!D38</f>
        <v>7.1023398851361524E-2</v>
      </c>
      <c r="J27" s="326">
        <f>[2]optvar!C32</f>
        <v>0.3237640159084067</v>
      </c>
      <c r="K27" s="326">
        <f>[2]WACC!G38</f>
        <v>4.0400000000000005E-2</v>
      </c>
      <c r="L27" s="326">
        <f>'[2]Debt fundamentals'!F27</f>
        <v>0.23534608860623782</v>
      </c>
      <c r="M27" s="326">
        <f>[2]WACC!K38</f>
        <v>6.1338521607957094E-2</v>
      </c>
      <c r="N27" s="327">
        <f>'[2]Cap Ex'!J27</f>
        <v>0.95105794527488585</v>
      </c>
      <c r="O27" s="327">
        <f>[2]PS!E27</f>
        <v>2.7382057203019605</v>
      </c>
      <c r="P27" s="327">
        <f>[2]EVEBITDA!D28</f>
        <v>12.414360129907049</v>
      </c>
      <c r="Q27" s="327">
        <f>[2]EVEBITDA!E28</f>
        <v>24.566129524393371</v>
      </c>
      <c r="R27" s="327">
        <f>[2]PBV!C27</f>
        <v>2.1419795377540467</v>
      </c>
      <c r="S27" s="327">
        <f>[2]PE!D27</f>
        <v>172.07045889590799</v>
      </c>
      <c r="T27" s="326">
        <f>'[2]Working capital'!F27</f>
        <v>-9.7118872374530353E-3</v>
      </c>
      <c r="U27" s="326">
        <f>'[2]Summary sheet uValue'!G36</f>
        <v>8.2834159461968163E-2</v>
      </c>
      <c r="V27" s="326">
        <f>'[2]Cap Ex'!H27</f>
        <v>0.15324854351350051</v>
      </c>
      <c r="W27" s="326">
        <f>[2]fundgrEB!D27</f>
        <v>2.0812911399498266</v>
      </c>
      <c r="X27" s="326">
        <f>[2]Fundgr!C27</f>
        <v>3.5086827411427837E-2</v>
      </c>
      <c r="Y27" s="326">
        <f>'[2]Dividend fundamentals'!E27</f>
        <v>0.80901117116635013</v>
      </c>
      <c r="Z27" s="326">
        <f>1-[2]Fundgr!D27</f>
        <v>0.80901117116635013</v>
      </c>
      <c r="AA27" s="328">
        <f>[2]Margins!J28</f>
        <v>0.10149436847361079</v>
      </c>
    </row>
    <row r="28" spans="1:27" s="295" customFormat="1">
      <c r="A28" s="325" t="str">
        <f>'[2]Master data'!A28</f>
        <v>Electrical Equipment</v>
      </c>
      <c r="B28" s="143">
        <f>'[2]Master data'!B28</f>
        <v>999</v>
      </c>
      <c r="C28" s="326">
        <f>'[2]Hist Growth'!D28</f>
        <v>8.5675447530864327E-2</v>
      </c>
      <c r="D28" s="326">
        <f>[2]Margins!F29</f>
        <v>7.098263724020451E-2</v>
      </c>
      <c r="E28" s="326">
        <f>'[2]Return on capital'!H28</f>
        <v>0.11232819931545503</v>
      </c>
      <c r="F28" s="326">
        <f>'[2]Tax rates'!H29</f>
        <v>0.19569729523838184</v>
      </c>
      <c r="G28" s="327">
        <f>[2]Beta!H31</f>
        <v>1.0807004988556506</v>
      </c>
      <c r="H28" s="327">
        <f>[2]Beta!C31</f>
        <v>1.0963399350526222</v>
      </c>
      <c r="I28" s="326">
        <f>[2]WACC!D39</f>
        <v>7.2767480583767932E-2</v>
      </c>
      <c r="J28" s="326">
        <f>[2]optvar!C33</f>
        <v>0.33717558911957879</v>
      </c>
      <c r="K28" s="326">
        <f>[2]WACC!G39</f>
        <v>4.0400000000000005E-2</v>
      </c>
      <c r="L28" s="326">
        <f>'[2]Debt fundamentals'!F28</f>
        <v>0.10922733916095732</v>
      </c>
      <c r="M28" s="326">
        <f>[2]WACC!K39</f>
        <v>6.8082095163011058E-2</v>
      </c>
      <c r="N28" s="327">
        <f>'[2]Cap Ex'!J28</f>
        <v>1.7049714240582912</v>
      </c>
      <c r="O28" s="327">
        <f>[2]PS!E28</f>
        <v>2.6197080757069147</v>
      </c>
      <c r="P28" s="327">
        <f>[2]EVEBITDA!D29</f>
        <v>21.818266491429235</v>
      </c>
      <c r="Q28" s="327">
        <f>[2]EVEBITDA!E29</f>
        <v>34.207425273300665</v>
      </c>
      <c r="R28" s="327">
        <f>[2]PBV!C28</f>
        <v>3.7699986928347937</v>
      </c>
      <c r="S28" s="327">
        <f>[2]PE!D28</f>
        <v>66.410763809320045</v>
      </c>
      <c r="T28" s="326">
        <f>'[2]Working capital'!F28</f>
        <v>0.21636832700795189</v>
      </c>
      <c r="U28" s="326">
        <f>'[2]Summary sheet uValue'!G37</f>
        <v>5.5195854997738276E-2</v>
      </c>
      <c r="V28" s="326">
        <f>'[2]Cap Ex'!H28</f>
        <v>6.3184219099487335E-2</v>
      </c>
      <c r="W28" s="326">
        <f>[2]fundgrEB!D28</f>
        <v>1.4178635843466945</v>
      </c>
      <c r="X28" s="326">
        <f>[2]Fundgr!C28</f>
        <v>9.5887128097968344E-2</v>
      </c>
      <c r="Y28" s="326">
        <f>'[2]Dividend fundamentals'!E28</f>
        <v>0.50806228697477906</v>
      </c>
      <c r="Z28" s="326">
        <f>1-[2]Fundgr!D28</f>
        <v>0.50806228697477906</v>
      </c>
      <c r="AA28" s="328">
        <f>[2]Margins!J29</f>
        <v>7.4767807027420086E-2</v>
      </c>
    </row>
    <row r="29" spans="1:27" s="295" customFormat="1">
      <c r="A29" s="325" t="str">
        <f>'[2]Master data'!A29</f>
        <v>Electronics (Consumer &amp; Office)</v>
      </c>
      <c r="B29" s="143">
        <f>'[2]Master data'!B29</f>
        <v>138</v>
      </c>
      <c r="C29" s="326">
        <f>'[2]Hist Growth'!D29</f>
        <v>2.5422352941176497E-2</v>
      </c>
      <c r="D29" s="326">
        <f>[2]Margins!F30</f>
        <v>6.3683998529846575E-2</v>
      </c>
      <c r="E29" s="326">
        <f>'[2]Return on capital'!H29</f>
        <v>0.11667340453145202</v>
      </c>
      <c r="F29" s="326">
        <f>'[2]Tax rates'!H30</f>
        <v>0.18359949239119458</v>
      </c>
      <c r="G29" s="327">
        <f>[2]Beta!H32</f>
        <v>1.1868264404863169</v>
      </c>
      <c r="H29" s="327">
        <f>[2]Beta!C32</f>
        <v>1.2907351864587455</v>
      </c>
      <c r="I29" s="326">
        <f>[2]WACC!D40</f>
        <v>8.2992670807730012E-2</v>
      </c>
      <c r="J29" s="326">
        <f>[2]optvar!C34</f>
        <v>0.31536571621443654</v>
      </c>
      <c r="K29" s="326">
        <f>[2]WACC!G40</f>
        <v>4.0400000000000005E-2</v>
      </c>
      <c r="L29" s="326">
        <f>'[2]Debt fundamentals'!F29</f>
        <v>0.23238187034529176</v>
      </c>
      <c r="M29" s="326">
        <f>[2]WACC!K40</f>
        <v>7.064833419978428E-2</v>
      </c>
      <c r="N29" s="327">
        <f>'[2]Cap Ex'!J29</f>
        <v>1.6809375717987154</v>
      </c>
      <c r="O29" s="327">
        <f>[2]PS!E29</f>
        <v>1.0565976114825613</v>
      </c>
      <c r="P29" s="327">
        <f>[2]EVEBITDA!D30</f>
        <v>9.8988441468484591</v>
      </c>
      <c r="Q29" s="327">
        <f>[2]EVEBITDA!E30</f>
        <v>16.025929264396034</v>
      </c>
      <c r="R29" s="327">
        <f>[2]PBV!C29</f>
        <v>1.890039500119129</v>
      </c>
      <c r="S29" s="327">
        <f>[2]PE!D29</f>
        <v>167.97298549910099</v>
      </c>
      <c r="T29" s="326">
        <f>'[2]Working capital'!F29</f>
        <v>3.9618789126829777E-2</v>
      </c>
      <c r="U29" s="326">
        <f>'[2]Summary sheet uValue'!G38</f>
        <v>4.7338746910571695E-2</v>
      </c>
      <c r="V29" s="326">
        <f>'[2]Cap Ex'!H29</f>
        <v>6.5461285299230287E-2</v>
      </c>
      <c r="W29" s="326">
        <f>[2]fundgrEB!D29</f>
        <v>1.4955966665729838</v>
      </c>
      <c r="X29" s="326">
        <f>[2]Fundgr!C29</f>
        <v>0.14649401337524795</v>
      </c>
      <c r="Y29" s="326">
        <f>'[2]Dividend fundamentals'!E29</f>
        <v>0.22192502231623787</v>
      </c>
      <c r="Z29" s="326">
        <f>1-[2]Fundgr!D29</f>
        <v>0.2219250223162379</v>
      </c>
      <c r="AA29" s="328">
        <f>[2]Margins!J30</f>
        <v>7.6962834098612126E-2</v>
      </c>
    </row>
    <row r="30" spans="1:27" s="295" customFormat="1">
      <c r="A30" s="325" t="str">
        <f>'[2]Master data'!A30</f>
        <v>Electronics (General)</v>
      </c>
      <c r="B30" s="143">
        <f>'[2]Master data'!B30</f>
        <v>1425</v>
      </c>
      <c r="C30" s="326">
        <f>'[2]Hist Growth'!D30</f>
        <v>7.3061757925072038E-2</v>
      </c>
      <c r="D30" s="326">
        <f>[2]Margins!F31</f>
        <v>8.342281140717156E-2</v>
      </c>
      <c r="E30" s="326">
        <f>'[2]Return on capital'!H30</f>
        <v>0.14336708006673324</v>
      </c>
      <c r="F30" s="326">
        <f>'[2]Tax rates'!H31</f>
        <v>0.16844309487795051</v>
      </c>
      <c r="G30" s="327">
        <f>[2]Beta!H33</f>
        <v>1.3115844334733844</v>
      </c>
      <c r="H30" s="327">
        <f>[2]Beta!C33</f>
        <v>1.3003336732122071</v>
      </c>
      <c r="I30" s="326">
        <f>[2]WACC!D41</f>
        <v>8.3497551210962098E-2</v>
      </c>
      <c r="J30" s="326">
        <f>[2]optvar!C35</f>
        <v>0.31028467082163019</v>
      </c>
      <c r="K30" s="326">
        <f>[2]WACC!G41</f>
        <v>4.0400000000000005E-2</v>
      </c>
      <c r="L30" s="326">
        <f>'[2]Debt fundamentals'!F30</f>
        <v>0.11550999089770773</v>
      </c>
      <c r="M30" s="326">
        <f>[2]WACC!K41</f>
        <v>7.7303236556301502E-2</v>
      </c>
      <c r="N30" s="327">
        <f>'[2]Cap Ex'!J30</f>
        <v>1.5764726495723238</v>
      </c>
      <c r="O30" s="327">
        <f>[2]PS!E30</f>
        <v>1.9430908691410391</v>
      </c>
      <c r="P30" s="327">
        <f>[2]EVEBITDA!D31</f>
        <v>14.615143782541514</v>
      </c>
      <c r="Q30" s="327">
        <f>[2]EVEBITDA!E31</f>
        <v>22.497559829671356</v>
      </c>
      <c r="R30" s="327">
        <f>[2]PBV!C30</f>
        <v>3.0301711494177308</v>
      </c>
      <c r="S30" s="327">
        <f>[2]PE!D30</f>
        <v>70.145638737395799</v>
      </c>
      <c r="T30" s="326">
        <f>'[2]Working capital'!F30</f>
        <v>0.1854858097499861</v>
      </c>
      <c r="U30" s="326">
        <f>'[2]Summary sheet uValue'!G39</f>
        <v>5.9545738343157954E-2</v>
      </c>
      <c r="V30" s="326">
        <f>'[2]Cap Ex'!H30</f>
        <v>6.341272234412805E-2</v>
      </c>
      <c r="W30" s="326">
        <f>[2]fundgrEB!D30</f>
        <v>1.2898308301471106</v>
      </c>
      <c r="X30" s="326">
        <f>[2]Fundgr!C30</f>
        <v>0.13300111722461752</v>
      </c>
      <c r="Y30" s="326">
        <f>'[2]Dividend fundamentals'!E30</f>
        <v>0.3186359885929218</v>
      </c>
      <c r="Z30" s="326">
        <f>1-[2]Fundgr!D30</f>
        <v>0.31863598859292175</v>
      </c>
      <c r="AA30" s="328">
        <f>[2]Margins!J31</f>
        <v>0.10122978675717055</v>
      </c>
    </row>
    <row r="31" spans="1:27" s="295" customFormat="1">
      <c r="A31" s="325" t="str">
        <f>'[2]Master data'!A31</f>
        <v>Engineering/Construction</v>
      </c>
      <c r="B31" s="143">
        <f>'[2]Master data'!B31</f>
        <v>1267</v>
      </c>
      <c r="C31" s="326">
        <f>'[2]Hist Growth'!D31</f>
        <v>3.4862134831460639E-2</v>
      </c>
      <c r="D31" s="326">
        <f>[2]Margins!F32</f>
        <v>4.8072625266089533E-2</v>
      </c>
      <c r="E31" s="326">
        <f>'[2]Return on capital'!H31</f>
        <v>9.0537065784327186E-2</v>
      </c>
      <c r="F31" s="326">
        <f>'[2]Tax rates'!H32</f>
        <v>0.24283862620055652</v>
      </c>
      <c r="G31" s="327">
        <f>[2]Beta!H34</f>
        <v>0.84475981999221106</v>
      </c>
      <c r="H31" s="327">
        <f>[2]Beta!C34</f>
        <v>1.1234164907248396</v>
      </c>
      <c r="I31" s="326">
        <f>[2]WACC!D42</f>
        <v>7.4191707412126565E-2</v>
      </c>
      <c r="J31" s="326">
        <f>[2]optvar!C36</f>
        <v>0.2943241351825901</v>
      </c>
      <c r="K31" s="326">
        <f>[2]WACC!G42</f>
        <v>4.0400000000000005E-2</v>
      </c>
      <c r="L31" s="326">
        <f>'[2]Debt fundamentals'!F31</f>
        <v>0.46619138819066736</v>
      </c>
      <c r="M31" s="326">
        <f>[2]WACC!K42</f>
        <v>5.3530129603529909E-2</v>
      </c>
      <c r="N31" s="327">
        <f>'[2]Cap Ex'!J31</f>
        <v>2.1078254150031008</v>
      </c>
      <c r="O31" s="327">
        <f>[2]PS!E31</f>
        <v>0.62523633001203738</v>
      </c>
      <c r="P31" s="327">
        <f>[2]EVEBITDA!D32</f>
        <v>8.9609497625191672</v>
      </c>
      <c r="Q31" s="327">
        <f>[2]EVEBITDA!E32</f>
        <v>12.252415612540876</v>
      </c>
      <c r="R31" s="327">
        <f>[2]PBV!C31</f>
        <v>1.0459265608781843</v>
      </c>
      <c r="S31" s="327">
        <f>[2]PE!D31</f>
        <v>76.374318657451397</v>
      </c>
      <c r="T31" s="326">
        <f>'[2]Working capital'!F31</f>
        <v>0.15509123906441288</v>
      </c>
      <c r="U31" s="326">
        <f>'[2]Summary sheet uValue'!G40</f>
        <v>3.6186370330474595E-2</v>
      </c>
      <c r="V31" s="326">
        <f>'[2]Cap Ex'!H31</f>
        <v>2.6091027382896672E-2</v>
      </c>
      <c r="W31" s="326">
        <f>[2]fundgrEB!D31</f>
        <v>1.1246550909575368</v>
      </c>
      <c r="X31" s="326">
        <f>[2]Fundgr!C31</f>
        <v>0.1044615500795243</v>
      </c>
      <c r="Y31" s="326">
        <f>'[2]Dividend fundamentals'!E31</f>
        <v>0.57166614498010748</v>
      </c>
      <c r="Z31" s="326">
        <f>1-[2]Fundgr!D31</f>
        <v>0.57166614498010748</v>
      </c>
      <c r="AA31" s="328">
        <f>[2]Margins!J32</f>
        <v>5.059330837098714E-2</v>
      </c>
    </row>
    <row r="32" spans="1:27" s="295" customFormat="1">
      <c r="A32" s="325" t="str">
        <f>'[2]Master data'!A32</f>
        <v>Entertainment</v>
      </c>
      <c r="B32" s="143">
        <f>'[2]Master data'!B32</f>
        <v>734</v>
      </c>
      <c r="C32" s="326">
        <f>'[2]Hist Growth'!D32</f>
        <v>7.0556876513317157E-2</v>
      </c>
      <c r="D32" s="326">
        <f>[2]Margins!F33</f>
        <v>9.3243903088815805E-2</v>
      </c>
      <c r="E32" s="326">
        <f>'[2]Return on capital'!H32</f>
        <v>0.11209610458782195</v>
      </c>
      <c r="F32" s="326">
        <f>'[2]Tax rates'!H33</f>
        <v>0.21204602668043013</v>
      </c>
      <c r="G32" s="327">
        <f>[2]Beta!H35</f>
        <v>1.1070010153253311</v>
      </c>
      <c r="H32" s="327">
        <f>[2]Beta!C35</f>
        <v>1.1419146387042676</v>
      </c>
      <c r="I32" s="326">
        <f>[2]WACC!D43</f>
        <v>7.5164709995844473E-2</v>
      </c>
      <c r="J32" s="326">
        <f>[2]optvar!C37</f>
        <v>0.38638430057677353</v>
      </c>
      <c r="K32" s="326">
        <f>[2]WACC!G43</f>
        <v>4.0400000000000005E-2</v>
      </c>
      <c r="L32" s="326">
        <f>'[2]Debt fundamentals'!F32</f>
        <v>0.13299828243979833</v>
      </c>
      <c r="M32" s="326">
        <f>[2]WACC!K43</f>
        <v>6.9140825439765491E-2</v>
      </c>
      <c r="N32" s="327">
        <f>'[2]Cap Ex'!J32</f>
        <v>1.1845128712913422</v>
      </c>
      <c r="O32" s="327">
        <f>[2]PS!E32</f>
        <v>4.9196069892368941</v>
      </c>
      <c r="P32" s="327">
        <f>[2]EVEBITDA!D33</f>
        <v>24.127976713181816</v>
      </c>
      <c r="Q32" s="327">
        <f>[2]EVEBITDA!E33</f>
        <v>45.378107854020627</v>
      </c>
      <c r="R32" s="327">
        <f>[2]PBV!C32</f>
        <v>4.0281106802479592</v>
      </c>
      <c r="S32" s="327">
        <f>[2]PE!D32</f>
        <v>133.63420532658654</v>
      </c>
      <c r="T32" s="326">
        <f>'[2]Working capital'!F32</f>
        <v>1.2589916254097097E-2</v>
      </c>
      <c r="U32" s="326">
        <f>'[2]Summary sheet uValue'!G41</f>
        <v>3.6654668666318453E-2</v>
      </c>
      <c r="V32" s="326">
        <f>'[2]Cap Ex'!H32</f>
        <v>2.7075856672277476E-2</v>
      </c>
      <c r="W32" s="326">
        <f>[2]fundgrEB!D32</f>
        <v>0.40921640343168736</v>
      </c>
      <c r="X32" s="326">
        <f>[2]Fundgr!C32</f>
        <v>4.7601360391532309E-2</v>
      </c>
      <c r="Y32" s="326">
        <f>'[2]Dividend fundamentals'!E32</f>
        <v>0.54562946162858716</v>
      </c>
      <c r="Z32" s="326">
        <f>1-[2]Fundgr!D32</f>
        <v>0.54562946162858716</v>
      </c>
      <c r="AA32" s="328">
        <f>[2]Margins!J33</f>
        <v>0.10206159927322521</v>
      </c>
    </row>
    <row r="33" spans="1:27" s="295" customFormat="1">
      <c r="A33" s="325" t="str">
        <f>'[2]Master data'!A33</f>
        <v>Environmental &amp; Waste Services</v>
      </c>
      <c r="B33" s="143">
        <f>'[2]Master data'!B33</f>
        <v>353</v>
      </c>
      <c r="C33" s="326">
        <f>'[2]Hist Growth'!D33</f>
        <v>8.4489025641025658E-2</v>
      </c>
      <c r="D33" s="326">
        <f>[2]Margins!F34</f>
        <v>0.11065180568357465</v>
      </c>
      <c r="E33" s="326">
        <f>'[2]Return on capital'!H33</f>
        <v>0.12555572207624333</v>
      </c>
      <c r="F33" s="326">
        <f>'[2]Tax rates'!H34</f>
        <v>0.20107082775829135</v>
      </c>
      <c r="G33" s="327">
        <f>[2]Beta!H36</f>
        <v>0.89597184861401302</v>
      </c>
      <c r="H33" s="327">
        <f>[2]Beta!C36</f>
        <v>1.0444451868918649</v>
      </c>
      <c r="I33" s="326">
        <f>[2]WACC!D44</f>
        <v>7.0037816830512092E-2</v>
      </c>
      <c r="J33" s="326">
        <f>[2]optvar!C38</f>
        <v>0.33744630683110027</v>
      </c>
      <c r="K33" s="326">
        <f>[2]WACC!G44</f>
        <v>4.0400000000000005E-2</v>
      </c>
      <c r="L33" s="326">
        <f>'[2]Debt fundamentals'!F33</f>
        <v>0.23374943853477836</v>
      </c>
      <c r="M33" s="326">
        <f>[2]WACC!K44</f>
        <v>6.0649023598223897E-2</v>
      </c>
      <c r="N33" s="327">
        <f>'[2]Cap Ex'!J33</f>
        <v>1.2850256670890909</v>
      </c>
      <c r="O33" s="327">
        <f>[2]PS!E33</f>
        <v>3.0210908579209463</v>
      </c>
      <c r="P33" s="327">
        <f>[2]EVEBITDA!D34</f>
        <v>15.380143335737438</v>
      </c>
      <c r="Q33" s="327">
        <f>[2]EVEBITDA!E34</f>
        <v>25.764328920387026</v>
      </c>
      <c r="R33" s="327">
        <f>[2]PBV!C33</f>
        <v>3.4069284406164875</v>
      </c>
      <c r="S33" s="327">
        <f>[2]PE!D33</f>
        <v>67.987313512097316</v>
      </c>
      <c r="T33" s="326">
        <f>'[2]Working capital'!F33</f>
        <v>0.11988952282516137</v>
      </c>
      <c r="U33" s="326">
        <f>'[2]Summary sheet uValue'!G42</f>
        <v>8.2578427228023873E-2</v>
      </c>
      <c r="V33" s="326">
        <f>'[2]Cap Ex'!H33</f>
        <v>0.10751660160840347</v>
      </c>
      <c r="W33" s="326">
        <f>[2]fundgrEB!D33</f>
        <v>1.6700786092131257</v>
      </c>
      <c r="X33" s="326">
        <f>[2]Fundgr!C33</f>
        <v>9.4771173784805332E-2</v>
      </c>
      <c r="Y33" s="326">
        <f>'[2]Dividend fundamentals'!E33</f>
        <v>0.60842907953920744</v>
      </c>
      <c r="Z33" s="326">
        <f>1-[2]Fundgr!D33</f>
        <v>0.60842907953920744</v>
      </c>
      <c r="AA33" s="328">
        <f>[2]Margins!J34</f>
        <v>0.11216928619940854</v>
      </c>
    </row>
    <row r="34" spans="1:27" s="295" customFormat="1">
      <c r="A34" s="325" t="str">
        <f>'[2]Master data'!A34</f>
        <v>Farming/Agriculture</v>
      </c>
      <c r="B34" s="143">
        <f>'[2]Master data'!B34</f>
        <v>417</v>
      </c>
      <c r="C34" s="326">
        <f>'[2]Hist Growth'!D34</f>
        <v>0.10532477663230227</v>
      </c>
      <c r="D34" s="326">
        <f>[2]Margins!F35</f>
        <v>7.2604356210684465E-2</v>
      </c>
      <c r="E34" s="326">
        <f>'[2]Return on capital'!H34</f>
        <v>9.987820828033038E-2</v>
      </c>
      <c r="F34" s="326">
        <f>'[2]Tax rates'!H35</f>
        <v>0.20703968709542545</v>
      </c>
      <c r="G34" s="327">
        <f>[2]Beta!H37</f>
        <v>0.76762586516426345</v>
      </c>
      <c r="H34" s="327">
        <f>[2]Beta!C37</f>
        <v>0.94901152521243715</v>
      </c>
      <c r="I34" s="326">
        <f>[2]WACC!D45</f>
        <v>6.5018006226174194E-2</v>
      </c>
      <c r="J34" s="326">
        <f>[2]optvar!C39</f>
        <v>0.30326937638340984</v>
      </c>
      <c r="K34" s="326">
        <f>[2]WACC!G45</f>
        <v>4.0400000000000005E-2</v>
      </c>
      <c r="L34" s="326">
        <f>'[2]Debt fundamentals'!F34</f>
        <v>0.3005691320308172</v>
      </c>
      <c r="M34" s="326">
        <f>[2]WACC!K45</f>
        <v>5.4454129503831633E-2</v>
      </c>
      <c r="N34" s="327">
        <f>'[2]Cap Ex'!J34</f>
        <v>1.5270189959091154</v>
      </c>
      <c r="O34" s="327">
        <f>[2]PS!E34</f>
        <v>1.2817895482831951</v>
      </c>
      <c r="P34" s="327">
        <f>[2]EVEBITDA!D35</f>
        <v>12.195023515818429</v>
      </c>
      <c r="Q34" s="327">
        <f>[2]EVEBITDA!E35</f>
        <v>16.870712628322</v>
      </c>
      <c r="R34" s="327">
        <f>[2]PBV!C34</f>
        <v>2.2595277045280651</v>
      </c>
      <c r="S34" s="327">
        <f>[2]PE!D34</f>
        <v>69.966723013126767</v>
      </c>
      <c r="T34" s="326">
        <f>'[2]Working capital'!F34</f>
        <v>0.14517355249824865</v>
      </c>
      <c r="U34" s="326">
        <f>'[2]Summary sheet uValue'!G43</f>
        <v>4.9096230468838674E-2</v>
      </c>
      <c r="V34" s="326">
        <f>'[2]Cap Ex'!H34</f>
        <v>3.2607347700619203E-2</v>
      </c>
      <c r="W34" s="326">
        <f>[2]fundgrEB!D34</f>
        <v>1.2140898629975267</v>
      </c>
      <c r="X34" s="326">
        <f>[2]Fundgr!C34</f>
        <v>0.14075971437753482</v>
      </c>
      <c r="Y34" s="326">
        <f>'[2]Dividend fundamentals'!E34</f>
        <v>0.33410327576209758</v>
      </c>
      <c r="Z34" s="326">
        <f>1-[2]Fundgr!D34</f>
        <v>0.33410327576209764</v>
      </c>
      <c r="AA34" s="328">
        <f>[2]Margins!J35</f>
        <v>7.4704714981818451E-2</v>
      </c>
    </row>
    <row r="35" spans="1:27" s="295" customFormat="1">
      <c r="A35" s="325" t="str">
        <f>'[2]Master data'!A35</f>
        <v>Financial Svcs. (Non-bank &amp; Insurance)</v>
      </c>
      <c r="B35" s="143">
        <f>'[2]Master data'!B35</f>
        <v>1102</v>
      </c>
      <c r="C35" s="326">
        <f>'[2]Hist Growth'!D35</f>
        <v>9.0521556802244107E-2</v>
      </c>
      <c r="D35" s="326">
        <f>[2]Margins!F36</f>
        <v>0.10122142177508793</v>
      </c>
      <c r="E35" s="326">
        <f>'[2]Return on capital'!H35</f>
        <v>6.494341693990849E-3</v>
      </c>
      <c r="F35" s="326">
        <f>'[2]Tax rates'!H36</f>
        <v>0.1783198842120734</v>
      </c>
      <c r="G35" s="327">
        <f>[2]Beta!H38</f>
        <v>0.19582219262776895</v>
      </c>
      <c r="H35" s="327">
        <f>[2]Beta!C38</f>
        <v>0.88726391660950987</v>
      </c>
      <c r="I35" s="326">
        <f>[2]WACC!D46</f>
        <v>6.1770082013660223E-2</v>
      </c>
      <c r="J35" s="326">
        <f>[2]optvar!C40</f>
        <v>0.30019307693247255</v>
      </c>
      <c r="K35" s="326">
        <f>[2]WACC!G46</f>
        <v>4.0400000000000005E-2</v>
      </c>
      <c r="L35" s="326">
        <f>'[2]Debt fundamentals'!F35</f>
        <v>0.84185510916957851</v>
      </c>
      <c r="M35" s="326">
        <f>[2]WACC!K46</f>
        <v>3.4916316652523934E-2</v>
      </c>
      <c r="N35" s="327">
        <f>'[2]Cap Ex'!J35</f>
        <v>7.508175306627532E-2</v>
      </c>
      <c r="O35" s="327">
        <f>[2]PS!E35</f>
        <v>15.525622863846257</v>
      </c>
      <c r="P35" s="327">
        <f>[2]EVEBITDA!D36</f>
        <v>74.438384377339901</v>
      </c>
      <c r="Q35" s="327">
        <f>[2]EVEBITDA!E36</f>
        <v>90.515602341506963</v>
      </c>
      <c r="R35" s="327">
        <f>[2]PBV!C35</f>
        <v>1.5075609142929993</v>
      </c>
      <c r="S35" s="327">
        <f>[2]PE!D35</f>
        <v>41.832613835609536</v>
      </c>
      <c r="T35" s="326" t="str">
        <f>'[2]Working capital'!F35</f>
        <v>NA</v>
      </c>
      <c r="U35" s="326">
        <f>'[2]Summary sheet uValue'!G44</f>
        <v>5.2228139761278478E-2</v>
      </c>
      <c r="V35" s="326">
        <f>'[2]Cap Ex'!H35</f>
        <v>6.6354678402591447E-2</v>
      </c>
      <c r="W35" s="326">
        <f>[2]fundgrEB!D35</f>
        <v>0.86419036444801578</v>
      </c>
      <c r="X35" s="326">
        <f>[2]Fundgr!C35</f>
        <v>0.25274874530024904</v>
      </c>
      <c r="Y35" s="326">
        <f>'[2]Dividend fundamentals'!E35</f>
        <v>0.18374390748001143</v>
      </c>
      <c r="Z35" s="326">
        <f>1-[2]Fundgr!D35</f>
        <v>0.18374390748001146</v>
      </c>
      <c r="AA35" s="328">
        <f>[2]Margins!J36</f>
        <v>0.10187205475770066</v>
      </c>
    </row>
    <row r="36" spans="1:27" s="295" customFormat="1">
      <c r="A36" s="325" t="str">
        <f>'[2]Master data'!A36</f>
        <v>Food Processing</v>
      </c>
      <c r="B36" s="143">
        <f>'[2]Master data'!B36</f>
        <v>1377</v>
      </c>
      <c r="C36" s="326">
        <f>'[2]Hist Growth'!D36</f>
        <v>9.1944176954732448E-2</v>
      </c>
      <c r="D36" s="326">
        <f>[2]Margins!F37</f>
        <v>9.2507829483284384E-2</v>
      </c>
      <c r="E36" s="326">
        <f>'[2]Return on capital'!H36</f>
        <v>0.13848942323998401</v>
      </c>
      <c r="F36" s="326">
        <f>'[2]Tax rates'!H37</f>
        <v>0.21726835481707715</v>
      </c>
      <c r="G36" s="327">
        <f>[2]Beta!H39</f>
        <v>0.76854528552256474</v>
      </c>
      <c r="H36" s="327">
        <f>[2]Beta!C39</f>
        <v>0.85901175886229297</v>
      </c>
      <c r="I36" s="326">
        <f>[2]WACC!D47</f>
        <v>6.0284018516156612E-2</v>
      </c>
      <c r="J36" s="326">
        <f>[2]optvar!C41</f>
        <v>0.26793390288893121</v>
      </c>
      <c r="K36" s="326">
        <f>[2]WACC!G47</f>
        <v>4.0400000000000005E-2</v>
      </c>
      <c r="L36" s="326">
        <f>'[2]Debt fundamentals'!F36</f>
        <v>0.19755666465757807</v>
      </c>
      <c r="M36" s="326">
        <f>[2]WACC!K47</f>
        <v>5.4275874159000689E-2</v>
      </c>
      <c r="N36" s="327">
        <f>'[2]Cap Ex'!J36</f>
        <v>1.7623802707398435</v>
      </c>
      <c r="O36" s="327">
        <f>[2]PS!E36</f>
        <v>1.7922021620293849</v>
      </c>
      <c r="P36" s="327">
        <f>[2]EVEBITDA!D37</f>
        <v>13.683796806859831</v>
      </c>
      <c r="Q36" s="327">
        <f>[2]EVEBITDA!E37</f>
        <v>18.945274369533148</v>
      </c>
      <c r="R36" s="327">
        <f>[2]PBV!C36</f>
        <v>2.777528702378818</v>
      </c>
      <c r="S36" s="327">
        <f>[2]PE!D36</f>
        <v>60.041350997522997</v>
      </c>
      <c r="T36" s="326">
        <f>'[2]Working capital'!F36</f>
        <v>0.10013888359708101</v>
      </c>
      <c r="U36" s="326">
        <f>'[2]Summary sheet uValue'!G45</f>
        <v>4.9946401579219091E-2</v>
      </c>
      <c r="V36" s="326">
        <f>'[2]Cap Ex'!H36</f>
        <v>3.9433834241671337E-2</v>
      </c>
      <c r="W36" s="326">
        <f>[2]fundgrEB!D36</f>
        <v>0.71164607179454664</v>
      </c>
      <c r="X36" s="326">
        <f>[2]Fundgr!C36</f>
        <v>0.13577258792645006</v>
      </c>
      <c r="Y36" s="326">
        <f>'[2]Dividend fundamentals'!E36</f>
        <v>0.52014418377656468</v>
      </c>
      <c r="Z36" s="326">
        <f>1-[2]Fundgr!D36</f>
        <v>0.52014418377656468</v>
      </c>
      <c r="AA36" s="328">
        <f>[2]Margins!J37</f>
        <v>9.2632765192477498E-2</v>
      </c>
    </row>
    <row r="37" spans="1:27" s="295" customFormat="1">
      <c r="A37" s="325" t="str">
        <f>'[2]Master data'!A37</f>
        <v>Food Wholesalers</v>
      </c>
      <c r="B37" s="143">
        <f>'[2]Master data'!B37</f>
        <v>160</v>
      </c>
      <c r="C37" s="326">
        <f>'[2]Hist Growth'!D37</f>
        <v>5.1334159292035393E-2</v>
      </c>
      <c r="D37" s="326">
        <f>[2]Margins!F38</f>
        <v>2.2423455166316369E-2</v>
      </c>
      <c r="E37" s="326">
        <f>'[2]Return on capital'!H37</f>
        <v>9.5179563461661634E-2</v>
      </c>
      <c r="F37" s="326">
        <f>'[2]Tax rates'!H38</f>
        <v>0.27010396352213029</v>
      </c>
      <c r="G37" s="327">
        <f>[2]Beta!H40</f>
        <v>0.60329665941670996</v>
      </c>
      <c r="H37" s="327">
        <f>[2]Beta!C40</f>
        <v>0.86239015780395523</v>
      </c>
      <c r="I37" s="326">
        <f>[2]WACC!D48</f>
        <v>6.0461722300488047E-2</v>
      </c>
      <c r="J37" s="326">
        <f>[2]optvar!C42</f>
        <v>0.30063373348634653</v>
      </c>
      <c r="K37" s="326">
        <f>[2]WACC!G48</f>
        <v>4.0400000000000005E-2</v>
      </c>
      <c r="L37" s="326">
        <f>'[2]Debt fundamentals'!F37</f>
        <v>0.42988528840047413</v>
      </c>
      <c r="M37" s="326">
        <f>[2]WACC!K48</f>
        <v>4.7311547534783116E-2</v>
      </c>
      <c r="N37" s="327">
        <f>'[2]Cap Ex'!J37</f>
        <v>5.0516689569151323</v>
      </c>
      <c r="O37" s="327">
        <f>[2]PS!E37</f>
        <v>0.45134129090693709</v>
      </c>
      <c r="P37" s="327">
        <f>[2]EVEBITDA!D38</f>
        <v>11.987032886936621</v>
      </c>
      <c r="Q37" s="327">
        <f>[2]EVEBITDA!E38</f>
        <v>20.291083450973815</v>
      </c>
      <c r="R37" s="327">
        <f>[2]PBV!C37</f>
        <v>2.1487747943860986</v>
      </c>
      <c r="S37" s="327">
        <f>[2]PE!D37</f>
        <v>24.829745209306907</v>
      </c>
      <c r="T37" s="326">
        <f>'[2]Working capital'!F37</f>
        <v>4.7295575323680165E-2</v>
      </c>
      <c r="U37" s="326">
        <f>'[2]Summary sheet uValue'!G46</f>
        <v>1.1201271599336642E-2</v>
      </c>
      <c r="V37" s="326">
        <f>'[2]Cap Ex'!H37</f>
        <v>1.2407395934016071E-2</v>
      </c>
      <c r="W37" s="326">
        <f>[2]fundgrEB!D37</f>
        <v>1.0920850974540295</v>
      </c>
      <c r="X37" s="326">
        <f>[2]Fundgr!C37</f>
        <v>6.4923842770230944E-2</v>
      </c>
      <c r="Y37" s="326">
        <f>'[2]Dividend fundamentals'!E37</f>
        <v>0.90786632704102799</v>
      </c>
      <c r="Z37" s="326">
        <f>1-[2]Fundgr!D37</f>
        <v>0.90786632704102799</v>
      </c>
      <c r="AA37" s="328">
        <f>[2]Margins!J38</f>
        <v>2.2045808747212278E-2</v>
      </c>
    </row>
    <row r="38" spans="1:27" s="295" customFormat="1">
      <c r="A38" s="325" t="str">
        <f>'[2]Master data'!A38</f>
        <v>Furn/Home Furnishings</v>
      </c>
      <c r="B38" s="143">
        <f>'[2]Master data'!B38</f>
        <v>359</v>
      </c>
      <c r="C38" s="326">
        <f>'[2]Hist Growth'!D38</f>
        <v>9.0682851239669432E-2</v>
      </c>
      <c r="D38" s="326">
        <f>[2]Margins!F39</f>
        <v>8.9905668708503556E-2</v>
      </c>
      <c r="E38" s="326">
        <f>'[2]Return on capital'!H38</f>
        <v>0.21756356586507522</v>
      </c>
      <c r="F38" s="326">
        <f>'[2]Tax rates'!H39</f>
        <v>0.17806765993893084</v>
      </c>
      <c r="G38" s="327">
        <f>[2]Beta!H41</f>
        <v>1.1457281960478736</v>
      </c>
      <c r="H38" s="327">
        <f>[2]Beta!C41</f>
        <v>1.1395130724062112</v>
      </c>
      <c r="I38" s="326">
        <f>[2]WACC!D49</f>
        <v>7.5038387608566709E-2</v>
      </c>
      <c r="J38" s="326">
        <f>[2]optvar!C43</f>
        <v>0.29080939116828763</v>
      </c>
      <c r="K38" s="326">
        <f>[2]WACC!G49</f>
        <v>4.0400000000000005E-2</v>
      </c>
      <c r="L38" s="326">
        <f>'[2]Debt fundamentals'!F38</f>
        <v>0.15642372662573115</v>
      </c>
      <c r="M38" s="326">
        <f>[2]WACC!K49</f>
        <v>6.7973255398918062E-2</v>
      </c>
      <c r="N38" s="327">
        <f>'[2]Cap Ex'!J38</f>
        <v>2.7324434819828336</v>
      </c>
      <c r="O38" s="327">
        <f>[2]PS!E38</f>
        <v>1.3898008184340895</v>
      </c>
      <c r="P38" s="327">
        <f>[2]EVEBITDA!D39</f>
        <v>11.630750352376241</v>
      </c>
      <c r="Q38" s="327">
        <f>[2]EVEBITDA!E39</f>
        <v>15.129473944656953</v>
      </c>
      <c r="R38" s="327">
        <f>[2]PBV!C38</f>
        <v>3.2802755757506965</v>
      </c>
      <c r="S38" s="327">
        <f>[2]PE!D38</f>
        <v>27.380008907253085</v>
      </c>
      <c r="T38" s="326">
        <f>'[2]Working capital'!F38</f>
        <v>4.1233079861456516E-2</v>
      </c>
      <c r="U38" s="326">
        <f>'[2]Summary sheet uValue'!G47</f>
        <v>3.3146871685441733E-2</v>
      </c>
      <c r="V38" s="326">
        <f>'[2]Cap Ex'!H38</f>
        <v>2.4921896152994241E-2</v>
      </c>
      <c r="W38" s="326">
        <f>[2]fundgrEB!D38</f>
        <v>0.50491064562710208</v>
      </c>
      <c r="X38" s="326">
        <f>[2]Fundgr!C38</f>
        <v>0.20629354221873236</v>
      </c>
      <c r="Y38" s="326">
        <f>'[2]Dividend fundamentals'!E38</f>
        <v>0.46212509143471969</v>
      </c>
      <c r="Z38" s="326">
        <f>1-[2]Fundgr!D38</f>
        <v>0.46212509143471969</v>
      </c>
      <c r="AA38" s="328">
        <f>[2]Margins!J39</f>
        <v>9.4045055410194603E-2</v>
      </c>
    </row>
    <row r="39" spans="1:27" s="295" customFormat="1">
      <c r="A39" s="325" t="str">
        <f>'[2]Master data'!A39</f>
        <v>Green &amp; Renewable Energy</v>
      </c>
      <c r="B39" s="143">
        <f>'[2]Master data'!B39</f>
        <v>239</v>
      </c>
      <c r="C39" s="326">
        <f>'[2]Hist Growth'!D39</f>
        <v>0.16406504273504274</v>
      </c>
      <c r="D39" s="326">
        <f>[2]Margins!F40</f>
        <v>0.33485860381153659</v>
      </c>
      <c r="E39" s="326">
        <f>'[2]Return on capital'!H39</f>
        <v>8.0323422894788152E-2</v>
      </c>
      <c r="F39" s="326">
        <f>'[2]Tax rates'!H40</f>
        <v>0.16741123851353215</v>
      </c>
      <c r="G39" s="327">
        <f>[2]Beta!H42</f>
        <v>0.75935312277806988</v>
      </c>
      <c r="H39" s="327">
        <f>[2]Beta!C42</f>
        <v>1.0068129993888768</v>
      </c>
      <c r="I39" s="326">
        <f>[2]WACC!D50</f>
        <v>6.8058363767854915E-2</v>
      </c>
      <c r="J39" s="326">
        <f>[2]optvar!C44</f>
        <v>0.32660373761800232</v>
      </c>
      <c r="K39" s="326">
        <f>[2]WACC!G50</f>
        <v>4.0400000000000005E-2</v>
      </c>
      <c r="L39" s="326">
        <f>'[2]Debt fundamentals'!F39</f>
        <v>0.34120318264076577</v>
      </c>
      <c r="M39" s="326">
        <f>[2]WACC!K50</f>
        <v>5.5028973028020955E-2</v>
      </c>
      <c r="N39" s="327">
        <f>'[2]Cap Ex'!J39</f>
        <v>0.26623388747483401</v>
      </c>
      <c r="O39" s="327">
        <f>[2]PS!E39</f>
        <v>8.809196180659864</v>
      </c>
      <c r="P39" s="327">
        <f>[2]EVEBITDA!D40</f>
        <v>15.851426849329581</v>
      </c>
      <c r="Q39" s="327">
        <f>[2]EVEBITDA!E40</f>
        <v>25.654561215721618</v>
      </c>
      <c r="R39" s="327">
        <f>[2]PBV!C39</f>
        <v>2.3456024459244982</v>
      </c>
      <c r="S39" s="327">
        <f>[2]PE!D39</f>
        <v>91.992263825632378</v>
      </c>
      <c r="T39" s="326">
        <f>'[2]Working capital'!F39</f>
        <v>6.9564124617874604E-2</v>
      </c>
      <c r="U39" s="326">
        <f>'[2]Summary sheet uValue'!G48</f>
        <v>0.36688342795756146</v>
      </c>
      <c r="V39" s="326">
        <f>'[2]Cap Ex'!H39</f>
        <v>0.25434296265623013</v>
      </c>
      <c r="W39" s="326">
        <f>[2]fundgrEB!D39</f>
        <v>1.0930763760367519</v>
      </c>
      <c r="X39" s="326">
        <f>[2]Fundgr!C39</f>
        <v>0.10262739570706697</v>
      </c>
      <c r="Y39" s="326">
        <f>'[2]Dividend fundamentals'!E39</f>
        <v>0.85600493602504069</v>
      </c>
      <c r="Z39" s="326">
        <f>1-[2]Fundgr!D39</f>
        <v>0.85600493602504069</v>
      </c>
      <c r="AA39" s="328">
        <f>[2]Margins!J40</f>
        <v>0.33431352752227683</v>
      </c>
    </row>
    <row r="40" spans="1:27" s="295" customFormat="1">
      <c r="A40" s="325" t="str">
        <f>'[2]Master data'!A40</f>
        <v>Healthcare Products</v>
      </c>
      <c r="B40" s="143">
        <f>'[2]Master data'!B40</f>
        <v>852</v>
      </c>
      <c r="C40" s="326">
        <f>'[2]Hist Growth'!D40</f>
        <v>0.16028147505422979</v>
      </c>
      <c r="D40" s="326">
        <f>[2]Margins!F41</f>
        <v>0.19025008974563362</v>
      </c>
      <c r="E40" s="326">
        <f>'[2]Return on capital'!H40</f>
        <v>0.19210001653794134</v>
      </c>
      <c r="F40" s="326">
        <f>'[2]Tax rates'!H41</f>
        <v>0.16428534078844037</v>
      </c>
      <c r="G40" s="327">
        <f>[2]Beta!H43</f>
        <v>1.0051575839883573</v>
      </c>
      <c r="H40" s="327">
        <f>[2]Beta!C43</f>
        <v>1.0301404336488462</v>
      </c>
      <c r="I40" s="326">
        <f>[2]WACC!D51</f>
        <v>6.9285386809929309E-2</v>
      </c>
      <c r="J40" s="326">
        <f>[2]optvar!C45</f>
        <v>0.38064552223813131</v>
      </c>
      <c r="K40" s="326">
        <f>[2]WACC!G51</f>
        <v>4.0400000000000005E-2</v>
      </c>
      <c r="L40" s="326">
        <f>'[2]Debt fundamentals'!F40</f>
        <v>8.1902119474818916E-2</v>
      </c>
      <c r="M40" s="326">
        <f>[2]WACC!K51</f>
        <v>6.6057327238006558E-2</v>
      </c>
      <c r="N40" s="327">
        <f>'[2]Cap Ex'!J40</f>
        <v>1.045846161111043</v>
      </c>
      <c r="O40" s="327">
        <f>[2]PS!E40</f>
        <v>5.8873251336520092</v>
      </c>
      <c r="P40" s="327">
        <f>[2]EVEBITDA!D41</f>
        <v>20.974162855630631</v>
      </c>
      <c r="Q40" s="327">
        <f>[2]EVEBITDA!E41</f>
        <v>29.462330760705751</v>
      </c>
      <c r="R40" s="327">
        <f>[2]PBV!C40</f>
        <v>5.3094279630193961</v>
      </c>
      <c r="S40" s="327">
        <f>[2]PE!D40</f>
        <v>83.312954395333051</v>
      </c>
      <c r="T40" s="326">
        <f>'[2]Working capital'!F40</f>
        <v>0.22638896276122888</v>
      </c>
      <c r="U40" s="326">
        <f>'[2]Summary sheet uValue'!G49</f>
        <v>5.6650907968019706E-2</v>
      </c>
      <c r="V40" s="326">
        <f>'[2]Cap Ex'!H40</f>
        <v>9.7684912210769165E-2</v>
      </c>
      <c r="W40" s="326">
        <f>[2]fundgrEB!D40</f>
        <v>0.67700659651902129</v>
      </c>
      <c r="X40" s="326">
        <f>[2]Fundgr!C40</f>
        <v>0.16348558040316163</v>
      </c>
      <c r="Y40" s="326">
        <f>'[2]Dividend fundamentals'!E40</f>
        <v>0.30021478945389152</v>
      </c>
      <c r="Z40" s="326">
        <f>1-[2]Fundgr!D40</f>
        <v>0.30021478945389157</v>
      </c>
      <c r="AA40" s="328">
        <f>[2]Margins!J41</f>
        <v>0.19822071574785446</v>
      </c>
    </row>
    <row r="41" spans="1:27" s="295" customFormat="1">
      <c r="A41" s="325" t="str">
        <f>'[2]Master data'!A41</f>
        <v>Healthcare Support Services</v>
      </c>
      <c r="B41" s="143">
        <f>'[2]Master data'!B41</f>
        <v>445</v>
      </c>
      <c r="C41" s="326">
        <f>'[2]Hist Growth'!D41</f>
        <v>0.16206891666666667</v>
      </c>
      <c r="D41" s="326">
        <f>[2]Margins!F42</f>
        <v>4.4395081437957666E-2</v>
      </c>
      <c r="E41" s="326">
        <f>'[2]Return on capital'!H41</f>
        <v>0.24919345921300695</v>
      </c>
      <c r="F41" s="326">
        <f>'[2]Tax rates'!H42</f>
        <v>0.23040841393078956</v>
      </c>
      <c r="G41" s="327">
        <f>[2]Beta!H44</f>
        <v>0.85329632981670023</v>
      </c>
      <c r="H41" s="327">
        <f>[2]Beta!C44</f>
        <v>0.95979934346112317</v>
      </c>
      <c r="I41" s="326">
        <f>[2]WACC!D52</f>
        <v>6.5585445466055076E-2</v>
      </c>
      <c r="J41" s="326">
        <f>[2]optvar!C46</f>
        <v>0.34694683304355656</v>
      </c>
      <c r="K41" s="326">
        <f>[2]WACC!G52</f>
        <v>4.0400000000000005E-2</v>
      </c>
      <c r="L41" s="326">
        <f>'[2]Debt fundamentals'!F41</f>
        <v>0.21566846091516509</v>
      </c>
      <c r="M41" s="326">
        <f>[2]WACC!K52</f>
        <v>5.7883129887982679E-2</v>
      </c>
      <c r="N41" s="327">
        <f>'[2]Cap Ex'!J41</f>
        <v>6.6359755423643216</v>
      </c>
      <c r="O41" s="327">
        <f>[2]PS!E41</f>
        <v>0.78438687245522654</v>
      </c>
      <c r="P41" s="327">
        <f>[2]EVEBITDA!D42</f>
        <v>12.683038881189368</v>
      </c>
      <c r="Q41" s="327">
        <f>[2]EVEBITDA!E42</f>
        <v>17.286713411675677</v>
      </c>
      <c r="R41" s="327">
        <f>[2]PBV!C41</f>
        <v>2.9963846665714424</v>
      </c>
      <c r="S41" s="327">
        <f>[2]PE!D41</f>
        <v>36.261575321312513</v>
      </c>
      <c r="T41" s="326">
        <f>'[2]Working capital'!F41</f>
        <v>-2.2411236119977019E-2</v>
      </c>
      <c r="U41" s="326">
        <f>'[2]Summary sheet uValue'!G50</f>
        <v>9.6066960026611713E-3</v>
      </c>
      <c r="V41" s="326">
        <f>'[2]Cap Ex'!H41</f>
        <v>1.5410618551876044E-2</v>
      </c>
      <c r="W41" s="326">
        <f>[2]fundgrEB!D41</f>
        <v>0.55202368639829058</v>
      </c>
      <c r="X41" s="326">
        <f>[2]Fundgr!C41</f>
        <v>0.13342208845949446</v>
      </c>
      <c r="Y41" s="326">
        <f>'[2]Dividend fundamentals'!E41</f>
        <v>0.30618596123649655</v>
      </c>
      <c r="Z41" s="326">
        <f>1-[2]Fundgr!D41</f>
        <v>0.30618596123649655</v>
      </c>
      <c r="AA41" s="328">
        <f>[2]Margins!J42</f>
        <v>4.3754328185521087E-2</v>
      </c>
    </row>
    <row r="42" spans="1:27" s="295" customFormat="1">
      <c r="A42" s="325" t="str">
        <f>'[2]Master data'!A42</f>
        <v>Heathcare Information and Technology</v>
      </c>
      <c r="B42" s="143">
        <f>'[2]Master data'!B42</f>
        <v>455</v>
      </c>
      <c r="C42" s="326">
        <f>'[2]Hist Growth'!D42</f>
        <v>0.1606727027027027</v>
      </c>
      <c r="D42" s="326">
        <f>[2]Margins!F43</f>
        <v>0.17381307091319981</v>
      </c>
      <c r="E42" s="326">
        <f>'[2]Return on capital'!H42</f>
        <v>0.20984981226427121</v>
      </c>
      <c r="F42" s="326">
        <f>'[2]Tax rates'!H43</f>
        <v>0.1766586482025187</v>
      </c>
      <c r="G42" s="327">
        <f>[2]Beta!H45</f>
        <v>1.0306863148100875</v>
      </c>
      <c r="H42" s="327">
        <f>[2]Beta!C45</f>
        <v>1.0555863294466588</v>
      </c>
      <c r="I42" s="326">
        <f>[2]WACC!D53</f>
        <v>7.0623840928894246E-2</v>
      </c>
      <c r="J42" s="326">
        <f>[2]optvar!C47</f>
        <v>0.39543370018699597</v>
      </c>
      <c r="K42" s="326">
        <f>[2]WACC!G53</f>
        <v>4.0400000000000005E-2</v>
      </c>
      <c r="L42" s="326">
        <f>'[2]Debt fundamentals'!F42</f>
        <v>7.4148996004438195E-2</v>
      </c>
      <c r="M42" s="326">
        <f>[2]WACC!K53</f>
        <v>6.760211504292514E-2</v>
      </c>
      <c r="N42" s="327">
        <f>'[2]Cap Ex'!J42</f>
        <v>1.205045287274372</v>
      </c>
      <c r="O42" s="327">
        <f>[2]PS!E42</f>
        <v>8.3996160075102217</v>
      </c>
      <c r="P42" s="327">
        <f>[2]EVEBITDA!D43</f>
        <v>29.037617408711874</v>
      </c>
      <c r="Q42" s="327">
        <f>[2]EVEBITDA!E43</f>
        <v>44.273563654407788</v>
      </c>
      <c r="R42" s="327">
        <f>[2]PBV!C42</f>
        <v>6.312636611473077</v>
      </c>
      <c r="S42" s="327">
        <f>[2]PE!D42</f>
        <v>83.593211510743629</v>
      </c>
      <c r="T42" s="326">
        <f>'[2]Working capital'!F42</f>
        <v>0.20638723073041182</v>
      </c>
      <c r="U42" s="326">
        <f>'[2]Summary sheet uValue'!G51</f>
        <v>6.6078825855740167E-2</v>
      </c>
      <c r="V42" s="326">
        <f>'[2]Cap Ex'!H42</f>
        <v>0.18777212825730508</v>
      </c>
      <c r="W42" s="326">
        <f>[2]fundgrEB!D42</f>
        <v>1.5091689507753934</v>
      </c>
      <c r="X42" s="326">
        <f>[2]Fundgr!C42</f>
        <v>0.17999214051230031</v>
      </c>
      <c r="Y42" s="326">
        <f>'[2]Dividend fundamentals'!E42</f>
        <v>9.0694295153718699E-2</v>
      </c>
      <c r="Z42" s="326">
        <f>1-[2]Fundgr!D42</f>
        <v>9.069429515371874E-2</v>
      </c>
      <c r="AA42" s="328">
        <f>[2]Margins!J43</f>
        <v>0.18608751855927419</v>
      </c>
    </row>
    <row r="43" spans="1:27" s="295" customFormat="1">
      <c r="A43" s="325" t="str">
        <f>'[2]Master data'!A43</f>
        <v>Homebuilding</v>
      </c>
      <c r="B43" s="143">
        <f>'[2]Master data'!B43</f>
        <v>168</v>
      </c>
      <c r="C43" s="326">
        <f>'[2]Hist Growth'!D43</f>
        <v>0.11534844444444445</v>
      </c>
      <c r="D43" s="326">
        <f>[2]Margins!F44</f>
        <v>0.13695530015327942</v>
      </c>
      <c r="E43" s="326">
        <f>'[2]Return on capital'!H43</f>
        <v>0.14905985280337444</v>
      </c>
      <c r="F43" s="326">
        <f>'[2]Tax rates'!H44</f>
        <v>0.23025574141812541</v>
      </c>
      <c r="G43" s="327">
        <f>[2]Beta!H46</f>
        <v>1.368027254719254</v>
      </c>
      <c r="H43" s="327">
        <f>[2]Beta!C46</f>
        <v>1.476145403262775</v>
      </c>
      <c r="I43" s="326">
        <f>[2]WACC!D54</f>
        <v>9.2745248211621972E-2</v>
      </c>
      <c r="J43" s="326">
        <f>[2]optvar!C48</f>
        <v>0.29332300045496484</v>
      </c>
      <c r="K43" s="326">
        <f>[2]WACC!G54</f>
        <v>4.0400000000000005E-2</v>
      </c>
      <c r="L43" s="326">
        <f>'[2]Debt fundamentals'!F43</f>
        <v>0.24711971203415931</v>
      </c>
      <c r="M43" s="326">
        <f>[2]WACC!K54</f>
        <v>7.7207969910182847E-2</v>
      </c>
      <c r="N43" s="327">
        <f>'[2]Cap Ex'!J43</f>
        <v>1.460552948962565</v>
      </c>
      <c r="O43" s="327">
        <f>[2]PS!E43</f>
        <v>1.2258580817257214</v>
      </c>
      <c r="P43" s="327">
        <f>[2]EVEBITDA!D44</f>
        <v>8.0277362039837303</v>
      </c>
      <c r="Q43" s="327">
        <f>[2]EVEBITDA!E44</f>
        <v>9.4614721595697659</v>
      </c>
      <c r="R43" s="327">
        <f>[2]PBV!C43</f>
        <v>1.7493101173379435</v>
      </c>
      <c r="S43" s="327">
        <f>[2]PE!D43</f>
        <v>17.031568743714882</v>
      </c>
      <c r="T43" s="326">
        <f>'[2]Working capital'!F43</f>
        <v>0.57091637826142583</v>
      </c>
      <c r="U43" s="326">
        <f>'[2]Summary sheet uValue'!G52</f>
        <v>8.8386329782231265E-3</v>
      </c>
      <c r="V43" s="326">
        <f>'[2]Cap Ex'!H43</f>
        <v>5.5436818757800353E-3</v>
      </c>
      <c r="W43" s="326">
        <f>[2]fundgrEB!D43</f>
        <v>0.34344940757981385</v>
      </c>
      <c r="X43" s="326">
        <f>[2]Fundgr!C43</f>
        <v>0.19815443637580782</v>
      </c>
      <c r="Y43" s="326">
        <f>'[2]Dividend fundamentals'!E43</f>
        <v>0.19560066340798207</v>
      </c>
      <c r="Z43" s="326">
        <f>1-[2]Fundgr!D43</f>
        <v>0.1956006634079821</v>
      </c>
      <c r="AA43" s="328">
        <f>[2]Margins!J44</f>
        <v>0.12846761573327145</v>
      </c>
    </row>
    <row r="44" spans="1:27" s="295" customFormat="1">
      <c r="A44" s="325" t="str">
        <f>'[2]Master data'!A44</f>
        <v>Hospitals/Healthcare Facilities</v>
      </c>
      <c r="B44" s="143">
        <f>'[2]Master data'!B44</f>
        <v>223</v>
      </c>
      <c r="C44" s="326">
        <f>'[2]Hist Growth'!D44</f>
        <v>8.7154090909090889E-2</v>
      </c>
      <c r="D44" s="326">
        <f>[2]Margins!F45</f>
        <v>0.11343134381426492</v>
      </c>
      <c r="E44" s="326">
        <f>'[2]Return on capital'!H44</f>
        <v>0.12182006499456502</v>
      </c>
      <c r="F44" s="326">
        <f>'[2]Tax rates'!H45</f>
        <v>0.20553354676893074</v>
      </c>
      <c r="G44" s="327">
        <f>[2]Beta!H47</f>
        <v>0.73665306606193837</v>
      </c>
      <c r="H44" s="327">
        <f>[2]Beta!C47</f>
        <v>0.96212156591146858</v>
      </c>
      <c r="I44" s="326">
        <f>[2]WACC!D55</f>
        <v>6.5707594366943248E-2</v>
      </c>
      <c r="J44" s="326">
        <f>[2]optvar!C49</f>
        <v>0.29027230215713185</v>
      </c>
      <c r="K44" s="326">
        <f>[2]WACC!G55</f>
        <v>4.0400000000000005E-2</v>
      </c>
      <c r="L44" s="326">
        <f>'[2]Debt fundamentals'!F44</f>
        <v>0.32765209380750854</v>
      </c>
      <c r="M44" s="326">
        <f>[2]WACC!K55</f>
        <v>5.3965908203275223E-2</v>
      </c>
      <c r="N44" s="327">
        <f>'[2]Cap Ex'!J44</f>
        <v>1.3074735160759832</v>
      </c>
      <c r="O44" s="327">
        <f>[2]PS!E44</f>
        <v>2.43650061047884</v>
      </c>
      <c r="P44" s="327">
        <f>[2]EVEBITDA!D45</f>
        <v>13.521539434541531</v>
      </c>
      <c r="Q44" s="327">
        <f>[2]EVEBITDA!E45</f>
        <v>21.500034073890415</v>
      </c>
      <c r="R44" s="327">
        <f>[2]PBV!C44</f>
        <v>3.8930699045382111</v>
      </c>
      <c r="S44" s="327">
        <f>[2]PE!D44</f>
        <v>96.230219276041964</v>
      </c>
      <c r="T44" s="326">
        <f>'[2]Working capital'!F44</f>
        <v>9.3346130447391776E-2</v>
      </c>
      <c r="U44" s="326">
        <f>'[2]Summary sheet uValue'!G53</f>
        <v>6.4788471197078881E-2</v>
      </c>
      <c r="V44" s="326">
        <f>'[2]Cap Ex'!H44</f>
        <v>3.7465617423834127E-2</v>
      </c>
      <c r="W44" s="326">
        <f>[2]fundgrEB!D44</f>
        <v>0.579658672600458</v>
      </c>
      <c r="X44" s="326">
        <f>[2]Fundgr!C44</f>
        <v>0.21110755217561589</v>
      </c>
      <c r="Y44" s="326">
        <f>'[2]Dividend fundamentals'!E44</f>
        <v>0.24127923443314667</v>
      </c>
      <c r="Z44" s="326">
        <f>1-[2]Fundgr!D44</f>
        <v>0.24127923443314669</v>
      </c>
      <c r="AA44" s="328">
        <f>[2]Margins!J45</f>
        <v>0.11073854379407713</v>
      </c>
    </row>
    <row r="45" spans="1:27" s="295" customFormat="1">
      <c r="A45" s="325" t="str">
        <f>'[2]Master data'!A45</f>
        <v>Hotel/Gaming</v>
      </c>
      <c r="B45" s="143">
        <f>'[2]Master data'!B45</f>
        <v>654</v>
      </c>
      <c r="C45" s="326">
        <f>'[2]Hist Growth'!D45</f>
        <v>-9.0182071129707067E-2</v>
      </c>
      <c r="D45" s="326">
        <f>[2]Margins!F46</f>
        <v>-7.9822063960307013E-2</v>
      </c>
      <c r="E45" s="326">
        <f>'[2]Return on capital'!H45</f>
        <v>-3.5040177148339138E-2</v>
      </c>
      <c r="F45" s="326">
        <f>'[2]Tax rates'!H46</f>
        <v>0.27210723698663464</v>
      </c>
      <c r="G45" s="327">
        <f>[2]Beta!H48</f>
        <v>0.94951878748207741</v>
      </c>
      <c r="H45" s="327">
        <f>[2]Beta!C48</f>
        <v>1.1943470018727957</v>
      </c>
      <c r="I45" s="326">
        <f>[2]WACC!D56</f>
        <v>7.792265229850906E-2</v>
      </c>
      <c r="J45" s="326">
        <f>[2]optvar!C50</f>
        <v>0.32251873567478789</v>
      </c>
      <c r="K45" s="326">
        <f>[2]WACC!G56</f>
        <v>4.0400000000000005E-2</v>
      </c>
      <c r="L45" s="326">
        <f>'[2]Debt fundamentals'!F45</f>
        <v>0.32894124607864822</v>
      </c>
      <c r="M45" s="326">
        <f>[2]WACC!K56</f>
        <v>6.2116731910646567E-2</v>
      </c>
      <c r="N45" s="327">
        <f>'[2]Cap Ex'!J45</f>
        <v>0.3889305155506233</v>
      </c>
      <c r="O45" s="327">
        <f>[2]PS!E45</f>
        <v>6.5791040682098654</v>
      </c>
      <c r="P45" s="327">
        <f>[2]EVEBITDA!D46</f>
        <v>24.713120821199254</v>
      </c>
      <c r="Q45" s="327" t="str">
        <f>[2]EVEBITDA!E46</f>
        <v>NA</v>
      </c>
      <c r="R45" s="327">
        <f>[2]PBV!C45</f>
        <v>3.36267049568557</v>
      </c>
      <c r="S45" s="327">
        <f>[2]PE!D45</f>
        <v>160.44166198403192</v>
      </c>
      <c r="T45" s="326">
        <f>'[2]Working capital'!F45</f>
        <v>5.0054465886560286E-3</v>
      </c>
      <c r="U45" s="326">
        <f>'[2]Summary sheet uValue'!G54</f>
        <v>0.1045201553250201</v>
      </c>
      <c r="V45" s="326">
        <f>'[2]Cap Ex'!H45</f>
        <v>8.1575691891312072E-3</v>
      </c>
      <c r="W45" s="326" t="str">
        <f>[2]fundgrEB!D45</f>
        <v>NA</v>
      </c>
      <c r="X45" s="326">
        <f>[2]Fundgr!C45</f>
        <v>-0.16374474417089072</v>
      </c>
      <c r="Y45" s="326">
        <f>'[2]Dividend fundamentals'!E45</f>
        <v>5.8710508421209884E-3</v>
      </c>
      <c r="Z45" s="326">
        <f>1-[2]Fundgr!D45</f>
        <v>5.8710508421210283E-3</v>
      </c>
      <c r="AA45" s="328">
        <f>[2]Margins!J46</f>
        <v>-9.5988581967106038E-2</v>
      </c>
    </row>
    <row r="46" spans="1:27" s="295" customFormat="1">
      <c r="A46" s="325" t="str">
        <f>'[2]Master data'!A46</f>
        <v>Household Products</v>
      </c>
      <c r="B46" s="143">
        <f>'[2]Master data'!B46</f>
        <v>575</v>
      </c>
      <c r="C46" s="326">
        <f>'[2]Hist Growth'!D46</f>
        <v>4.7499704142011802E-2</v>
      </c>
      <c r="D46" s="326">
        <f>[2]Margins!F47</f>
        <v>0.15724662490610716</v>
      </c>
      <c r="E46" s="326">
        <f>'[2]Return on capital'!H46</f>
        <v>0.2508846226966272</v>
      </c>
      <c r="F46" s="326">
        <f>'[2]Tax rates'!H47</f>
        <v>0.22462842282232912</v>
      </c>
      <c r="G46" s="327">
        <f>[2]Beta!H49</f>
        <v>0.99751608543687065</v>
      </c>
      <c r="H46" s="327">
        <f>[2]Beta!C49</f>
        <v>1.0408450273415879</v>
      </c>
      <c r="I46" s="326">
        <f>[2]WACC!D57</f>
        <v>6.9848448438167524E-2</v>
      </c>
      <c r="J46" s="326">
        <f>[2]optvar!C51</f>
        <v>0.35715395652297538</v>
      </c>
      <c r="K46" s="326">
        <f>[2]WACC!G57</f>
        <v>4.0400000000000005E-2</v>
      </c>
      <c r="L46" s="326">
        <f>'[2]Debt fundamentals'!F46</f>
        <v>9.9509529044573511E-2</v>
      </c>
      <c r="M46" s="326">
        <f>[2]WACC!K57</f>
        <v>6.5870386998923822E-2</v>
      </c>
      <c r="N46" s="327">
        <f>'[2]Cap Ex'!J46</f>
        <v>1.8031128111662535</v>
      </c>
      <c r="O46" s="327">
        <f>[2]PS!E46</f>
        <v>3.8212465840541205</v>
      </c>
      <c r="P46" s="327">
        <f>[2]EVEBITDA!D47</f>
        <v>18.809151449521931</v>
      </c>
      <c r="Q46" s="327">
        <f>[2]EVEBITDA!E47</f>
        <v>23.975516469319455</v>
      </c>
      <c r="R46" s="327">
        <f>[2]PBV!C46</f>
        <v>6.379171582754295</v>
      </c>
      <c r="S46" s="327">
        <f>[2]PE!D46</f>
        <v>49.077378872401972</v>
      </c>
      <c r="T46" s="326">
        <f>'[2]Working capital'!F46</f>
        <v>5.7872513269314425E-2</v>
      </c>
      <c r="U46" s="326">
        <f>'[2]Summary sheet uValue'!G55</f>
        <v>3.5736811720194404E-2</v>
      </c>
      <c r="V46" s="326">
        <f>'[2]Cap Ex'!H46</f>
        <v>2.1690463776742441E-2</v>
      </c>
      <c r="W46" s="326">
        <f>[2]fundgrEB!D46</f>
        <v>0.18817924644022216</v>
      </c>
      <c r="X46" s="326">
        <f>[2]Fundgr!C46</f>
        <v>0.19055253540112985</v>
      </c>
      <c r="Y46" s="326">
        <f>'[2]Dividend fundamentals'!E46</f>
        <v>0.74614160062357071</v>
      </c>
      <c r="Z46" s="326">
        <f>1-[2]Fundgr!D46</f>
        <v>0.74614160062357071</v>
      </c>
      <c r="AA46" s="328">
        <f>[2]Margins!J47</f>
        <v>0.15811030142076848</v>
      </c>
    </row>
    <row r="47" spans="1:27" s="295" customFormat="1">
      <c r="A47" s="325" t="str">
        <f>'[2]Master data'!A47</f>
        <v>Information Services</v>
      </c>
      <c r="B47" s="143">
        <f>'[2]Master data'!B47</f>
        <v>266</v>
      </c>
      <c r="C47" s="326">
        <f>'[2]Hist Growth'!D47</f>
        <v>0.11343000000000003</v>
      </c>
      <c r="D47" s="326">
        <f>[2]Margins!F48</f>
        <v>0.20227117739607817</v>
      </c>
      <c r="E47" s="326">
        <f>'[2]Return on capital'!H47</f>
        <v>0.26041659331316175</v>
      </c>
      <c r="F47" s="326">
        <f>'[2]Tax rates'!H48</f>
        <v>0.19744640308993899</v>
      </c>
      <c r="G47" s="327">
        <f>[2]Beta!H50</f>
        <v>1.2268646174350117</v>
      </c>
      <c r="H47" s="327">
        <f>[2]Beta!C50</f>
        <v>1.2675474876977695</v>
      </c>
      <c r="I47" s="326">
        <f>[2]WACC!D58</f>
        <v>8.1772997852902679E-2</v>
      </c>
      <c r="J47" s="326">
        <f>[2]optvar!C52</f>
        <v>0.39747089362656346</v>
      </c>
      <c r="K47" s="326">
        <f>[2]WACC!G58</f>
        <v>4.0400000000000005E-2</v>
      </c>
      <c r="L47" s="326">
        <f>'[2]Debt fundamentals'!F47</f>
        <v>9.7074352439888809E-2</v>
      </c>
      <c r="M47" s="326">
        <f>[2]WACC!K58</f>
        <v>7.6734718797503515E-2</v>
      </c>
      <c r="N47" s="327">
        <f>'[2]Cap Ex'!J47</f>
        <v>1.4718132745855532</v>
      </c>
      <c r="O47" s="327">
        <f>[2]PS!E47</f>
        <v>7.9224235893376189</v>
      </c>
      <c r="P47" s="327">
        <f>[2]EVEBITDA!D48</f>
        <v>26.303378473648436</v>
      </c>
      <c r="Q47" s="327">
        <f>[2]EVEBITDA!E48</f>
        <v>36.67215216232848</v>
      </c>
      <c r="R47" s="327">
        <f>[2]PBV!C47</f>
        <v>7.2424253866102637</v>
      </c>
      <c r="S47" s="327">
        <f>[2]PE!D47</f>
        <v>84.273662282186663</v>
      </c>
      <c r="T47" s="326">
        <f>'[2]Working capital'!F47</f>
        <v>2.9300214371262769E-2</v>
      </c>
      <c r="U47" s="326">
        <f>'[2]Summary sheet uValue'!G56</f>
        <v>2.8072800633464363E-2</v>
      </c>
      <c r="V47" s="326">
        <f>'[2]Cap Ex'!H47</f>
        <v>4.094854330100154E-2</v>
      </c>
      <c r="W47" s="326">
        <f>[2]fundgrEB!D47</f>
        <v>0.38855400092192804</v>
      </c>
      <c r="X47" s="326">
        <f>[2]Fundgr!C47</f>
        <v>0.15923208270441835</v>
      </c>
      <c r="Y47" s="326">
        <f>'[2]Dividend fundamentals'!E47</f>
        <v>0.29262517863539789</v>
      </c>
      <c r="Z47" s="326">
        <f>1-[2]Fundgr!D47</f>
        <v>0.29262517863539794</v>
      </c>
      <c r="AA47" s="328">
        <f>[2]Margins!J48</f>
        <v>0.20606872234060128</v>
      </c>
    </row>
    <row r="48" spans="1:27" s="295" customFormat="1">
      <c r="A48" s="325" t="str">
        <f>'[2]Master data'!A48</f>
        <v>Insurance (General)</v>
      </c>
      <c r="B48" s="143">
        <f>'[2]Master data'!B48</f>
        <v>215</v>
      </c>
      <c r="C48" s="326">
        <f>'[2]Hist Growth'!D48</f>
        <v>6.4144114285714315E-2</v>
      </c>
      <c r="D48" s="326">
        <f>[2]Margins!F49</f>
        <v>0.10323909742110052</v>
      </c>
      <c r="E48" s="326">
        <f>'[2]Return on capital'!H48</f>
        <v>0.14195024341640516</v>
      </c>
      <c r="F48" s="326">
        <f>'[2]Tax rates'!H49</f>
        <v>0.22637872970427766</v>
      </c>
      <c r="G48" s="327">
        <f>[2]Beta!H51</f>
        <v>0.71775891829904104</v>
      </c>
      <c r="H48" s="327">
        <f>[2]Beta!C51</f>
        <v>0.78420994564249957</v>
      </c>
      <c r="I48" s="326">
        <f>[2]WACC!D59</f>
        <v>5.6349443140795479E-2</v>
      </c>
      <c r="J48" s="326">
        <f>[2]optvar!C53</f>
        <v>0.23025625937363273</v>
      </c>
      <c r="K48" s="326">
        <f>[2]WACC!G59</f>
        <v>3.3800000000000004E-2</v>
      </c>
      <c r="L48" s="326">
        <f>'[2]Debt fundamentals'!F48</f>
        <v>0.28118959524670251</v>
      </c>
      <c r="M48" s="326">
        <f>[2]WACC!K59</f>
        <v>4.7531977662977037E-2</v>
      </c>
      <c r="N48" s="327">
        <f>'[2]Cap Ex'!J48</f>
        <v>1.6084188204332122</v>
      </c>
      <c r="O48" s="327">
        <f>[2]PS!E48</f>
        <v>0.97644302795601812</v>
      </c>
      <c r="P48" s="327">
        <f>[2]EVEBITDA!D49</f>
        <v>7.9863271228102919</v>
      </c>
      <c r="Q48" s="327">
        <f>[2]EVEBITDA!E49</f>
        <v>9.3401193709072938</v>
      </c>
      <c r="R48" s="327">
        <f>[2]PBV!C48</f>
        <v>1.2979612813074068</v>
      </c>
      <c r="S48" s="327">
        <f>[2]PE!D48</f>
        <v>23.965295106447833</v>
      </c>
      <c r="T48" s="326">
        <f>'[2]Working capital'!F48</f>
        <v>-5.498622431270411E-4</v>
      </c>
      <c r="U48" s="326">
        <f>'[2]Summary sheet uValue'!G57</f>
        <v>5.9412775338714453E-3</v>
      </c>
      <c r="V48" s="326">
        <f>'[2]Cap Ex'!H48</f>
        <v>1.2234780105357555E-3</v>
      </c>
      <c r="W48" s="326">
        <f>[2]fundgrEB!D48</f>
        <v>-1.7377549196865977E-2</v>
      </c>
      <c r="X48" s="326">
        <f>[2]Fundgr!C48</f>
        <v>0.121914624481884</v>
      </c>
      <c r="Y48" s="326">
        <f>'[2]Dividend fundamentals'!E48</f>
        <v>0.40784743274681523</v>
      </c>
      <c r="Z48" s="326">
        <f>1-[2]Fundgr!D48</f>
        <v>0.40784743274681523</v>
      </c>
      <c r="AA48" s="328">
        <f>[2]Margins!J49</f>
        <v>0.10326526924493494</v>
      </c>
    </row>
    <row r="49" spans="1:27" s="295" customFormat="1">
      <c r="A49" s="325" t="str">
        <f>'[2]Master data'!A49</f>
        <v>Insurance (Life)</v>
      </c>
      <c r="B49" s="143">
        <f>'[2]Master data'!B49</f>
        <v>142</v>
      </c>
      <c r="C49" s="326">
        <f>'[2]Hist Growth'!D49</f>
        <v>0.10039365217391301</v>
      </c>
      <c r="D49" s="326">
        <f>[2]Margins!F50</f>
        <v>0.10418822130214209</v>
      </c>
      <c r="E49" s="326">
        <f>'[2]Return on capital'!H49</f>
        <v>0.10942627831240584</v>
      </c>
      <c r="F49" s="326">
        <f>'[2]Tax rates'!H50</f>
        <v>0.16489536355183892</v>
      </c>
      <c r="G49" s="327">
        <f>[2]Beta!H52</f>
        <v>0.99672750508697006</v>
      </c>
      <c r="H49" s="327">
        <f>[2]Beta!C52</f>
        <v>1.0769915100844529</v>
      </c>
      <c r="I49" s="326">
        <f>[2]WACC!D60</f>
        <v>7.1749753430442223E-2</v>
      </c>
      <c r="J49" s="326">
        <f>[2]optvar!C54</f>
        <v>0.22915969631505403</v>
      </c>
      <c r="K49" s="326">
        <f>[2]WACC!G60</f>
        <v>3.3800000000000004E-2</v>
      </c>
      <c r="L49" s="326">
        <f>'[2]Debt fundamentals'!F49</f>
        <v>0.51902905276253319</v>
      </c>
      <c r="M49" s="326">
        <f>[2]WACC!K60</f>
        <v>4.7480975630000942E-2</v>
      </c>
      <c r="N49" s="327">
        <f>'[2]Cap Ex'!J49</f>
        <v>1.2610123544542804</v>
      </c>
      <c r="O49" s="327">
        <f>[2]PS!E49</f>
        <v>0.82603571695879852</v>
      </c>
      <c r="P49" s="327">
        <f>[2]EVEBITDA!D50</f>
        <v>7.2541251390193846</v>
      </c>
      <c r="Q49" s="327">
        <f>[2]EVEBITDA!E50</f>
        <v>7.6380156163523889</v>
      </c>
      <c r="R49" s="327">
        <f>[2]PBV!C49</f>
        <v>0.87329342919857555</v>
      </c>
      <c r="S49" s="327">
        <f>[2]PE!D49</f>
        <v>44.14541406796959</v>
      </c>
      <c r="T49" s="326">
        <f>'[2]Working capital'!F49</f>
        <v>-0.97199846819700952</v>
      </c>
      <c r="U49" s="326">
        <f>'[2]Summary sheet uValue'!G58</f>
        <v>5.0811731053854378E-3</v>
      </c>
      <c r="V49" s="326">
        <f>'[2]Cap Ex'!H49</f>
        <v>6.0496076868057202E-3</v>
      </c>
      <c r="W49" s="326">
        <f>[2]fundgrEB!D49</f>
        <v>8.542668537774542E-2</v>
      </c>
      <c r="X49" s="326">
        <f>[2]Fundgr!C49</f>
        <v>0.10046975837541092</v>
      </c>
      <c r="Y49" s="326">
        <f>'[2]Dividend fundamentals'!E49</f>
        <v>0.29022699897688342</v>
      </c>
      <c r="Z49" s="326">
        <f>1-[2]Fundgr!D49</f>
        <v>0.29022699897688342</v>
      </c>
      <c r="AA49" s="328">
        <f>[2]Margins!J50</f>
        <v>0.10423158635631799</v>
      </c>
    </row>
    <row r="50" spans="1:27" s="295" customFormat="1">
      <c r="A50" s="325" t="str">
        <f>'[2]Master data'!A50</f>
        <v>Insurance (Prop/Cas.)</v>
      </c>
      <c r="B50" s="143">
        <f>'[2]Master data'!B50</f>
        <v>231</v>
      </c>
      <c r="C50" s="326">
        <f>'[2]Hist Growth'!D50</f>
        <v>5.419900523560213E-2</v>
      </c>
      <c r="D50" s="326">
        <f>[2]Margins!F51</f>
        <v>0.11539429645108923</v>
      </c>
      <c r="E50" s="326">
        <f>'[2]Return on capital'!H50</f>
        <v>0.13295927379004246</v>
      </c>
      <c r="F50" s="326">
        <f>'[2]Tax rates'!H51</f>
        <v>0.19136468789833058</v>
      </c>
      <c r="G50" s="327">
        <f>[2]Beta!H53</f>
        <v>0.81830940837933286</v>
      </c>
      <c r="H50" s="327">
        <f>[2]Beta!C53</f>
        <v>0.88373759372019134</v>
      </c>
      <c r="I50" s="326">
        <f>[2]WACC!D61</f>
        <v>6.1584597429682066E-2</v>
      </c>
      <c r="J50" s="326">
        <f>[2]optvar!C55</f>
        <v>0.25946795248532478</v>
      </c>
      <c r="K50" s="326">
        <f>[2]WACC!G61</f>
        <v>4.0400000000000005E-2</v>
      </c>
      <c r="L50" s="326">
        <f>'[2]Debt fundamentals'!F50</f>
        <v>0.21902306388736686</v>
      </c>
      <c r="M50" s="326">
        <f>[2]WACC!K61</f>
        <v>5.4638754611271136E-2</v>
      </c>
      <c r="N50" s="327">
        <f>'[2]Cap Ex'!J50</f>
        <v>1.3627114561854952</v>
      </c>
      <c r="O50" s="327">
        <f>[2]PS!E50</f>
        <v>1.0445804919988253</v>
      </c>
      <c r="P50" s="327">
        <f>[2]EVEBITDA!D51</f>
        <v>7.6542766585944779</v>
      </c>
      <c r="Q50" s="327">
        <f>[2]EVEBITDA!E51</f>
        <v>8.8721007114664996</v>
      </c>
      <c r="R50" s="327">
        <f>[2]PBV!C50</f>
        <v>1.2322996853708403</v>
      </c>
      <c r="S50" s="327">
        <f>[2]PE!D50</f>
        <v>25.416627495369671</v>
      </c>
      <c r="T50" s="326">
        <f>'[2]Working capital'!F50</f>
        <v>-0.45338302589606833</v>
      </c>
      <c r="U50" s="326">
        <f>'[2]Summary sheet uValue'!G59</f>
        <v>7.2335127135179471E-3</v>
      </c>
      <c r="V50" s="326">
        <f>'[2]Cap Ex'!H50</f>
        <v>1.293375445952712E-2</v>
      </c>
      <c r="W50" s="326">
        <f>[2]fundgrEB!D50</f>
        <v>0.25172975192205382</v>
      </c>
      <c r="X50" s="326">
        <f>[2]Fundgr!C50</f>
        <v>0.12910710761410696</v>
      </c>
      <c r="Y50" s="326">
        <f>'[2]Dividend fundamentals'!E50</f>
        <v>0.30526631824349082</v>
      </c>
      <c r="Z50" s="326">
        <f>1-[2]Fundgr!D50</f>
        <v>0.30526631824349082</v>
      </c>
      <c r="AA50" s="328">
        <f>[2]Margins!J51</f>
        <v>0.11549740428092074</v>
      </c>
    </row>
    <row r="51" spans="1:27" s="295" customFormat="1">
      <c r="A51" s="325" t="str">
        <f>'[2]Master data'!A51</f>
        <v>Investments &amp; Asset Management</v>
      </c>
      <c r="B51" s="143">
        <f>'[2]Master data'!B51</f>
        <v>1706</v>
      </c>
      <c r="C51" s="326">
        <f>'[2]Hist Growth'!D51</f>
        <v>0.28122437007873996</v>
      </c>
      <c r="D51" s="326">
        <f>[2]Margins!F52</f>
        <v>0.20224212238931832</v>
      </c>
      <c r="E51" s="326">
        <f>'[2]Return on capital'!H51</f>
        <v>0.10085941476456123</v>
      </c>
      <c r="F51" s="326">
        <f>'[2]Tax rates'!H52</f>
        <v>0.14114444086495001</v>
      </c>
      <c r="G51" s="327">
        <f>[2]Beta!H54</f>
        <v>0.71913991757515294</v>
      </c>
      <c r="H51" s="327">
        <f>[2]Beta!C54</f>
        <v>0.86162621585031596</v>
      </c>
      <c r="I51" s="326">
        <f>[2]WACC!D62</f>
        <v>6.0421538953726622E-2</v>
      </c>
      <c r="J51" s="326">
        <f>[2]optvar!C56</f>
        <v>0.31471564398253271</v>
      </c>
      <c r="K51" s="326">
        <f>[2]WACC!G62</f>
        <v>4.0400000000000005E-2</v>
      </c>
      <c r="L51" s="326">
        <f>'[2]Debt fundamentals'!F51</f>
        <v>0.31163526323852414</v>
      </c>
      <c r="M51" s="326">
        <f>[2]WACC!K62</f>
        <v>5.0901150547603302E-2</v>
      </c>
      <c r="N51" s="327">
        <f>'[2]Cap Ex'!J51</f>
        <v>0.52387912099900935</v>
      </c>
      <c r="O51" s="327">
        <f>[2]PS!E51</f>
        <v>4.5694483887701951</v>
      </c>
      <c r="P51" s="327">
        <f>[2]EVEBITDA!D52</f>
        <v>14.78255129352878</v>
      </c>
      <c r="Q51" s="327">
        <f>[2]EVEBITDA!E52</f>
        <v>16.407675290618144</v>
      </c>
      <c r="R51" s="327">
        <f>[2]PBV!C51</f>
        <v>2.0251907806553584</v>
      </c>
      <c r="S51" s="327">
        <f>[2]PE!D51</f>
        <v>55.344776171541014</v>
      </c>
      <c r="T51" s="326" t="str">
        <f>'[2]Working capital'!F51</f>
        <v>NA</v>
      </c>
      <c r="U51" s="326">
        <f>'[2]Summary sheet uValue'!G60</f>
        <v>1.2831237553147518E-2</v>
      </c>
      <c r="V51" s="326">
        <f>'[2]Cap Ex'!H51</f>
        <v>4.1675217813524415E-2</v>
      </c>
      <c r="W51" s="326">
        <f>[2]fundgrEB!D51</f>
        <v>0.23791955717262156</v>
      </c>
      <c r="X51" s="326">
        <f>[2]Fundgr!C51</f>
        <v>0.19669362681068706</v>
      </c>
      <c r="Y51" s="326">
        <f>'[2]Dividend fundamentals'!E51</f>
        <v>0.30443650417525275</v>
      </c>
      <c r="Z51" s="326">
        <f>1-[2]Fundgr!D51</f>
        <v>0.30443650417525281</v>
      </c>
      <c r="AA51" s="328">
        <f>[2]Margins!J52</f>
        <v>0.20200910145476453</v>
      </c>
    </row>
    <row r="52" spans="1:27" s="295" customFormat="1">
      <c r="A52" s="325" t="str">
        <f>'[2]Master data'!A52</f>
        <v>Machinery</v>
      </c>
      <c r="B52" s="143">
        <f>'[2]Master data'!B52</f>
        <v>1421</v>
      </c>
      <c r="C52" s="326">
        <f>'[2]Hist Growth'!D52</f>
        <v>6.8930230326295569E-2</v>
      </c>
      <c r="D52" s="326">
        <f>[2]Margins!F53</f>
        <v>9.9495636886152691E-2</v>
      </c>
      <c r="E52" s="326">
        <f>'[2]Return on capital'!H52</f>
        <v>0.13139988870645922</v>
      </c>
      <c r="F52" s="326">
        <f>'[2]Tax rates'!H53</f>
        <v>0.21810601700699467</v>
      </c>
      <c r="G52" s="327">
        <f>[2]Beta!H55</f>
        <v>1.1250479153986082</v>
      </c>
      <c r="H52" s="327">
        <f>[2]Beta!C55</f>
        <v>1.1436622839472304</v>
      </c>
      <c r="I52" s="326">
        <f>[2]WACC!D63</f>
        <v>7.5256636135624319E-2</v>
      </c>
      <c r="J52" s="326">
        <f>[2]optvar!C57</f>
        <v>0.27713763873825858</v>
      </c>
      <c r="K52" s="326">
        <f>[2]WACC!G63</f>
        <v>4.0400000000000005E-2</v>
      </c>
      <c r="L52" s="326">
        <f>'[2]Debt fundamentals'!F52</f>
        <v>0.11763369801992109</v>
      </c>
      <c r="M52" s="326">
        <f>[2]WACC!K63</f>
        <v>6.9917845321614769E-2</v>
      </c>
      <c r="N52" s="327">
        <f>'[2]Cap Ex'!J52</f>
        <v>1.524790725080347</v>
      </c>
      <c r="O52" s="327">
        <f>[2]PS!E52</f>
        <v>2.3837692919637092</v>
      </c>
      <c r="P52" s="327">
        <f>[2]EVEBITDA!D53</f>
        <v>16.303434856006685</v>
      </c>
      <c r="Q52" s="327">
        <f>[2]EVEBITDA!E53</f>
        <v>22.952233598735038</v>
      </c>
      <c r="R52" s="327">
        <f>[2]PBV!C52</f>
        <v>3.3394628858781648</v>
      </c>
      <c r="S52" s="327">
        <f>[2]PE!D52</f>
        <v>53.61670440952529</v>
      </c>
      <c r="T52" s="326">
        <f>'[2]Working capital'!F52</f>
        <v>0.25121665584680342</v>
      </c>
      <c r="U52" s="326">
        <f>'[2]Summary sheet uValue'!G61</f>
        <v>3.8563837623402396E-2</v>
      </c>
      <c r="V52" s="326">
        <f>'[2]Cap Ex'!H52</f>
        <v>3.0665116726434054E-2</v>
      </c>
      <c r="W52" s="326">
        <f>[2]fundgrEB!D52</f>
        <v>0.5655173228209267</v>
      </c>
      <c r="X52" s="326">
        <f>[2]Fundgr!C52</f>
        <v>0.12508112494594351</v>
      </c>
      <c r="Y52" s="326">
        <f>'[2]Dividend fundamentals'!E52</f>
        <v>0.39592990663064265</v>
      </c>
      <c r="Z52" s="326">
        <f>1-[2]Fundgr!D52</f>
        <v>0.39592990663064265</v>
      </c>
      <c r="AA52" s="328">
        <f>[2]Margins!J53</f>
        <v>0.10194029069420935</v>
      </c>
    </row>
    <row r="53" spans="1:27" s="295" customFormat="1">
      <c r="A53" s="325" t="str">
        <f>'[2]Master data'!A53</f>
        <v>Metals &amp; Mining</v>
      </c>
      <c r="B53" s="143">
        <f>'[2]Master data'!B53</f>
        <v>1706</v>
      </c>
      <c r="C53" s="326">
        <f>'[2]Hist Growth'!D53</f>
        <v>0.18623434237995837</v>
      </c>
      <c r="D53" s="326">
        <f>[2]Margins!F54</f>
        <v>0.15978212186952045</v>
      </c>
      <c r="E53" s="326">
        <f>'[2]Return on capital'!H53</f>
        <v>0.21605383185364144</v>
      </c>
      <c r="F53" s="326">
        <f>'[2]Tax rates'!H54</f>
        <v>0.29825945511369667</v>
      </c>
      <c r="G53" s="327">
        <f>[2]Beta!H56</f>
        <v>1.0120404370223572</v>
      </c>
      <c r="H53" s="327">
        <f>[2]Beta!C56</f>
        <v>1.0975394120110467</v>
      </c>
      <c r="I53" s="326">
        <f>[2]WACC!D64</f>
        <v>7.2830573071781049E-2</v>
      </c>
      <c r="J53" s="326">
        <f>[2]optvar!C58</f>
        <v>0.53066528746054042</v>
      </c>
      <c r="K53" s="326">
        <f>[2]WACC!G64</f>
        <v>4.4580000000000009E-2</v>
      </c>
      <c r="L53" s="326">
        <f>'[2]Debt fundamentals'!F53</f>
        <v>0.20623066927888656</v>
      </c>
      <c r="M53" s="326">
        <f>[2]WACC!K64</f>
        <v>6.4608543780255961E-2</v>
      </c>
      <c r="N53" s="327">
        <f>'[2]Cap Ex'!J53</f>
        <v>1.4040887692825965</v>
      </c>
      <c r="O53" s="327">
        <f>[2]PS!E53</f>
        <v>1.4901057696549609</v>
      </c>
      <c r="P53" s="327">
        <f>[2]EVEBITDA!D54</f>
        <v>6.3750068490793925</v>
      </c>
      <c r="Q53" s="327">
        <f>[2]EVEBITDA!E54</f>
        <v>8.7583771983557774</v>
      </c>
      <c r="R53" s="327">
        <f>[2]PBV!C53</f>
        <v>2.0665519199084623</v>
      </c>
      <c r="S53" s="327">
        <f>[2]PE!D53</f>
        <v>309.05634173332112</v>
      </c>
      <c r="T53" s="326">
        <f>'[2]Working capital'!F53</f>
        <v>0.10743653015718156</v>
      </c>
      <c r="U53" s="326">
        <f>'[2]Summary sheet uValue'!G62</f>
        <v>6.4228834131719953E-2</v>
      </c>
      <c r="V53" s="326">
        <f>'[2]Cap Ex'!H53</f>
        <v>3.024735011445874E-2</v>
      </c>
      <c r="W53" s="326">
        <f>[2]fundgrEB!D53</f>
        <v>0.47573817269040886</v>
      </c>
      <c r="X53" s="326">
        <f>[2]Fundgr!C53</f>
        <v>0.18898914435652781</v>
      </c>
      <c r="Y53" s="326">
        <f>'[2]Dividend fundamentals'!E53</f>
        <v>0.3950228602817954</v>
      </c>
      <c r="Z53" s="326">
        <f>1-[2]Fundgr!D53</f>
        <v>0.39502286028179534</v>
      </c>
      <c r="AA53" s="328">
        <f>[2]Margins!J54</f>
        <v>0.16091784154130681</v>
      </c>
    </row>
    <row r="54" spans="1:27" s="295" customFormat="1">
      <c r="A54" s="325" t="str">
        <f>'[2]Master data'!A54</f>
        <v>Office Equipment &amp; Services</v>
      </c>
      <c r="B54" s="143">
        <f>'[2]Master data'!B54</f>
        <v>145</v>
      </c>
      <c r="C54" s="326">
        <f>'[2]Hist Growth'!D54</f>
        <v>2.1415636363636352E-2</v>
      </c>
      <c r="D54" s="326">
        <f>[2]Margins!F55</f>
        <v>7.1806614321386575E-2</v>
      </c>
      <c r="E54" s="326">
        <f>'[2]Return on capital'!H54</f>
        <v>0.12321939325371746</v>
      </c>
      <c r="F54" s="326">
        <f>'[2]Tax rates'!H55</f>
        <v>0.25491346802187637</v>
      </c>
      <c r="G54" s="327">
        <f>[2]Beta!H57</f>
        <v>1.0516179146449982</v>
      </c>
      <c r="H54" s="327">
        <f>[2]Beta!C57</f>
        <v>1.1005990216004515</v>
      </c>
      <c r="I54" s="326">
        <f>[2]WACC!D65</f>
        <v>7.2991508536183747E-2</v>
      </c>
      <c r="J54" s="326">
        <f>[2]optvar!C59</f>
        <v>0.29772457067346564</v>
      </c>
      <c r="K54" s="326">
        <f>[2]WACC!G65</f>
        <v>4.0400000000000005E-2</v>
      </c>
      <c r="L54" s="326">
        <f>'[2]Debt fundamentals'!F54</f>
        <v>0.21084330428256209</v>
      </c>
      <c r="M54" s="326">
        <f>[2]WACC!K65</f>
        <v>6.3899998274981593E-2</v>
      </c>
      <c r="N54" s="327">
        <f>'[2]Cap Ex'!J54</f>
        <v>1.9370323805362779</v>
      </c>
      <c r="O54" s="327">
        <f>[2]PS!E54</f>
        <v>1.1736336348868559</v>
      </c>
      <c r="P54" s="327">
        <f>[2]EVEBITDA!D55</f>
        <v>10.065599251074675</v>
      </c>
      <c r="Q54" s="327">
        <f>[2]EVEBITDA!E55</f>
        <v>15.357158981839506</v>
      </c>
      <c r="R54" s="327">
        <f>[2]PBV!C54</f>
        <v>2.0276109162969518</v>
      </c>
      <c r="S54" s="327">
        <f>[2]PE!D54</f>
        <v>64.407524055987622</v>
      </c>
      <c r="T54" s="326">
        <f>'[2]Working capital'!F54</f>
        <v>0.12135606420140103</v>
      </c>
      <c r="U54" s="326">
        <f>'[2]Summary sheet uValue'!G63</f>
        <v>2.7746152386992771E-2</v>
      </c>
      <c r="V54" s="326">
        <f>'[2]Cap Ex'!H54</f>
        <v>4.9158187660709347E-2</v>
      </c>
      <c r="W54" s="326">
        <f>[2]fundgrEB!D54</f>
        <v>0.90161813087848386</v>
      </c>
      <c r="X54" s="326">
        <f>[2]Fundgr!C54</f>
        <v>8.2903470480953631E-2</v>
      </c>
      <c r="Y54" s="326">
        <f>'[2]Dividend fundamentals'!E54</f>
        <v>0.4429911308130256</v>
      </c>
      <c r="Z54" s="326">
        <f>1-[2]Fundgr!D54</f>
        <v>0.44299113081302566</v>
      </c>
      <c r="AA54" s="328">
        <f>[2]Margins!J55</f>
        <v>7.3259018960857888E-2</v>
      </c>
    </row>
    <row r="55" spans="1:27" s="295" customFormat="1">
      <c r="A55" s="325" t="str">
        <f>'[2]Master data'!A55</f>
        <v>Oil/Gas (Integrated)</v>
      </c>
      <c r="B55" s="143">
        <f>'[2]Master data'!B55</f>
        <v>46</v>
      </c>
      <c r="C55" s="326">
        <f>'[2]Hist Growth'!D55</f>
        <v>7.3212051282051285E-2</v>
      </c>
      <c r="D55" s="326">
        <f>[2]Margins!F56</f>
        <v>0.11904496800428231</v>
      </c>
      <c r="E55" s="326">
        <f>'[2]Return on capital'!H55</f>
        <v>0.10474467434441784</v>
      </c>
      <c r="F55" s="326">
        <f>'[2]Tax rates'!H56</f>
        <v>0.38641326407010551</v>
      </c>
      <c r="G55" s="327">
        <f>[2]Beta!H58</f>
        <v>1.1489503678115061</v>
      </c>
      <c r="H55" s="327">
        <f>[2]Beta!C58</f>
        <v>1.2788238428533345</v>
      </c>
      <c r="I55" s="326">
        <f>[2]WACC!D66</f>
        <v>8.2366134134085403E-2</v>
      </c>
      <c r="J55" s="326">
        <f>[2]optvar!C60</f>
        <v>0.24693832503207186</v>
      </c>
      <c r="K55" s="326">
        <f>[2]WACC!G66</f>
        <v>3.3800000000000004E-2</v>
      </c>
      <c r="L55" s="326">
        <f>'[2]Debt fundamentals'!F55</f>
        <v>0.21141520243342549</v>
      </c>
      <c r="M55" s="326">
        <f>[2]WACC!K66</f>
        <v>7.0236310755428549E-2</v>
      </c>
      <c r="N55" s="327">
        <f>'[2]Cap Ex'!J55</f>
        <v>1.1364481392207744</v>
      </c>
      <c r="O55" s="327">
        <f>[2]PS!E55</f>
        <v>1.471555491506628</v>
      </c>
      <c r="P55" s="327">
        <f>[2]EVEBITDA!D56</f>
        <v>7.02903510956682</v>
      </c>
      <c r="Q55" s="327">
        <f>[2]EVEBITDA!E56</f>
        <v>12.306310249847808</v>
      </c>
      <c r="R55" s="327">
        <f>[2]PBV!C55</f>
        <v>1.7008813794024082</v>
      </c>
      <c r="S55" s="327">
        <f>[2]PE!D55</f>
        <v>19.949293015808284</v>
      </c>
      <c r="T55" s="326">
        <f>'[2]Working capital'!F55</f>
        <v>2.3342164039785833E-2</v>
      </c>
      <c r="U55" s="326">
        <f>'[2]Summary sheet uValue'!G64</f>
        <v>8.2383581625027874E-2</v>
      </c>
      <c r="V55" s="326">
        <f>'[2]Cap Ex'!H55</f>
        <v>-9.8096557657455698E-3</v>
      </c>
      <c r="W55" s="326">
        <f>[2]fundgrEB!D55</f>
        <v>-5.1694619604550143E-2</v>
      </c>
      <c r="X55" s="326">
        <f>[2]Fundgr!C55</f>
        <v>0.11643379661884692</v>
      </c>
      <c r="Y55" s="326">
        <f>'[2]Dividend fundamentals'!E55</f>
        <v>0.69692922706317206</v>
      </c>
      <c r="Z55" s="326">
        <f>1-[2]Fundgr!D55</f>
        <v>0.69692922706317206</v>
      </c>
      <c r="AA55" s="328">
        <f>[2]Margins!J56</f>
        <v>0.11962018624504733</v>
      </c>
    </row>
    <row r="56" spans="1:27" s="295" customFormat="1">
      <c r="A56" s="325" t="str">
        <f>'[2]Master data'!A56</f>
        <v>Oil/Gas (Production and Exploration)</v>
      </c>
      <c r="B56" s="143">
        <f>'[2]Master data'!B56</f>
        <v>642</v>
      </c>
      <c r="C56" s="326">
        <f>'[2]Hist Growth'!D56</f>
        <v>0.21185864306784669</v>
      </c>
      <c r="D56" s="326">
        <f>[2]Margins!F57</f>
        <v>0.12495519492682648</v>
      </c>
      <c r="E56" s="326">
        <f>'[2]Return on capital'!H56</f>
        <v>6.3587879764470098E-2</v>
      </c>
      <c r="F56" s="326">
        <f>'[2]Tax rates'!H57</f>
        <v>0.27840368307861235</v>
      </c>
      <c r="G56" s="327">
        <f>[2]Beta!H59</f>
        <v>1.2087657244069641</v>
      </c>
      <c r="H56" s="327">
        <f>[2]Beta!C59</f>
        <v>1.4593032274293294</v>
      </c>
      <c r="I56" s="326">
        <f>[2]WACC!D67</f>
        <v>9.1859349762782733E-2</v>
      </c>
      <c r="J56" s="326">
        <f>[2]optvar!C61</f>
        <v>0.50734420557172799</v>
      </c>
      <c r="K56" s="326">
        <f>[2]WACC!G67</f>
        <v>4.4580000000000009E-2</v>
      </c>
      <c r="L56" s="326">
        <f>'[2]Debt fundamentals'!F56</f>
        <v>0.27934371191618795</v>
      </c>
      <c r="M56" s="326">
        <f>[2]WACC!K67</f>
        <v>7.5406871721378776E-2</v>
      </c>
      <c r="N56" s="327">
        <f>'[2]Cap Ex'!J56</f>
        <v>0.53034482048687825</v>
      </c>
      <c r="O56" s="327">
        <f>[2]PS!E56</f>
        <v>2.8452382192852683</v>
      </c>
      <c r="P56" s="327">
        <f>[2]EVEBITDA!D57</f>
        <v>6.2335744359078378</v>
      </c>
      <c r="Q56" s="327">
        <f>[2]EVEBITDA!E57</f>
        <v>21.411936518608702</v>
      </c>
      <c r="R56" s="327">
        <f>[2]PBV!C56</f>
        <v>1.5644507925461886</v>
      </c>
      <c r="S56" s="327">
        <f>[2]PE!D56</f>
        <v>38.595506530752807</v>
      </c>
      <c r="T56" s="326">
        <f>'[2]Working capital'!F56</f>
        <v>-3.567097690567865E-2</v>
      </c>
      <c r="U56" s="326">
        <f>'[2]Summary sheet uValue'!G65</f>
        <v>0.22404785093157395</v>
      </c>
      <c r="V56" s="326">
        <f>'[2]Cap Ex'!H56</f>
        <v>4.4157296385609144E-3</v>
      </c>
      <c r="W56" s="326">
        <f>[2]fundgrEB!D56</f>
        <v>0.30345448846147866</v>
      </c>
      <c r="X56" s="326">
        <f>[2]Fundgr!C56</f>
        <v>6.110660102629234E-2</v>
      </c>
      <c r="Y56" s="326">
        <f>'[2]Dividend fundamentals'!E56</f>
        <v>0.70085734940279798</v>
      </c>
      <c r="Z56" s="326">
        <f>1-[2]Fundgr!D56</f>
        <v>0.70085734940279798</v>
      </c>
      <c r="AA56" s="328">
        <f>[2]Margins!J57</f>
        <v>0.12653157113774588</v>
      </c>
    </row>
    <row r="57" spans="1:27" s="295" customFormat="1">
      <c r="A57" s="325" t="str">
        <f>'[2]Master data'!A57</f>
        <v>Oil/Gas Distribution</v>
      </c>
      <c r="B57" s="143">
        <f>'[2]Master data'!B57</f>
        <v>165</v>
      </c>
      <c r="C57" s="326">
        <f>'[2]Hist Growth'!D57</f>
        <v>0.15152177966101696</v>
      </c>
      <c r="D57" s="326">
        <f>[2]Margins!F58</f>
        <v>0.12395966754057607</v>
      </c>
      <c r="E57" s="326">
        <f>'[2]Return on capital'!H57</f>
        <v>6.2431651828758407E-2</v>
      </c>
      <c r="F57" s="326">
        <f>'[2]Tax rates'!H58</f>
        <v>0.18640936151040075</v>
      </c>
      <c r="G57" s="327">
        <f>[2]Beta!H60</f>
        <v>0.74526901774865839</v>
      </c>
      <c r="H57" s="327">
        <f>[2]Beta!C60</f>
        <v>1.164684008834235</v>
      </c>
      <c r="I57" s="326">
        <f>[2]WACC!D68</f>
        <v>7.6362378864680752E-2</v>
      </c>
      <c r="J57" s="326">
        <f>[2]optvar!C62</f>
        <v>0.28328935985226933</v>
      </c>
      <c r="K57" s="326">
        <f>[2]WACC!G68</f>
        <v>4.0400000000000005E-2</v>
      </c>
      <c r="L57" s="326">
        <f>'[2]Debt fundamentals'!F57</f>
        <v>0.45189137008229102</v>
      </c>
      <c r="M57" s="326">
        <f>[2]WACC!K68</f>
        <v>5.5353669409946564E-2</v>
      </c>
      <c r="N57" s="327">
        <f>'[2]Cap Ex'!J57</f>
        <v>0.57370184591945661</v>
      </c>
      <c r="O57" s="327">
        <f>[2]PS!E57</f>
        <v>2.678957923600735</v>
      </c>
      <c r="P57" s="327">
        <f>[2]EVEBITDA!D58</f>
        <v>12.948055874490091</v>
      </c>
      <c r="Q57" s="327">
        <f>[2]EVEBITDA!E58</f>
        <v>21.415945721688107</v>
      </c>
      <c r="R57" s="327">
        <f>[2]PBV!C57</f>
        <v>1.5720473094863099</v>
      </c>
      <c r="S57" s="327">
        <f>[2]PE!D57</f>
        <v>65.4748389104615</v>
      </c>
      <c r="T57" s="326">
        <f>'[2]Working capital'!F57</f>
        <v>4.3020299058263309E-2</v>
      </c>
      <c r="U57" s="326">
        <f>'[2]Summary sheet uValue'!G66</f>
        <v>0.10696577717612994</v>
      </c>
      <c r="V57" s="326">
        <f>'[2]Cap Ex'!H57</f>
        <v>3.6244249060791482E-2</v>
      </c>
      <c r="W57" s="326">
        <f>[2]fundgrEB!D57</f>
        <v>0.37103529425471748</v>
      </c>
      <c r="X57" s="326">
        <f>[2]Fundgr!C57</f>
        <v>6.9106612594938582E-2</v>
      </c>
      <c r="Y57" s="326">
        <f>'[2]Dividend fundamentals'!E57</f>
        <v>1.4067639393776585</v>
      </c>
      <c r="Z57" s="326">
        <f>1-[2]Fundgr!D57</f>
        <v>1.4067639393776585</v>
      </c>
      <c r="AA57" s="328">
        <f>[2]Margins!J58</f>
        <v>0.12440859928793553</v>
      </c>
    </row>
    <row r="58" spans="1:27" s="295" customFormat="1">
      <c r="A58" s="325" t="str">
        <f>'[2]Master data'!A58</f>
        <v>Oilfield Svcs/Equip.</v>
      </c>
      <c r="B58" s="143">
        <f>'[2]Master data'!B58</f>
        <v>457</v>
      </c>
      <c r="C58" s="326">
        <f>'[2]Hist Growth'!D58</f>
        <v>5.6600436046511715E-2</v>
      </c>
      <c r="D58" s="326">
        <f>[2]Margins!F59</f>
        <v>4.3772196109830977E-2</v>
      </c>
      <c r="E58" s="326">
        <f>'[2]Return on capital'!H58</f>
        <v>7.3516780774635582E-2</v>
      </c>
      <c r="F58" s="326">
        <f>'[2]Tax rates'!H59</f>
        <v>0.23054839499727575</v>
      </c>
      <c r="G58" s="327">
        <f>[2]Beta!H61</f>
        <v>1.05969409099153</v>
      </c>
      <c r="H58" s="327">
        <f>[2]Beta!C61</f>
        <v>1.3590834026487482</v>
      </c>
      <c r="I58" s="326">
        <f>[2]WACC!D69</f>
        <v>8.6587786979324163E-2</v>
      </c>
      <c r="J58" s="326">
        <f>[2]optvar!C63</f>
        <v>0.36575331163448283</v>
      </c>
      <c r="K58" s="326">
        <f>[2]WACC!G69</f>
        <v>4.0400000000000005E-2</v>
      </c>
      <c r="L58" s="326">
        <f>'[2]Debt fundamentals'!F58</f>
        <v>0.34863094715876269</v>
      </c>
      <c r="M58" s="326">
        <f>[2]WACC!K69</f>
        <v>6.6814824774440437E-2</v>
      </c>
      <c r="N58" s="327">
        <f>'[2]Cap Ex'!J58</f>
        <v>1.8488813865813059</v>
      </c>
      <c r="O58" s="327">
        <f>[2]PS!E58</f>
        <v>0.80947905669358267</v>
      </c>
      <c r="P58" s="327">
        <f>[2]EVEBITDA!D59</f>
        <v>9.6399721374245519</v>
      </c>
      <c r="Q58" s="327">
        <f>[2]EVEBITDA!E59</f>
        <v>17.57949170298475</v>
      </c>
      <c r="R58" s="327">
        <f>[2]PBV!C58</f>
        <v>1.4093537723056757</v>
      </c>
      <c r="S58" s="327">
        <f>[2]PE!D58</f>
        <v>49.798342246311186</v>
      </c>
      <c r="T58" s="326">
        <f>'[2]Working capital'!F58</f>
        <v>6.5363144339096985E-2</v>
      </c>
      <c r="U58" s="326">
        <f>'[2]Summary sheet uValue'!G67</f>
        <v>3.8281770162028113E-2</v>
      </c>
      <c r="V58" s="326">
        <f>'[2]Cap Ex'!H58</f>
        <v>1.1806387985840473E-2</v>
      </c>
      <c r="W58" s="326">
        <f>[2]fundgrEB!D58</f>
        <v>0.7043821076605945</v>
      </c>
      <c r="X58" s="326">
        <f>[2]Fundgr!C58</f>
        <v>8.8136677099855093E-2</v>
      </c>
      <c r="Y58" s="326">
        <f>'[2]Dividend fundamentals'!E58</f>
        <v>0.39823515641359525</v>
      </c>
      <c r="Z58" s="326">
        <f>1-[2]Fundgr!D58</f>
        <v>0.3982351564135953</v>
      </c>
      <c r="AA58" s="328">
        <f>[2]Margins!J59</f>
        <v>4.4458429023027227E-2</v>
      </c>
    </row>
    <row r="59" spans="1:27" s="295" customFormat="1">
      <c r="A59" s="325" t="str">
        <f>'[2]Master data'!A59</f>
        <v>Packaging &amp; Container</v>
      </c>
      <c r="B59" s="143">
        <f>'[2]Master data'!B59</f>
        <v>414</v>
      </c>
      <c r="C59" s="326">
        <f>'[2]Hist Growth'!D59</f>
        <v>5.4368757763975165E-2</v>
      </c>
      <c r="D59" s="326">
        <f>[2]Margins!F60</f>
        <v>9.1523057736209085E-2</v>
      </c>
      <c r="E59" s="326">
        <f>'[2]Return on capital'!H59</f>
        <v>0.12151188323646014</v>
      </c>
      <c r="F59" s="326">
        <f>'[2]Tax rates'!H60</f>
        <v>0.22168298567490585</v>
      </c>
      <c r="G59" s="327">
        <f>[2]Beta!H62</f>
        <v>0.80319522259662202</v>
      </c>
      <c r="H59" s="327">
        <f>[2]Beta!C62</f>
        <v>0.96137733867948505</v>
      </c>
      <c r="I59" s="326">
        <f>[2]WACC!D70</f>
        <v>6.5668448014540914E-2</v>
      </c>
      <c r="J59" s="326">
        <f>[2]optvar!C64</f>
        <v>0.28107576688049773</v>
      </c>
      <c r="K59" s="326">
        <f>[2]WACC!G70</f>
        <v>4.0400000000000005E-2</v>
      </c>
      <c r="L59" s="326">
        <f>'[2]Debt fundamentals'!F59</f>
        <v>0.26610220298790277</v>
      </c>
      <c r="M59" s="326">
        <f>[2]WACC!K70</f>
        <v>5.6142870474200919E-2</v>
      </c>
      <c r="N59" s="327">
        <f>'[2]Cap Ex'!J59</f>
        <v>1.5870351531847779</v>
      </c>
      <c r="O59" s="327">
        <f>[2]PS!E59</f>
        <v>1.6483105289966804</v>
      </c>
      <c r="P59" s="327">
        <f>[2]EVEBITDA!D60</f>
        <v>11.005143848289672</v>
      </c>
      <c r="Q59" s="327">
        <f>[2]EVEBITDA!E60</f>
        <v>17.745497930040521</v>
      </c>
      <c r="R59" s="327">
        <f>[2]PBV!C59</f>
        <v>2.6171872019253235</v>
      </c>
      <c r="S59" s="327">
        <f>[2]PE!D59</f>
        <v>34.640762736686341</v>
      </c>
      <c r="T59" s="326">
        <f>'[2]Working capital'!F59</f>
        <v>0.13931550194289194</v>
      </c>
      <c r="U59" s="326">
        <f>'[2]Summary sheet uValue'!G68</f>
        <v>6.4246096782973675E-2</v>
      </c>
      <c r="V59" s="326">
        <f>'[2]Cap Ex'!H59</f>
        <v>4.1475264956616818E-2</v>
      </c>
      <c r="W59" s="326">
        <f>[2]fundgrEB!D59</f>
        <v>0.74036584123672289</v>
      </c>
      <c r="X59" s="326">
        <f>[2]Fundgr!C59</f>
        <v>0.1442633020178167</v>
      </c>
      <c r="Y59" s="326">
        <f>'[2]Dividend fundamentals'!E59</f>
        <v>0.3639300485856623</v>
      </c>
      <c r="Z59" s="326">
        <f>1-[2]Fundgr!D59</f>
        <v>0.36393004858566225</v>
      </c>
      <c r="AA59" s="328">
        <f>[2]Margins!J60</f>
        <v>9.2893647000563989E-2</v>
      </c>
    </row>
    <row r="60" spans="1:27" s="295" customFormat="1">
      <c r="A60" s="325" t="str">
        <f>'[2]Master data'!A60</f>
        <v>Paper/Forest Products</v>
      </c>
      <c r="B60" s="143">
        <f>'[2]Master data'!B60</f>
        <v>272</v>
      </c>
      <c r="C60" s="326">
        <f>'[2]Hist Growth'!D60</f>
        <v>5.4721549295774691E-2</v>
      </c>
      <c r="D60" s="326">
        <f>[2]Margins!F61</f>
        <v>0.14159804731050596</v>
      </c>
      <c r="E60" s="326">
        <f>'[2]Return on capital'!H60</f>
        <v>0.12463485927880023</v>
      </c>
      <c r="F60" s="326">
        <f>'[2]Tax rates'!H61</f>
        <v>0.21424718292394199</v>
      </c>
      <c r="G60" s="327">
        <f>[2]Beta!H63</f>
        <v>0.89464643637643149</v>
      </c>
      <c r="H60" s="327">
        <f>[2]Beta!C63</f>
        <v>1.1206472813656296</v>
      </c>
      <c r="I60" s="326">
        <f>[2]WACC!D71</f>
        <v>7.4046046999832124E-2</v>
      </c>
      <c r="J60" s="326">
        <f>[2]optvar!C65</f>
        <v>0.28535354069030661</v>
      </c>
      <c r="K60" s="326">
        <f>[2]WACC!G71</f>
        <v>4.0400000000000005E-2</v>
      </c>
      <c r="L60" s="326">
        <f>'[2]Debt fundamentals'!F60</f>
        <v>0.33667454003593794</v>
      </c>
      <c r="M60" s="326">
        <f>[2]WACC!K71</f>
        <v>5.9173689242748143E-2</v>
      </c>
      <c r="N60" s="327">
        <f>'[2]Cap Ex'!J60</f>
        <v>1.0149034896974758</v>
      </c>
      <c r="O60" s="327">
        <f>[2]PS!E60</f>
        <v>1.4104890383162025</v>
      </c>
      <c r="P60" s="327">
        <f>[2]EVEBITDA!D61</f>
        <v>6.9865804986322253</v>
      </c>
      <c r="Q60" s="327">
        <f>[2]EVEBITDA!E61</f>
        <v>9.8090538702473147</v>
      </c>
      <c r="R60" s="327">
        <f>[2]PBV!C60</f>
        <v>1.3577081807721498</v>
      </c>
      <c r="S60" s="327">
        <f>[2]PE!D60</f>
        <v>24.794068924986615</v>
      </c>
      <c r="T60" s="326">
        <f>'[2]Working capital'!F60</f>
        <v>0.18543258905377633</v>
      </c>
      <c r="U60" s="326">
        <f>'[2]Summary sheet uValue'!G69</f>
        <v>7.4804003045838716E-2</v>
      </c>
      <c r="V60" s="326">
        <f>'[2]Cap Ex'!H60</f>
        <v>3.6077619245513594E-2</v>
      </c>
      <c r="W60" s="326">
        <f>[2]fundgrEB!D60</f>
        <v>0.36016441240057667</v>
      </c>
      <c r="X60" s="326">
        <f>[2]Fundgr!C60</f>
        <v>0.16841966723729962</v>
      </c>
      <c r="Y60" s="326">
        <f>'[2]Dividend fundamentals'!E60</f>
        <v>0.23768514175138236</v>
      </c>
      <c r="Z60" s="326">
        <f>1-[2]Fundgr!D60</f>
        <v>0.23768514175138233</v>
      </c>
      <c r="AA60" s="328">
        <f>[2]Margins!J61</f>
        <v>0.14279756694803722</v>
      </c>
    </row>
    <row r="61" spans="1:27" s="295" customFormat="1">
      <c r="A61" s="325" t="str">
        <f>'[2]Master data'!A61</f>
        <v>Power</v>
      </c>
      <c r="B61" s="143">
        <f>'[2]Master data'!B61</f>
        <v>541</v>
      </c>
      <c r="C61" s="326">
        <f>'[2]Hist Growth'!D61</f>
        <v>7.4076877828054402E-2</v>
      </c>
      <c r="D61" s="326">
        <f>[2]Margins!F62</f>
        <v>0.11273090662228229</v>
      </c>
      <c r="E61" s="326">
        <f>'[2]Return on capital'!H61</f>
        <v>5.7560900536381437E-2</v>
      </c>
      <c r="F61" s="326">
        <f>'[2]Tax rates'!H62</f>
        <v>0.21061184872791486</v>
      </c>
      <c r="G61" s="327">
        <f>[2]Beta!H64</f>
        <v>0.53924169597642513</v>
      </c>
      <c r="H61" s="327">
        <f>[2]Beta!C64</f>
        <v>0.85057057788650969</v>
      </c>
      <c r="I61" s="326">
        <f>[2]WACC!D72</f>
        <v>5.9840012396830414E-2</v>
      </c>
      <c r="J61" s="326">
        <f>[2]optvar!C66</f>
        <v>0.21939735279878639</v>
      </c>
      <c r="K61" s="326">
        <f>[2]WACC!G72</f>
        <v>3.3800000000000004E-2</v>
      </c>
      <c r="L61" s="326">
        <f>'[2]Debt fundamentals'!F61</f>
        <v>0.47125737580749977</v>
      </c>
      <c r="M61" s="326">
        <f>[2]WACC!K72</f>
        <v>4.3417497570527666E-2</v>
      </c>
      <c r="N61" s="327">
        <f>'[2]Cap Ex'!J61</f>
        <v>0.60976190171467592</v>
      </c>
      <c r="O61" s="327">
        <f>[2]PS!E61</f>
        <v>2.2634376631937623</v>
      </c>
      <c r="P61" s="327">
        <f>[2]EVEBITDA!D62</f>
        <v>10.386520327076765</v>
      </c>
      <c r="Q61" s="327">
        <f>[2]EVEBITDA!E62</f>
        <v>19.750508483198377</v>
      </c>
      <c r="R61" s="327">
        <f>[2]PBV!C61</f>
        <v>1.3591870438240774</v>
      </c>
      <c r="S61" s="327">
        <f>[2]PE!D61</f>
        <v>50.313815674327508</v>
      </c>
      <c r="T61" s="326">
        <f>'[2]Working capital'!F61</f>
        <v>4.2268944512268425E-3</v>
      </c>
      <c r="U61" s="326">
        <f>'[2]Summary sheet uValue'!G70</f>
        <v>0.16473923320166431</v>
      </c>
      <c r="V61" s="326">
        <f>'[2]Cap Ex'!H61</f>
        <v>8.65556336773117E-2</v>
      </c>
      <c r="W61" s="326">
        <f>[2]fundgrEB!D61</f>
        <v>1.0669555623198914</v>
      </c>
      <c r="X61" s="326">
        <f>[2]Fundgr!C61</f>
        <v>7.8603598106160993E-2</v>
      </c>
      <c r="Y61" s="326">
        <f>'[2]Dividend fundamentals'!E61</f>
        <v>0.8213074291657263</v>
      </c>
      <c r="Z61" s="326">
        <f>1-[2]Fundgr!D61</f>
        <v>0.8213074291657263</v>
      </c>
      <c r="AA61" s="328">
        <f>[2]Margins!J62</f>
        <v>0.11274540440208251</v>
      </c>
    </row>
    <row r="62" spans="1:27" s="295" customFormat="1">
      <c r="A62" s="325" t="str">
        <f>'[2]Master data'!A62</f>
        <v>Precious Metals</v>
      </c>
      <c r="B62" s="143">
        <f>'[2]Master data'!B62</f>
        <v>947</v>
      </c>
      <c r="C62" s="326">
        <f>'[2]Hist Growth'!D62</f>
        <v>0.2520170334928229</v>
      </c>
      <c r="D62" s="326">
        <f>[2]Margins!F63</f>
        <v>0.24978183492650152</v>
      </c>
      <c r="E62" s="326">
        <f>'[2]Return on capital'!H62</f>
        <v>0.22835718773495844</v>
      </c>
      <c r="F62" s="326">
        <f>'[2]Tax rates'!H63</f>
        <v>0.26676370994632626</v>
      </c>
      <c r="G62" s="327">
        <f>[2]Beta!H65</f>
        <v>0.98817293843464626</v>
      </c>
      <c r="H62" s="327">
        <f>[2]Beta!C65</f>
        <v>0.9980982211172692</v>
      </c>
      <c r="I62" s="326">
        <f>[2]WACC!D73</f>
        <v>6.7599966430768363E-2</v>
      </c>
      <c r="J62" s="326">
        <f>[2]optvar!C67</f>
        <v>0.51152642318556052</v>
      </c>
      <c r="K62" s="326">
        <f>[2]WACC!G73</f>
        <v>4.4580000000000009E-2</v>
      </c>
      <c r="L62" s="326">
        <f>'[2]Debt fundamentals'!F62</f>
        <v>0.12800822175373266</v>
      </c>
      <c r="M62" s="326">
        <f>[2]WACC!K73</f>
        <v>6.3166079802516456E-2</v>
      </c>
      <c r="N62" s="327">
        <f>'[2]Cap Ex'!J62</f>
        <v>0.95262202852854316</v>
      </c>
      <c r="O62" s="327">
        <f>[2]PS!E62</f>
        <v>2.5021023080853402</v>
      </c>
      <c r="P62" s="327">
        <f>[2]EVEBITDA!D63</f>
        <v>6.2521293526131698</v>
      </c>
      <c r="Q62" s="327">
        <f>[2]EVEBITDA!E63</f>
        <v>9.1312773733666219</v>
      </c>
      <c r="R62" s="327">
        <f>[2]PBV!C62</f>
        <v>1.9752486826228053</v>
      </c>
      <c r="S62" s="327">
        <f>[2]PE!D62</f>
        <v>73.345984378275134</v>
      </c>
      <c r="T62" s="326">
        <f>'[2]Working capital'!F62</f>
        <v>0.11643691868281297</v>
      </c>
      <c r="U62" s="326">
        <f>'[2]Summary sheet uValue'!G71</f>
        <v>0.15522177245302937</v>
      </c>
      <c r="V62" s="326">
        <f>'[2]Cap Ex'!H62</f>
        <v>0.1009003571940405</v>
      </c>
      <c r="W62" s="326">
        <f>[2]fundgrEB!D62</f>
        <v>0.66069086913255393</v>
      </c>
      <c r="X62" s="326">
        <f>[2]Fundgr!C62</f>
        <v>0.17037403464684808</v>
      </c>
      <c r="Y62" s="326">
        <f>'[2]Dividend fundamentals'!E62</f>
        <v>0.36612808841204303</v>
      </c>
      <c r="Z62" s="326">
        <f>1-[2]Fundgr!D62</f>
        <v>0.36612808841204303</v>
      </c>
      <c r="AA62" s="328">
        <f>[2]Margins!J63</f>
        <v>0.250230783282198</v>
      </c>
    </row>
    <row r="63" spans="1:27" s="295" customFormat="1">
      <c r="A63" s="325" t="str">
        <f>'[2]Master data'!A63</f>
        <v>Publishing &amp; Newspapers</v>
      </c>
      <c r="B63" s="143">
        <f>'[2]Master data'!B63</f>
        <v>337</v>
      </c>
      <c r="C63" s="326">
        <f>'[2]Hist Growth'!D63</f>
        <v>-1.9352941176470611E-4</v>
      </c>
      <c r="D63" s="326">
        <f>[2]Margins!F64</f>
        <v>6.5754492926377819E-2</v>
      </c>
      <c r="E63" s="326">
        <f>'[2]Return on capital'!H63</f>
        <v>8.3477775726052417E-2</v>
      </c>
      <c r="F63" s="326">
        <f>'[2]Tax rates'!H64</f>
        <v>0.20637652404883514</v>
      </c>
      <c r="G63" s="327">
        <f>[2]Beta!H66</f>
        <v>0.94029537835203902</v>
      </c>
      <c r="H63" s="327">
        <f>[2]Beta!C66</f>
        <v>0.93265741787579681</v>
      </c>
      <c r="I63" s="326">
        <f>[2]WACC!D74</f>
        <v>6.415778018026691E-2</v>
      </c>
      <c r="J63" s="326">
        <f>[2]optvar!C68</f>
        <v>0.27407123703856845</v>
      </c>
      <c r="K63" s="326">
        <f>[2]WACC!G74</f>
        <v>4.0400000000000005E-2</v>
      </c>
      <c r="L63" s="326">
        <f>'[2]Debt fundamentals'!F63</f>
        <v>0.20641169071155921</v>
      </c>
      <c r="M63" s="326">
        <f>[2]WACC!K74</f>
        <v>5.7080744787087384E-2</v>
      </c>
      <c r="N63" s="327">
        <f>'[2]Cap Ex'!J63</f>
        <v>1.4490359302598788</v>
      </c>
      <c r="O63" s="327">
        <f>[2]PS!E63</f>
        <v>1.343212641785148</v>
      </c>
      <c r="P63" s="327">
        <f>[2]EVEBITDA!D64</f>
        <v>11.379010335944335</v>
      </c>
      <c r="Q63" s="327">
        <f>[2]EVEBITDA!E64</f>
        <v>19.537787626586795</v>
      </c>
      <c r="R63" s="327">
        <f>[2]PBV!C63</f>
        <v>1.434391101563089</v>
      </c>
      <c r="S63" s="327">
        <f>[2]PE!D63</f>
        <v>40.221088735025418</v>
      </c>
      <c r="T63" s="326">
        <f>'[2]Working capital'!F63</f>
        <v>0.10698360809996231</v>
      </c>
      <c r="U63" s="326">
        <f>'[2]Summary sheet uValue'!G72</f>
        <v>3.0724811606501541E-2</v>
      </c>
      <c r="V63" s="326">
        <f>'[2]Cap Ex'!H63</f>
        <v>2.9516992667007955E-2</v>
      </c>
      <c r="W63" s="326">
        <f>[2]fundgrEB!D63</f>
        <v>0.38898874099598818</v>
      </c>
      <c r="X63" s="326">
        <f>[2]Fundgr!C63</f>
        <v>0.16256326716511255</v>
      </c>
      <c r="Y63" s="326">
        <f>'[2]Dividend fundamentals'!E63</f>
        <v>0.18780256734148806</v>
      </c>
      <c r="Z63" s="326">
        <f>1-[2]Fundgr!D63</f>
        <v>0.18780256734148804</v>
      </c>
      <c r="AA63" s="328">
        <f>[2]Margins!J64</f>
        <v>6.6488224748633973E-2</v>
      </c>
    </row>
    <row r="64" spans="1:27" s="295" customFormat="1">
      <c r="A64" s="325" t="str">
        <f>'[2]Master data'!A64</f>
        <v>R.E.I.T.</v>
      </c>
      <c r="B64" s="143">
        <f>'[2]Master data'!B64</f>
        <v>812</v>
      </c>
      <c r="C64" s="326">
        <f>'[2]Hist Growth'!D64</f>
        <v>8.091073476702508E-2</v>
      </c>
      <c r="D64" s="326">
        <f>[2]Margins!F65</f>
        <v>0.3125148541838112</v>
      </c>
      <c r="E64" s="326">
        <f>'[2]Return on capital'!H64</f>
        <v>3.4260616410805349E-2</v>
      </c>
      <c r="F64" s="326">
        <f>'[2]Tax rates'!H65</f>
        <v>5.7960027572714894E-2</v>
      </c>
      <c r="G64" s="327">
        <f>[2]Beta!H67</f>
        <v>0.76675846611750464</v>
      </c>
      <c r="H64" s="327">
        <f>[2]Beta!C67</f>
        <v>1.0655405607637354</v>
      </c>
      <c r="I64" s="326">
        <f>[2]WACC!D75</f>
        <v>7.1147433496172474E-2</v>
      </c>
      <c r="J64" s="326">
        <f>[2]optvar!C69</f>
        <v>0.23920701412951273</v>
      </c>
      <c r="K64" s="326">
        <f>[2]WACC!G75</f>
        <v>3.3800000000000004E-2</v>
      </c>
      <c r="L64" s="326">
        <f>'[2]Debt fundamentals'!F64</f>
        <v>0.36355830313820703</v>
      </c>
      <c r="M64" s="326">
        <f>[2]WACC!K75</f>
        <v>5.4367140617370774E-2</v>
      </c>
      <c r="N64" s="327">
        <f>'[2]Cap Ex'!J64</f>
        <v>0.12173637222858757</v>
      </c>
      <c r="O64" s="327">
        <f>[2]PS!E64</f>
        <v>13.480597375988856</v>
      </c>
      <c r="P64" s="327">
        <f>[2]EVEBITDA!D65</f>
        <v>26.146513104680299</v>
      </c>
      <c r="Q64" s="327">
        <f>[2]EVEBITDA!E65</f>
        <v>40.963816517321291</v>
      </c>
      <c r="R64" s="327">
        <f>[2]PBV!C64</f>
        <v>1.9370200483408939</v>
      </c>
      <c r="S64" s="327">
        <f>[2]PE!D64</f>
        <v>126.29069908292132</v>
      </c>
      <c r="T64" s="326">
        <f>'[2]Working capital'!F64</f>
        <v>0.74615533449941518</v>
      </c>
      <c r="U64" s="326">
        <f>'[2]Summary sheet uValue'!G73</f>
        <v>8.7043868668513075E-2</v>
      </c>
      <c r="V64" s="326">
        <f>'[2]Cap Ex'!H64</f>
        <v>0.10141562264381192</v>
      </c>
      <c r="W64" s="326">
        <f>[2]fundgrEB!D64</f>
        <v>0.3720951575429155</v>
      </c>
      <c r="X64" s="326">
        <f>[2]Fundgr!C64</f>
        <v>6.8193071154629525E-2</v>
      </c>
      <c r="Y64" s="326">
        <f>'[2]Dividend fundamentals'!E64</f>
        <v>0.94918744565646374</v>
      </c>
      <c r="Z64" s="326">
        <f>1-[2]Fundgr!D64</f>
        <v>0.94918744565646374</v>
      </c>
      <c r="AA64" s="328">
        <f>[2]Margins!J65</f>
        <v>0.28922564081811658</v>
      </c>
    </row>
    <row r="65" spans="1:27" s="295" customFormat="1">
      <c r="A65" s="325" t="str">
        <f>'[2]Master data'!A65</f>
        <v>Real Estate (Development)</v>
      </c>
      <c r="B65" s="143">
        <f>'[2]Master data'!B65</f>
        <v>893</v>
      </c>
      <c r="C65" s="326">
        <f>'[2]Hist Growth'!D65</f>
        <v>8.4795518341307816E-2</v>
      </c>
      <c r="D65" s="326">
        <f>[2]Margins!F66</f>
        <v>0.1402163824447808</v>
      </c>
      <c r="E65" s="326">
        <f>'[2]Return on capital'!H65</f>
        <v>7.7787095652650518E-2</v>
      </c>
      <c r="F65" s="326">
        <f>'[2]Tax rates'!H66</f>
        <v>0.32923067263862732</v>
      </c>
      <c r="G65" s="327">
        <f>[2]Beta!H68</f>
        <v>0.51619803539888998</v>
      </c>
      <c r="H65" s="327">
        <f>[2]Beta!C68</f>
        <v>0.99962799907070832</v>
      </c>
      <c r="I65" s="326">
        <f>[2]WACC!D76</f>
        <v>6.7680432751119263E-2</v>
      </c>
      <c r="J65" s="326">
        <f>[2]optvar!C70</f>
        <v>0.27273025739397344</v>
      </c>
      <c r="K65" s="326">
        <f>[2]WACC!G76</f>
        <v>4.0400000000000005E-2</v>
      </c>
      <c r="L65" s="326">
        <f>'[2]Debt fundamentals'!F65</f>
        <v>0.67231315173264061</v>
      </c>
      <c r="M65" s="326">
        <f>[2]WACC!K76</f>
        <v>4.2261164810986268E-2</v>
      </c>
      <c r="N65" s="327">
        <f>'[2]Cap Ex'!J65</f>
        <v>0.6675600575005235</v>
      </c>
      <c r="O65" s="327">
        <f>[2]PS!E65</f>
        <v>1.441888536380342</v>
      </c>
      <c r="P65" s="327">
        <f>[2]EVEBITDA!D66</f>
        <v>8.9434357950478471</v>
      </c>
      <c r="Q65" s="327">
        <f>[2]EVEBITDA!E66</f>
        <v>9.6976211350502126</v>
      </c>
      <c r="R65" s="327">
        <f>[2]PBV!C65</f>
        <v>0.51747341298253002</v>
      </c>
      <c r="S65" s="327">
        <f>[2]PE!D65</f>
        <v>68.130522633238598</v>
      </c>
      <c r="T65" s="326">
        <f>'[2]Working capital'!F65</f>
        <v>1.805549796470475</v>
      </c>
      <c r="U65" s="326">
        <f>'[2]Summary sheet uValue'!G74</f>
        <v>2.6775049730339999E-2</v>
      </c>
      <c r="V65" s="326">
        <f>'[2]Cap Ex'!H65</f>
        <v>2.4398704395905024E-2</v>
      </c>
      <c r="W65" s="326">
        <f>[2]fundgrEB!D65</f>
        <v>0.64794952486967616</v>
      </c>
      <c r="X65" s="326">
        <f>[2]Fundgr!C65</f>
        <v>0.11851272667617617</v>
      </c>
      <c r="Y65" s="326">
        <f>'[2]Dividend fundamentals'!E65</f>
        <v>0.59686960153778446</v>
      </c>
      <c r="Z65" s="326">
        <f>1-[2]Fundgr!D65</f>
        <v>0.59686960153778446</v>
      </c>
      <c r="AA65" s="328">
        <f>[2]Margins!J66</f>
        <v>0.1405098286196306</v>
      </c>
    </row>
    <row r="66" spans="1:27" s="295" customFormat="1">
      <c r="A66" s="325" t="str">
        <f>'[2]Master data'!A66</f>
        <v>Real Estate (General/Diversified)</v>
      </c>
      <c r="B66" s="143">
        <f>'[2]Master data'!B66</f>
        <v>344</v>
      </c>
      <c r="C66" s="326">
        <f>'[2]Hist Growth'!D66</f>
        <v>7.2854982817869465E-2</v>
      </c>
      <c r="D66" s="326">
        <f>[2]Margins!F67</f>
        <v>0.15291818839805732</v>
      </c>
      <c r="E66" s="326">
        <f>'[2]Return on capital'!H66</f>
        <v>3.7749188201657506E-2</v>
      </c>
      <c r="F66" s="326">
        <f>'[2]Tax rates'!H67</f>
        <v>0.30270040782164959</v>
      </c>
      <c r="G66" s="327">
        <f>[2]Beta!H69</f>
        <v>0.6141206252318322</v>
      </c>
      <c r="H66" s="327">
        <f>[2]Beta!C69</f>
        <v>1.030256203698114</v>
      </c>
      <c r="I66" s="326">
        <f>[2]WACC!D77</f>
        <v>6.9291476314520789E-2</v>
      </c>
      <c r="J66" s="326">
        <f>[2]optvar!C71</f>
        <v>0.24606295988272234</v>
      </c>
      <c r="K66" s="326">
        <f>[2]WACC!G77</f>
        <v>3.3800000000000004E-2</v>
      </c>
      <c r="L66" s="326">
        <f>'[2]Debt fundamentals'!F66</f>
        <v>0.53276499850842007</v>
      </c>
      <c r="M66" s="326">
        <f>[2]WACC!K77</f>
        <v>4.5690116707691748E-2</v>
      </c>
      <c r="N66" s="327">
        <f>'[2]Cap Ex'!J66</f>
        <v>0.28909840491012018</v>
      </c>
      <c r="O66" s="327">
        <f>[2]PS!E66</f>
        <v>3.2394595778384421</v>
      </c>
      <c r="P66" s="327">
        <f>[2]EVEBITDA!D67</f>
        <v>12.650855591494576</v>
      </c>
      <c r="Q66" s="327">
        <f>[2]EVEBITDA!E67</f>
        <v>18.877286550531263</v>
      </c>
      <c r="R66" s="327">
        <f>[2]PBV!C66</f>
        <v>0.71022240968473349</v>
      </c>
      <c r="S66" s="327">
        <f>[2]PE!D66</f>
        <v>69.440151424643645</v>
      </c>
      <c r="T66" s="326">
        <f>'[2]Working capital'!F66</f>
        <v>1.0397745638673204</v>
      </c>
      <c r="U66" s="326">
        <f>'[2]Summary sheet uValue'!G75</f>
        <v>7.5405845668792132E-2</v>
      </c>
      <c r="V66" s="326">
        <f>'[2]Cap Ex'!H66</f>
        <v>6.8333546742019136E-2</v>
      </c>
      <c r="W66" s="326">
        <f>[2]fundgrEB!D66</f>
        <v>1.0431119612005659</v>
      </c>
      <c r="X66" s="326">
        <f>[2]Fundgr!C66</f>
        <v>3.829819330350042E-2</v>
      </c>
      <c r="Y66" s="326">
        <f>'[2]Dividend fundamentals'!E66</f>
        <v>0.76577486034031972</v>
      </c>
      <c r="Z66" s="326">
        <f>1-[2]Fundgr!D66</f>
        <v>0.76577486034031972</v>
      </c>
      <c r="AA66" s="328">
        <f>[2]Margins!J67</f>
        <v>0.15171945865492331</v>
      </c>
    </row>
    <row r="67" spans="1:27" s="295" customFormat="1">
      <c r="A67" s="325" t="str">
        <f>'[2]Master data'!A67</f>
        <v>Real Estate (Operations &amp; Services)</v>
      </c>
      <c r="B67" s="143">
        <f>'[2]Master data'!B67</f>
        <v>739</v>
      </c>
      <c r="C67" s="326">
        <f>'[2]Hist Growth'!D67</f>
        <v>7.1725042372881354E-2</v>
      </c>
      <c r="D67" s="326">
        <f>[2]Margins!F68</f>
        <v>0.18256624628656898</v>
      </c>
      <c r="E67" s="326">
        <f>'[2]Return on capital'!H67</f>
        <v>3.6684425527639959E-2</v>
      </c>
      <c r="F67" s="326">
        <f>'[2]Tax rates'!H68</f>
        <v>0.2361623348209142</v>
      </c>
      <c r="G67" s="327">
        <f>[2]Beta!H70</f>
        <v>0.62550201655477744</v>
      </c>
      <c r="H67" s="327">
        <f>[2]Beta!C70</f>
        <v>0.89802623507809409</v>
      </c>
      <c r="I67" s="326">
        <f>[2]WACC!D78</f>
        <v>6.2336179965107749E-2</v>
      </c>
      <c r="J67" s="326">
        <f>[2]optvar!C72</f>
        <v>0.26335774156083375</v>
      </c>
      <c r="K67" s="326">
        <f>[2]WACC!G78</f>
        <v>4.0400000000000005E-2</v>
      </c>
      <c r="L67" s="326">
        <f>'[2]Debt fundamentals'!F67</f>
        <v>0.42204572533912404</v>
      </c>
      <c r="M67" s="326">
        <f>[2]WACC!K78</f>
        <v>4.8634710293219911E-2</v>
      </c>
      <c r="N67" s="327">
        <f>'[2]Cap Ex'!J67</f>
        <v>0.23668772237183774</v>
      </c>
      <c r="O67" s="327">
        <f>[2]PS!E67</f>
        <v>5.6722183225076925</v>
      </c>
      <c r="P67" s="327">
        <f>[2]EVEBITDA!D68</f>
        <v>21.607820902824379</v>
      </c>
      <c r="Q67" s="327">
        <f>[2]EVEBITDA!E68</f>
        <v>30.083822379563546</v>
      </c>
      <c r="R67" s="327">
        <f>[2]PBV!C67</f>
        <v>1.1745889283669027</v>
      </c>
      <c r="S67" s="327">
        <f>[2]PE!D67</f>
        <v>33.156962642911878</v>
      </c>
      <c r="T67" s="326">
        <f>'[2]Working capital'!F67</f>
        <v>0.26767622159097937</v>
      </c>
      <c r="U67" s="326">
        <f>'[2]Summary sheet uValue'!G76</f>
        <v>3.2973785267571214E-2</v>
      </c>
      <c r="V67" s="326">
        <f>'[2]Cap Ex'!H67</f>
        <v>7.1596634293824346E-2</v>
      </c>
      <c r="W67" s="326">
        <f>[2]fundgrEB!D67</f>
        <v>1.0969013662812643</v>
      </c>
      <c r="X67" s="326">
        <f>[2]Fundgr!C67</f>
        <v>7.3275206837733878E-2</v>
      </c>
      <c r="Y67" s="326">
        <f>'[2]Dividend fundamentals'!E67</f>
        <v>0.32099479844976109</v>
      </c>
      <c r="Z67" s="326">
        <f>1-[2]Fundgr!D67</f>
        <v>0.32099479844976109</v>
      </c>
      <c r="AA67" s="328">
        <f>[2]Margins!J68</f>
        <v>0.17995982747573858</v>
      </c>
    </row>
    <row r="68" spans="1:27" s="295" customFormat="1">
      <c r="A68" s="325" t="str">
        <f>'[2]Master data'!A68</f>
        <v>Recreation</v>
      </c>
      <c r="B68" s="143">
        <f>'[2]Master data'!B68</f>
        <v>324</v>
      </c>
      <c r="C68" s="326">
        <f>'[2]Hist Growth'!D68</f>
        <v>1.2982410714285712E-2</v>
      </c>
      <c r="D68" s="326">
        <f>[2]Margins!F69</f>
        <v>0.10479327381702526</v>
      </c>
      <c r="E68" s="326">
        <f>'[2]Return on capital'!H68</f>
        <v>0.10101601549174961</v>
      </c>
      <c r="F68" s="326">
        <f>'[2]Tax rates'!H69</f>
        <v>0.22618357775240699</v>
      </c>
      <c r="G68" s="327">
        <f>[2]Beta!H71</f>
        <v>1.0236926192328399</v>
      </c>
      <c r="H68" s="327">
        <f>[2]Beta!C71</f>
        <v>1.1026570575415011</v>
      </c>
      <c r="I68" s="326">
        <f>[2]WACC!D79</f>
        <v>7.3099761226682963E-2</v>
      </c>
      <c r="J68" s="326">
        <f>[2]optvar!C73</f>
        <v>0.31771923679635966</v>
      </c>
      <c r="K68" s="326">
        <f>[2]WACC!G79</f>
        <v>4.0400000000000005E-2</v>
      </c>
      <c r="L68" s="326">
        <f>'[2]Debt fundamentals'!F68</f>
        <v>0.19785653987639573</v>
      </c>
      <c r="M68" s="326">
        <f>[2]WACC!K79</f>
        <v>6.4546818478198889E-2</v>
      </c>
      <c r="N68" s="327">
        <f>'[2]Cap Ex'!J68</f>
        <v>1.110859067737719</v>
      </c>
      <c r="O68" s="327">
        <f>[2]PS!E68</f>
        <v>2.8762504888967988</v>
      </c>
      <c r="P68" s="327">
        <f>[2]EVEBITDA!D69</f>
        <v>15.378595333766986</v>
      </c>
      <c r="Q68" s="327">
        <f>[2]EVEBITDA!E69</f>
        <v>25.735881414017935</v>
      </c>
      <c r="R68" s="327">
        <f>[2]PBV!C68</f>
        <v>3.3723824889706808</v>
      </c>
      <c r="S68" s="327">
        <f>[2]PE!D68</f>
        <v>56.28034623710419</v>
      </c>
      <c r="T68" s="326">
        <f>'[2]Working capital'!F68</f>
        <v>0.32800088347109252</v>
      </c>
      <c r="U68" s="326">
        <f>'[2]Summary sheet uValue'!G77</f>
        <v>5.6784323565288938E-2</v>
      </c>
      <c r="V68" s="326">
        <f>'[2]Cap Ex'!H68</f>
        <v>3.2231860470796538E-3</v>
      </c>
      <c r="W68" s="326">
        <f>[2]fundgrEB!D68</f>
        <v>0.2584438190598799</v>
      </c>
      <c r="X68" s="326">
        <f>[2]Fundgr!C68</f>
        <v>9.6111659540272759E-2</v>
      </c>
      <c r="Y68" s="326">
        <f>'[2]Dividend fundamentals'!E68</f>
        <v>0.59893620917777546</v>
      </c>
      <c r="Z68" s="326">
        <f>1-[2]Fundgr!D68</f>
        <v>0.59893620917777546</v>
      </c>
      <c r="AA68" s="328">
        <f>[2]Margins!J69</f>
        <v>0.10243076250142691</v>
      </c>
    </row>
    <row r="69" spans="1:27" s="295" customFormat="1">
      <c r="A69" s="325" t="str">
        <f>'[2]Master data'!A69</f>
        <v>Reinsurance</v>
      </c>
      <c r="B69" s="143">
        <f>'[2]Master data'!B69</f>
        <v>38</v>
      </c>
      <c r="C69" s="326">
        <f>'[2]Hist Growth'!D69</f>
        <v>6.4758709677419354E-2</v>
      </c>
      <c r="D69" s="326">
        <f>[2]Margins!F70</f>
        <v>6.0318336139349948E-2</v>
      </c>
      <c r="E69" s="326">
        <f>'[2]Return on capital'!H69</f>
        <v>8.8926528335698168E-2</v>
      </c>
      <c r="F69" s="326">
        <f>'[2]Tax rates'!H70</f>
        <v>0.17918783286549533</v>
      </c>
      <c r="G69" s="327">
        <f>[2]Beta!H72</f>
        <v>1.4408384721850078</v>
      </c>
      <c r="H69" s="327">
        <f>[2]Beta!C72</f>
        <v>1.4801313849019009</v>
      </c>
      <c r="I69" s="326">
        <f>[2]WACC!D80</f>
        <v>9.2954910845839997E-2</v>
      </c>
      <c r="J69" s="326">
        <f>[2]optvar!C74</f>
        <v>0.24501934609942183</v>
      </c>
      <c r="K69" s="326">
        <f>[2]WACC!G80</f>
        <v>3.3800000000000004E-2</v>
      </c>
      <c r="L69" s="326">
        <f>'[2]Debt fundamentals'!F69</f>
        <v>0.24410252987292733</v>
      </c>
      <c r="M69" s="326">
        <f>[2]WACC!K80</f>
        <v>7.6364924022133865E-2</v>
      </c>
      <c r="N69" s="327">
        <f>'[2]Cap Ex'!J69</f>
        <v>1.6664825605594367</v>
      </c>
      <c r="O69" s="327">
        <f>[2]PS!E69</f>
        <v>0.65055472061610997</v>
      </c>
      <c r="P69" s="327">
        <f>[2]EVEBITDA!D70</f>
        <v>10.015726253656963</v>
      </c>
      <c r="Q69" s="327">
        <f>[2]EVEBITDA!E70</f>
        <v>10.192714921860617</v>
      </c>
      <c r="R69" s="327">
        <f>[2]PBV!C69</f>
        <v>0.93577875412673783</v>
      </c>
      <c r="S69" s="327">
        <f>[2]PE!D69</f>
        <v>108.66421704462154</v>
      </c>
      <c r="T69" s="326">
        <f>'[2]Working capital'!F69</f>
        <v>-0.43367502275187547</v>
      </c>
      <c r="U69" s="326">
        <f>'[2]Summary sheet uValue'!G78</f>
        <v>1.3934921282063148E-3</v>
      </c>
      <c r="V69" s="326">
        <f>'[2]Cap Ex'!H69</f>
        <v>8.3789699118327569E-3</v>
      </c>
      <c r="W69" s="326">
        <f>[2]fundgrEB!D69</f>
        <v>0.40269804302958923</v>
      </c>
      <c r="X69" s="326">
        <f>[2]Fundgr!C69</f>
        <v>7.3200548690673856E-2</v>
      </c>
      <c r="Y69" s="326">
        <f>'[2]Dividend fundamentals'!E69</f>
        <v>0.47509234315152815</v>
      </c>
      <c r="Z69" s="326">
        <f>1-[2]Fundgr!D69</f>
        <v>0.47509234315152815</v>
      </c>
      <c r="AA69" s="328">
        <f>[2]Margins!J70</f>
        <v>6.0162626464628E-2</v>
      </c>
    </row>
    <row r="70" spans="1:27" s="295" customFormat="1">
      <c r="A70" s="325" t="str">
        <f>'[2]Master data'!A70</f>
        <v>Restaurant/Dining</v>
      </c>
      <c r="B70" s="143">
        <f>'[2]Master data'!B70</f>
        <v>385</v>
      </c>
      <c r="C70" s="326">
        <f>'[2]Hist Growth'!D70</f>
        <v>-2.1277744360902254E-2</v>
      </c>
      <c r="D70" s="326">
        <f>[2]Margins!F71</f>
        <v>9.6960069642850991E-2</v>
      </c>
      <c r="E70" s="326">
        <f>'[2]Return on capital'!H70</f>
        <v>9.8154599437172918E-2</v>
      </c>
      <c r="F70" s="326">
        <f>'[2]Tax rates'!H71</f>
        <v>0.18004090559025193</v>
      </c>
      <c r="G70" s="327">
        <f>[2]Beta!H73</f>
        <v>1.0103617059741818</v>
      </c>
      <c r="H70" s="327">
        <f>[2]Beta!C73</f>
        <v>1.1922172742947497</v>
      </c>
      <c r="I70" s="326">
        <f>[2]WACC!D81</f>
        <v>7.7810628627903833E-2</v>
      </c>
      <c r="J70" s="326">
        <f>[2]optvar!C75</f>
        <v>0.2914595263396178</v>
      </c>
      <c r="K70" s="326">
        <f>[2]WACC!G81</f>
        <v>4.0400000000000005E-2</v>
      </c>
      <c r="L70" s="326">
        <f>'[2]Debt fundamentals'!F70</f>
        <v>0.24117773192847775</v>
      </c>
      <c r="M70" s="326">
        <f>[2]WACC!K81</f>
        <v>6.6248841021008725E-2</v>
      </c>
      <c r="N70" s="327">
        <f>'[2]Cap Ex'!J70</f>
        <v>1.4104478023262235</v>
      </c>
      <c r="O70" s="327">
        <f>[2]PS!E70</f>
        <v>3.4369536951030795</v>
      </c>
      <c r="P70" s="327">
        <f>[2]EVEBITDA!D71</f>
        <v>18.496590240760042</v>
      </c>
      <c r="Q70" s="327">
        <f>[2]EVEBITDA!E71</f>
        <v>41.982392740787354</v>
      </c>
      <c r="R70" s="327">
        <f>[2]PBV!C70</f>
        <v>13.501455974614231</v>
      </c>
      <c r="S70" s="327">
        <f>[2]PE!D70</f>
        <v>99.526362844917855</v>
      </c>
      <c r="T70" s="326">
        <f>'[2]Working capital'!F70</f>
        <v>-1.1141502017233879E-2</v>
      </c>
      <c r="U70" s="326">
        <f>'[2]Summary sheet uValue'!G79</f>
        <v>4.4140529596335673E-2</v>
      </c>
      <c r="V70" s="326">
        <f>'[2]Cap Ex'!H70</f>
        <v>1.7103545883623797E-3</v>
      </c>
      <c r="W70" s="326">
        <f>[2]fundgrEB!D70</f>
        <v>1.7124557018564301E-2</v>
      </c>
      <c r="X70" s="326">
        <f>[2]Fundgr!C70</f>
        <v>0.45895223265992258</v>
      </c>
      <c r="Y70" s="326">
        <f>'[2]Dividend fundamentals'!E70</f>
        <v>0.61279307780549308</v>
      </c>
      <c r="Z70" s="326">
        <f>1-[2]Fundgr!D70</f>
        <v>0.61279307780549308</v>
      </c>
      <c r="AA70" s="328">
        <f>[2]Margins!J71</f>
        <v>7.7867024027282267E-2</v>
      </c>
    </row>
    <row r="71" spans="1:27" s="295" customFormat="1">
      <c r="A71" s="325" t="str">
        <f>'[2]Master data'!A71</f>
        <v>Retail (Automotive)</v>
      </c>
      <c r="B71" s="143">
        <f>'[2]Master data'!B71</f>
        <v>196</v>
      </c>
      <c r="C71" s="326">
        <f>'[2]Hist Growth'!D71</f>
        <v>6.1299259259259255E-2</v>
      </c>
      <c r="D71" s="326">
        <f>[2]Margins!F72</f>
        <v>5.3566930474810662E-2</v>
      </c>
      <c r="E71" s="326">
        <f>'[2]Return on capital'!H71</f>
        <v>0.12551530683819154</v>
      </c>
      <c r="F71" s="326">
        <f>'[2]Tax rates'!H72</f>
        <v>0.23331464319277093</v>
      </c>
      <c r="G71" s="327">
        <f>[2]Beta!H74</f>
        <v>0.88667994236322001</v>
      </c>
      <c r="H71" s="327">
        <f>[2]Beta!C74</f>
        <v>1.0960129143055957</v>
      </c>
      <c r="I71" s="326">
        <f>[2]WACC!D82</f>
        <v>7.2750279292474337E-2</v>
      </c>
      <c r="J71" s="326">
        <f>[2]optvar!C76</f>
        <v>0.29703781136560709</v>
      </c>
      <c r="K71" s="326">
        <f>[2]WACC!G82</f>
        <v>4.0400000000000005E-2</v>
      </c>
      <c r="L71" s="326">
        <f>'[2]Debt fundamentals'!F71</f>
        <v>0.29472215166337895</v>
      </c>
      <c r="M71" s="326">
        <f>[2]WACC!K82</f>
        <v>6.0113029826456603E-2</v>
      </c>
      <c r="N71" s="327">
        <f>'[2]Cap Ex'!J71</f>
        <v>3.0992071740252993</v>
      </c>
      <c r="O71" s="327">
        <f>[2]PS!E71</f>
        <v>0.862709328691871</v>
      </c>
      <c r="P71" s="327">
        <f>[2]EVEBITDA!D72</f>
        <v>11.044012178076592</v>
      </c>
      <c r="Q71" s="327">
        <f>[2]EVEBITDA!E72</f>
        <v>16.630568407817812</v>
      </c>
      <c r="R71" s="327">
        <f>[2]PBV!C71</f>
        <v>3.6352105208831316</v>
      </c>
      <c r="S71" s="327">
        <f>[2]PE!D71</f>
        <v>30.863812400411156</v>
      </c>
      <c r="T71" s="326">
        <f>'[2]Working capital'!F71</f>
        <v>9.2424792371049308E-2</v>
      </c>
      <c r="U71" s="326">
        <f>'[2]Summary sheet uValue'!G80</f>
        <v>1.9008305142296889E-2</v>
      </c>
      <c r="V71" s="326">
        <f>'[2]Cap Ex'!H71</f>
        <v>2.1151850997237289E-2</v>
      </c>
      <c r="W71" s="326">
        <f>[2]fundgrEB!D71</f>
        <v>0.61004459964309332</v>
      </c>
      <c r="X71" s="326">
        <f>[2]Fundgr!C71</f>
        <v>0.24494728006344124</v>
      </c>
      <c r="Y71" s="326">
        <f>'[2]Dividend fundamentals'!E71</f>
        <v>0.25739307550109952</v>
      </c>
      <c r="Z71" s="326">
        <f>1-[2]Fundgr!D71</f>
        <v>0.25739307550109958</v>
      </c>
      <c r="AA71" s="328">
        <f>[2]Margins!J72</f>
        <v>5.0168253715826124E-2</v>
      </c>
    </row>
    <row r="72" spans="1:27" s="295" customFormat="1">
      <c r="A72" s="325" t="str">
        <f>'[2]Master data'!A72</f>
        <v>Retail (Building Supply)</v>
      </c>
      <c r="B72" s="143">
        <f>'[2]Master data'!B72</f>
        <v>98</v>
      </c>
      <c r="C72" s="326">
        <f>'[2]Hist Growth'!D72</f>
        <v>5.1924179104477622E-2</v>
      </c>
      <c r="D72" s="326">
        <f>[2]Margins!F73</f>
        <v>0.12869917670798264</v>
      </c>
      <c r="E72" s="326">
        <f>'[2]Return on capital'!H72</f>
        <v>0.33969075732122461</v>
      </c>
      <c r="F72" s="326">
        <f>'[2]Tax rates'!H73</f>
        <v>0.24108018192409669</v>
      </c>
      <c r="G72" s="327">
        <f>[2]Beta!H75</f>
        <v>1.1054564123787107</v>
      </c>
      <c r="H72" s="327">
        <f>[2]Beta!C75</f>
        <v>1.1996449547792511</v>
      </c>
      <c r="I72" s="326">
        <f>[2]WACC!D83</f>
        <v>7.820132462138861E-2</v>
      </c>
      <c r="J72" s="326">
        <f>[2]optvar!C77</f>
        <v>0.28844314128208381</v>
      </c>
      <c r="K72" s="326">
        <f>[2]WACC!G83</f>
        <v>4.0400000000000005E-2</v>
      </c>
      <c r="L72" s="326">
        <f>'[2]Debt fundamentals'!F72</f>
        <v>0.13867834864294046</v>
      </c>
      <c r="M72" s="326">
        <f>[2]WACC!K83</f>
        <v>7.1499060409062162E-2</v>
      </c>
      <c r="N72" s="327">
        <f>'[2]Cap Ex'!J72</f>
        <v>3.3519985827505754</v>
      </c>
      <c r="O72" s="327">
        <f>[2]PS!E72</f>
        <v>2.2340381402244831</v>
      </c>
      <c r="P72" s="327">
        <f>[2]EVEBITDA!D73</f>
        <v>14.037315934668023</v>
      </c>
      <c r="Q72" s="327">
        <f>[2]EVEBITDA!E73</f>
        <v>17.651647619898807</v>
      </c>
      <c r="R72" s="327">
        <f>[2]PBV!C72</f>
        <v>15.548797460699921</v>
      </c>
      <c r="S72" s="327">
        <f>[2]PE!D72</f>
        <v>26.990942614366411</v>
      </c>
      <c r="T72" s="326">
        <f>'[2]Working capital'!F72</f>
        <v>7.1808409062686832E-2</v>
      </c>
      <c r="U72" s="326">
        <f>'[2]Summary sheet uValue'!G81</f>
        <v>2.1465926760283006E-2</v>
      </c>
      <c r="V72" s="326">
        <f>'[2]Cap Ex'!H72</f>
        <v>2.4358239196111704E-2</v>
      </c>
      <c r="W72" s="326">
        <f>[2]fundgrEB!D72</f>
        <v>0.49559855333708941</v>
      </c>
      <c r="X72" s="326">
        <f>[2]Fundgr!C72</f>
        <v>0.64974135808072853</v>
      </c>
      <c r="Y72" s="326">
        <f>'[2]Dividend fundamentals'!E72</f>
        <v>0.3258790441526907</v>
      </c>
      <c r="Z72" s="326">
        <f>1-[2]Fundgr!D72</f>
        <v>0.32587904415269064</v>
      </c>
      <c r="AA72" s="328">
        <f>[2]Margins!J73</f>
        <v>0.12658002312245675</v>
      </c>
    </row>
    <row r="73" spans="1:27" s="295" customFormat="1">
      <c r="A73" s="325" t="str">
        <f>'[2]Master data'!A73</f>
        <v>Retail (Distributors)</v>
      </c>
      <c r="B73" s="143">
        <f>'[2]Master data'!B73</f>
        <v>1002</v>
      </c>
      <c r="C73" s="326">
        <f>'[2]Hist Growth'!D73</f>
        <v>8.1909833333333418E-2</v>
      </c>
      <c r="D73" s="326">
        <f>[2]Margins!F74</f>
        <v>4.2944738669705905E-2</v>
      </c>
      <c r="E73" s="326">
        <f>'[2]Return on capital'!H73</f>
        <v>7.3493102616759037E-2</v>
      </c>
      <c r="F73" s="326">
        <f>'[2]Tax rates'!H74</f>
        <v>0.23787637709889731</v>
      </c>
      <c r="G73" s="327">
        <f>[2]Beta!H76</f>
        <v>0.64648782920437775</v>
      </c>
      <c r="H73" s="327">
        <f>[2]Beta!C76</f>
        <v>0.87060033611657495</v>
      </c>
      <c r="I73" s="326">
        <f>[2]WACC!D84</f>
        <v>6.0893577679731845E-2</v>
      </c>
      <c r="J73" s="326">
        <f>[2]optvar!C78</f>
        <v>0.2967655843359035</v>
      </c>
      <c r="K73" s="326">
        <f>[2]WACC!G84</f>
        <v>4.0400000000000005E-2</v>
      </c>
      <c r="L73" s="326">
        <f>'[2]Debt fundamentals'!F73</f>
        <v>0.39198495581480319</v>
      </c>
      <c r="M73" s="326">
        <f>[2]WACC!K84</f>
        <v>4.8733491847247283E-2</v>
      </c>
      <c r="N73" s="327">
        <f>'[2]Cap Ex'!J73</f>
        <v>2.031812284146679</v>
      </c>
      <c r="O73" s="327">
        <f>[2]PS!E73</f>
        <v>0.81025514565081813</v>
      </c>
      <c r="P73" s="327">
        <f>[2]EVEBITDA!D74</f>
        <v>13.149138617876014</v>
      </c>
      <c r="Q73" s="327">
        <f>[2]EVEBITDA!E74</f>
        <v>18.366157507363798</v>
      </c>
      <c r="R73" s="327">
        <f>[2]PBV!C73</f>
        <v>1.7168213877198601</v>
      </c>
      <c r="S73" s="327">
        <f>[2]PE!D73</f>
        <v>137.26423980293447</v>
      </c>
      <c r="T73" s="326">
        <f>'[2]Working capital'!F73</f>
        <v>0.15657276340722556</v>
      </c>
      <c r="U73" s="326">
        <f>'[2]Summary sheet uValue'!G82</f>
        <v>2.8562048295478558E-2</v>
      </c>
      <c r="V73" s="326">
        <f>'[2]Cap Ex'!H73</f>
        <v>2.3832681878767144E-2</v>
      </c>
      <c r="W73" s="326">
        <f>[2]fundgrEB!D73</f>
        <v>1.0950181950750613</v>
      </c>
      <c r="X73" s="326">
        <f>[2]Fundgr!C73</f>
        <v>0.12644830240753238</v>
      </c>
      <c r="Y73" s="326">
        <f>'[2]Dividend fundamentals'!E73</f>
        <v>0.37294360587113945</v>
      </c>
      <c r="Z73" s="326">
        <f>1-[2]Fundgr!D73</f>
        <v>0.37294360587113951</v>
      </c>
      <c r="AA73" s="328">
        <f>[2]Margins!J74</f>
        <v>4.3242731983525774E-2</v>
      </c>
    </row>
    <row r="74" spans="1:27" s="295" customFormat="1">
      <c r="A74" s="325" t="str">
        <f>'[2]Master data'!A74</f>
        <v>Retail (General)</v>
      </c>
      <c r="B74" s="143">
        <f>'[2]Master data'!B74</f>
        <v>204</v>
      </c>
      <c r="C74" s="326">
        <f>'[2]Hist Growth'!D74</f>
        <v>-2.4461977401129934E-2</v>
      </c>
      <c r="D74" s="326">
        <f>[2]Margins!F75</f>
        <v>5.3628754509030915E-2</v>
      </c>
      <c r="E74" s="326">
        <f>'[2]Return on capital'!H74</f>
        <v>0.12009403587138043</v>
      </c>
      <c r="F74" s="326">
        <f>'[2]Tax rates'!H75</f>
        <v>0.28050508954276943</v>
      </c>
      <c r="G74" s="327">
        <f>[2]Beta!H77</f>
        <v>0.86812200658308269</v>
      </c>
      <c r="H74" s="327">
        <f>[2]Beta!C77</f>
        <v>1.0186306423304552</v>
      </c>
      <c r="I74" s="326">
        <f>[2]WACC!D85</f>
        <v>6.8679971786581945E-2</v>
      </c>
      <c r="J74" s="326">
        <f>[2]optvar!C79</f>
        <v>0.24699731612176148</v>
      </c>
      <c r="K74" s="326">
        <f>[2]WACC!G85</f>
        <v>3.3800000000000004E-2</v>
      </c>
      <c r="L74" s="326">
        <f>'[2]Debt fundamentals'!F74</f>
        <v>0.25060880033563432</v>
      </c>
      <c r="M74" s="326">
        <f>[2]WACC!K85</f>
        <v>5.7731311417585508E-2</v>
      </c>
      <c r="N74" s="327">
        <f>'[2]Cap Ex'!J74</f>
        <v>2.9540157175171817</v>
      </c>
      <c r="O74" s="327">
        <f>[2]PS!E74</f>
        <v>0.98109573609362766</v>
      </c>
      <c r="P74" s="327">
        <f>[2]EVEBITDA!D75</f>
        <v>11.642114254864975</v>
      </c>
      <c r="Q74" s="327">
        <f>[2]EVEBITDA!E75</f>
        <v>19.377789222198967</v>
      </c>
      <c r="R74" s="327">
        <f>[2]PBV!C74</f>
        <v>3.4884042791490781</v>
      </c>
      <c r="S74" s="327">
        <f>[2]PE!D74</f>
        <v>52.206672229204003</v>
      </c>
      <c r="T74" s="326">
        <f>'[2]Working capital'!F74</f>
        <v>-1.2389119107692029E-2</v>
      </c>
      <c r="U74" s="326">
        <f>'[2]Summary sheet uValue'!G83</f>
        <v>2.610868471618679E-2</v>
      </c>
      <c r="V74" s="326">
        <f>'[2]Cap Ex'!H74</f>
        <v>3.8148259971067088E-3</v>
      </c>
      <c r="W74" s="326">
        <f>[2]fundgrEB!D74</f>
        <v>0.20783084392898835</v>
      </c>
      <c r="X74" s="326">
        <f>[2]Fundgr!C74</f>
        <v>0.12899801857561807</v>
      </c>
      <c r="Y74" s="326">
        <f>'[2]Dividend fundamentals'!E74</f>
        <v>0.41566751468435842</v>
      </c>
      <c r="Z74" s="326">
        <f>1-[2]Fundgr!D74</f>
        <v>0.41566751468435847</v>
      </c>
      <c r="AA74" s="328">
        <f>[2]Margins!J75</f>
        <v>5.025303590715819E-2</v>
      </c>
    </row>
    <row r="75" spans="1:27" s="295" customFormat="1">
      <c r="A75" s="325" t="str">
        <f>'[2]Master data'!A75</f>
        <v>Retail (Grocery and Food)</v>
      </c>
      <c r="B75" s="143">
        <f>'[2]Master data'!B75</f>
        <v>184</v>
      </c>
      <c r="C75" s="326">
        <f>'[2]Hist Growth'!D75</f>
        <v>3.5968741258741235E-2</v>
      </c>
      <c r="D75" s="326">
        <f>[2]Margins!F76</f>
        <v>4.3134456086045748E-2</v>
      </c>
      <c r="E75" s="326">
        <f>'[2]Return on capital'!H75</f>
        <v>0.10855706711325305</v>
      </c>
      <c r="F75" s="326">
        <f>'[2]Tax rates'!H76</f>
        <v>0.23918278952055685</v>
      </c>
      <c r="G75" s="327">
        <f>[2]Beta!H78</f>
        <v>0.53466394846871457</v>
      </c>
      <c r="H75" s="327">
        <f>[2]Beta!C78</f>
        <v>0.68885348820722192</v>
      </c>
      <c r="I75" s="326">
        <f>[2]WACC!D86</f>
        <v>5.1333693479699877E-2</v>
      </c>
      <c r="J75" s="326">
        <f>[2]optvar!C80</f>
        <v>0.22686440685305706</v>
      </c>
      <c r="K75" s="326">
        <f>[2]WACC!G86</f>
        <v>3.3800000000000004E-2</v>
      </c>
      <c r="L75" s="326">
        <f>'[2]Debt fundamentals'!F75</f>
        <v>0.34859286084122793</v>
      </c>
      <c r="M75" s="326">
        <f>[2]WACC!K86</f>
        <v>4.215106958420755E-2</v>
      </c>
      <c r="N75" s="327">
        <f>'[2]Cap Ex'!J75</f>
        <v>3.2757020803860475</v>
      </c>
      <c r="O75" s="327">
        <f>[2]PS!E75</f>
        <v>0.72499312776739855</v>
      </c>
      <c r="P75" s="327">
        <f>[2]EVEBITDA!D76</f>
        <v>10.513249932062731</v>
      </c>
      <c r="Q75" s="327">
        <f>[2]EVEBITDA!E76</f>
        <v>17.386192027509942</v>
      </c>
      <c r="R75" s="327">
        <f>[2]PBV!C75</f>
        <v>2.5986200126703913</v>
      </c>
      <c r="S75" s="327">
        <f>[2]PE!D75</f>
        <v>33.369494528286303</v>
      </c>
      <c r="T75" s="326">
        <f>'[2]Working capital'!F75</f>
        <v>-3.9995356730696603E-2</v>
      </c>
      <c r="U75" s="326">
        <f>'[2]Summary sheet uValue'!G84</f>
        <v>2.7462925418268658E-2</v>
      </c>
      <c r="V75" s="326">
        <f>'[2]Cap Ex'!H75</f>
        <v>2.5860874767432901E-2</v>
      </c>
      <c r="W75" s="326">
        <f>[2]fundgrEB!D75</f>
        <v>0.87831947312853242</v>
      </c>
      <c r="X75" s="326">
        <f>[2]Fundgr!C75</f>
        <v>0.16067738837881854</v>
      </c>
      <c r="Y75" s="326">
        <f>'[2]Dividend fundamentals'!E75</f>
        <v>0.36045746802246409</v>
      </c>
      <c r="Z75" s="326">
        <f>1-[2]Fundgr!D75</f>
        <v>0.36045746802246414</v>
      </c>
      <c r="AA75" s="328">
        <f>[2]Margins!J76</f>
        <v>4.1546403627178367E-2</v>
      </c>
    </row>
    <row r="76" spans="1:27" s="295" customFormat="1">
      <c r="A76" s="325" t="str">
        <f>'[2]Master data'!A76</f>
        <v>Retail (Online)</v>
      </c>
      <c r="B76" s="143">
        <f>'[2]Master data'!B76</f>
        <v>353</v>
      </c>
      <c r="C76" s="326">
        <f>'[2]Hist Growth'!D76</f>
        <v>0.14058596273291921</v>
      </c>
      <c r="D76" s="326">
        <f>[2]Margins!F77</f>
        <v>3.1345578305595673E-2</v>
      </c>
      <c r="E76" s="326">
        <f>'[2]Return on capital'!H76</f>
        <v>6.5894194709945314E-2</v>
      </c>
      <c r="F76" s="326">
        <f>'[2]Tax rates'!H77</f>
        <v>8.9684844000353606E-2</v>
      </c>
      <c r="G76" s="327">
        <f>[2]Beta!H79</f>
        <v>1.404881197430484</v>
      </c>
      <c r="H76" s="327">
        <f>[2]Beta!C79</f>
        <v>1.4316167197186636</v>
      </c>
      <c r="I76" s="326">
        <f>[2]WACC!D87</f>
        <v>9.0403039457201712E-2</v>
      </c>
      <c r="J76" s="326">
        <f>[2]optvar!C81</f>
        <v>0.43898595970442778</v>
      </c>
      <c r="K76" s="326">
        <f>[2]WACC!G87</f>
        <v>4.4580000000000009E-2</v>
      </c>
      <c r="L76" s="326">
        <f>'[2]Debt fundamentals'!F76</f>
        <v>8.5126389408453337E-2</v>
      </c>
      <c r="M76" s="326">
        <f>[2]WACC!K87</f>
        <v>8.551332964146964E-2</v>
      </c>
      <c r="N76" s="327">
        <f>'[2]Cap Ex'!J76</f>
        <v>1.7082627677067752</v>
      </c>
      <c r="O76" s="327">
        <f>[2]PS!E76</f>
        <v>3.9603122718170067</v>
      </c>
      <c r="P76" s="327">
        <f>[2]EVEBITDA!D77</f>
        <v>26.55054315667746</v>
      </c>
      <c r="Q76" s="327">
        <f>[2]EVEBITDA!E77</f>
        <v>106.24426828922546</v>
      </c>
      <c r="R76" s="327">
        <f>[2]PBV!C76</f>
        <v>7.6873665036695789</v>
      </c>
      <c r="S76" s="327">
        <f>[2]PE!D76</f>
        <v>84.92073950216168</v>
      </c>
      <c r="T76" s="326">
        <f>'[2]Working capital'!F76</f>
        <v>-5.8468336063625094E-2</v>
      </c>
      <c r="U76" s="326">
        <f>'[2]Summary sheet uValue'!G85</f>
        <v>8.9748973705093105E-2</v>
      </c>
      <c r="V76" s="326">
        <f>'[2]Cap Ex'!H76</f>
        <v>7.9897119747193407E-2</v>
      </c>
      <c r="W76" s="326">
        <f>[2]fundgrEB!D76</f>
        <v>5.4319421096697535</v>
      </c>
      <c r="X76" s="326">
        <f>[2]Fundgr!C76</f>
        <v>0.26676580054911231</v>
      </c>
      <c r="Y76" s="326">
        <f>'[2]Dividend fundamentals'!E76</f>
        <v>3.2522516000533179E-2</v>
      </c>
      <c r="Z76" s="326">
        <f>1-[2]Fundgr!D76</f>
        <v>3.252251600053313E-2</v>
      </c>
      <c r="AA76" s="328">
        <f>[2]Margins!J77</f>
        <v>4.1542221580677191E-2</v>
      </c>
    </row>
    <row r="77" spans="1:27" s="295" customFormat="1">
      <c r="A77" s="325" t="str">
        <f>'[2]Master data'!A77</f>
        <v>Retail (Special Lines)</v>
      </c>
      <c r="B77" s="143">
        <f>'[2]Master data'!B77</f>
        <v>479</v>
      </c>
      <c r="C77" s="326">
        <f>'[2]Hist Growth'!D77</f>
        <v>1.2613285302593657E-2</v>
      </c>
      <c r="D77" s="326">
        <f>[2]Margins!F78</f>
        <v>6.1269092560628673E-2</v>
      </c>
      <c r="E77" s="326">
        <f>'[2]Return on capital'!H77</f>
        <v>0.13279299614966453</v>
      </c>
      <c r="F77" s="326">
        <f>'[2]Tax rates'!H78</f>
        <v>0.24871849830270823</v>
      </c>
      <c r="G77" s="327">
        <f>[2]Beta!H80</f>
        <v>1.0862145397901581</v>
      </c>
      <c r="H77" s="327">
        <f>[2]Beta!C80</f>
        <v>1.2079379977370139</v>
      </c>
      <c r="I77" s="326">
        <f>[2]WACC!D88</f>
        <v>7.8637538680966942E-2</v>
      </c>
      <c r="J77" s="326">
        <f>[2]optvar!C82</f>
        <v>0.31635057143527651</v>
      </c>
      <c r="K77" s="326">
        <f>[2]WACC!G88</f>
        <v>4.0400000000000005E-2</v>
      </c>
      <c r="L77" s="326">
        <f>'[2]Debt fundamentals'!F77</f>
        <v>0.22794139189461252</v>
      </c>
      <c r="M77" s="326">
        <f>[2]WACC!K88</f>
        <v>6.7521799211602715E-2</v>
      </c>
      <c r="N77" s="327">
        <f>'[2]Cap Ex'!J77</f>
        <v>2.599077759078094</v>
      </c>
      <c r="O77" s="327">
        <f>[2]PS!E77</f>
        <v>1.2014034485022349</v>
      </c>
      <c r="P77" s="327">
        <f>[2]EVEBITDA!D78</f>
        <v>10.529991306257031</v>
      </c>
      <c r="Q77" s="327">
        <f>[2]EVEBITDA!E78</f>
        <v>18.573194900869328</v>
      </c>
      <c r="R77" s="327">
        <f>[2]PBV!C77</f>
        <v>3.7450681339315119</v>
      </c>
      <c r="S77" s="327">
        <f>[2]PE!D77</f>
        <v>36.53075772679172</v>
      </c>
      <c r="T77" s="326">
        <f>'[2]Working capital'!F77</f>
        <v>6.2520644459389166E-2</v>
      </c>
      <c r="U77" s="326">
        <f>'[2]Summary sheet uValue'!G86</f>
        <v>1.7355707759161731E-2</v>
      </c>
      <c r="V77" s="326">
        <f>'[2]Cap Ex'!H77</f>
        <v>5.4898945547292711E-4</v>
      </c>
      <c r="W77" s="326">
        <f>[2]fundgrEB!D77</f>
        <v>0.20919559946357136</v>
      </c>
      <c r="X77" s="326">
        <f>[2]Fundgr!C77</f>
        <v>0.15794563940814463</v>
      </c>
      <c r="Y77" s="326">
        <f>'[2]Dividend fundamentals'!E77</f>
        <v>0.32442417082421332</v>
      </c>
      <c r="Z77" s="326">
        <f>1-[2]Fundgr!D77</f>
        <v>0.32442417082421326</v>
      </c>
      <c r="AA77" s="328">
        <f>[2]Margins!J78</f>
        <v>6.139574904661501E-2</v>
      </c>
    </row>
    <row r="78" spans="1:27" s="295" customFormat="1">
      <c r="A78" s="325" t="str">
        <f>'[2]Master data'!A78</f>
        <v>Rubber&amp; Tires</v>
      </c>
      <c r="B78" s="143">
        <f>'[2]Master data'!B78</f>
        <v>90</v>
      </c>
      <c r="C78" s="326">
        <f>'[2]Hist Growth'!D78</f>
        <v>4.1099275362318846E-2</v>
      </c>
      <c r="D78" s="326">
        <f>[2]Margins!F79</f>
        <v>0.10238272234404534</v>
      </c>
      <c r="E78" s="326">
        <f>'[2]Return on capital'!H78</f>
        <v>0.10123362293340271</v>
      </c>
      <c r="F78" s="326">
        <f>'[2]Tax rates'!H79</f>
        <v>0.22345902519286492</v>
      </c>
      <c r="G78" s="327">
        <f>[2]Beta!H81</f>
        <v>1.0977626001146414</v>
      </c>
      <c r="H78" s="327">
        <f>[2]Beta!C81</f>
        <v>1.2588029541998951</v>
      </c>
      <c r="I78" s="326">
        <f>[2]WACC!D89</f>
        <v>8.1313035390914487E-2</v>
      </c>
      <c r="J78" s="326">
        <f>[2]optvar!C83</f>
        <v>0.2558277620529969</v>
      </c>
      <c r="K78" s="326">
        <f>[2]WACC!G89</f>
        <v>4.0400000000000005E-2</v>
      </c>
      <c r="L78" s="326">
        <f>'[2]Debt fundamentals'!F78</f>
        <v>0.28118528694520339</v>
      </c>
      <c r="M78" s="326">
        <f>[2]WACC!K89</f>
        <v>6.6848505609292966E-2</v>
      </c>
      <c r="N78" s="327">
        <f>'[2]Cap Ex'!J78</f>
        <v>1.1577591039831234</v>
      </c>
      <c r="O78" s="327">
        <f>[2]PS!E78</f>
        <v>1.2161160448186801</v>
      </c>
      <c r="P78" s="327">
        <f>[2]EVEBITDA!D79</f>
        <v>7.087004352675625</v>
      </c>
      <c r="Q78" s="327">
        <f>[2]EVEBITDA!E79</f>
        <v>11.704603683580871</v>
      </c>
      <c r="R78" s="327">
        <f>[2]PBV!C78</f>
        <v>1.4562908346277255</v>
      </c>
      <c r="S78" s="327">
        <f>[2]PE!D78</f>
        <v>63.248894981939678</v>
      </c>
      <c r="T78" s="326">
        <f>'[2]Working capital'!F78</f>
        <v>0.2081095541822757</v>
      </c>
      <c r="U78" s="326">
        <f>'[2]Summary sheet uValue'!G87</f>
        <v>5.7511137121447307E-2</v>
      </c>
      <c r="V78" s="326">
        <f>'[2]Cap Ex'!H78</f>
        <v>2.9239237779639861E-2</v>
      </c>
      <c r="W78" s="326">
        <f>[2]fundgrEB!D78</f>
        <v>0.60510239145194167</v>
      </c>
      <c r="X78" s="326">
        <f>[2]Fundgr!C78</f>
        <v>0.13245205972686916</v>
      </c>
      <c r="Y78" s="326">
        <f>'[2]Dividend fundamentals'!E78</f>
        <v>0.3154235870296408</v>
      </c>
      <c r="Z78" s="326">
        <f>1-[2]Fundgr!D78</f>
        <v>0.3154235870296408</v>
      </c>
      <c r="AA78" s="328">
        <f>[2]Margins!J79</f>
        <v>0.1043088757472794</v>
      </c>
    </row>
    <row r="79" spans="1:27" s="295" customFormat="1">
      <c r="A79" s="325" t="str">
        <f>'[2]Master data'!A79</f>
        <v>Semiconductor</v>
      </c>
      <c r="B79" s="143">
        <f>'[2]Master data'!B79</f>
        <v>581</v>
      </c>
      <c r="C79" s="326">
        <f>'[2]Hist Growth'!D79</f>
        <v>8.146102505694755E-2</v>
      </c>
      <c r="D79" s="326">
        <f>[2]Margins!F80</f>
        <v>0.22016122643247338</v>
      </c>
      <c r="E79" s="326">
        <f>'[2]Return on capital'!H79</f>
        <v>0.18661866214241898</v>
      </c>
      <c r="F79" s="326">
        <f>'[2]Tax rates'!H80</f>
        <v>0.11596051089324021</v>
      </c>
      <c r="G79" s="327">
        <f>[2]Beta!H82</f>
        <v>1.5530936635261203</v>
      </c>
      <c r="H79" s="327">
        <f>[2]Beta!C82</f>
        <v>1.5666378029133892</v>
      </c>
      <c r="I79" s="326">
        <f>[2]WACC!D90</f>
        <v>9.7505148433244274E-2</v>
      </c>
      <c r="J79" s="326">
        <f>[2]optvar!C84</f>
        <v>0.34356638448587645</v>
      </c>
      <c r="K79" s="326">
        <f>[2]WACC!G90</f>
        <v>4.0400000000000005E-2</v>
      </c>
      <c r="L79" s="326">
        <f>'[2]Debt fundamentals'!F79</f>
        <v>6.6598638330346419E-2</v>
      </c>
      <c r="M79" s="326">
        <f>[2]WACC!K90</f>
        <v>9.3000856857922795E-2</v>
      </c>
      <c r="N79" s="327">
        <f>'[2]Cap Ex'!J79</f>
        <v>0.87954200985772624</v>
      </c>
      <c r="O79" s="327">
        <f>[2]PS!E79</f>
        <v>6.5834538002097833</v>
      </c>
      <c r="P79" s="327">
        <f>[2]EVEBITDA!D80</f>
        <v>18.65533232269221</v>
      </c>
      <c r="Q79" s="327">
        <f>[2]EVEBITDA!E80</f>
        <v>29.399261754390164</v>
      </c>
      <c r="R79" s="327">
        <f>[2]PBV!C79</f>
        <v>5.9893659380762454</v>
      </c>
      <c r="S79" s="327">
        <f>[2]PE!D79</f>
        <v>139.05269043014923</v>
      </c>
      <c r="T79" s="326">
        <f>'[2]Working capital'!F79</f>
        <v>0.15313389629863478</v>
      </c>
      <c r="U79" s="326">
        <f>'[2]Summary sheet uValue'!G88</f>
        <v>0.16275659751404498</v>
      </c>
      <c r="V79" s="326">
        <f>'[2]Cap Ex'!H79</f>
        <v>9.4756741586764795E-2</v>
      </c>
      <c r="W79" s="326">
        <f>[2]fundgrEB!D79</f>
        <v>0.62747999772547103</v>
      </c>
      <c r="X79" s="326">
        <f>[2]Fundgr!C79</f>
        <v>0.24746319903471461</v>
      </c>
      <c r="Y79" s="326">
        <f>'[2]Dividend fundamentals'!E79</f>
        <v>0.31311330359466727</v>
      </c>
      <c r="Z79" s="326">
        <f>1-[2]Fundgr!D79</f>
        <v>0.31311330359466727</v>
      </c>
      <c r="AA79" s="328">
        <f>[2]Margins!J80</f>
        <v>0.23441240751038647</v>
      </c>
    </row>
    <row r="80" spans="1:27" s="295" customFormat="1">
      <c r="A80" s="325" t="str">
        <f>'[2]Master data'!A80</f>
        <v>Semiconductor Equip</v>
      </c>
      <c r="B80" s="143">
        <f>'[2]Master data'!B80</f>
        <v>324</v>
      </c>
      <c r="C80" s="326">
        <f>'[2]Hist Growth'!D80</f>
        <v>0.11823534482758624</v>
      </c>
      <c r="D80" s="326">
        <f>[2]Margins!F81</f>
        <v>0.23266942567906598</v>
      </c>
      <c r="E80" s="326">
        <f>'[2]Return on capital'!H80</f>
        <v>0.25117185589578167</v>
      </c>
      <c r="F80" s="326">
        <f>'[2]Tax rates'!H81</f>
        <v>0.14496038712002726</v>
      </c>
      <c r="G80" s="327">
        <f>[2]Beta!H83</f>
        <v>1.9337186879458486</v>
      </c>
      <c r="H80" s="327">
        <f>[2]Beta!C83</f>
        <v>1.913872580558768</v>
      </c>
      <c r="I80" s="326">
        <f>[2]WACC!D91</f>
        <v>0.11576969773739119</v>
      </c>
      <c r="J80" s="326">
        <f>[2]optvar!C85</f>
        <v>0.33073648727489308</v>
      </c>
      <c r="K80" s="326">
        <f>[2]WACC!G91</f>
        <v>4.0400000000000005E-2</v>
      </c>
      <c r="L80" s="326">
        <f>'[2]Debt fundamentals'!F80</f>
        <v>3.9271042827220777E-2</v>
      </c>
      <c r="M80" s="326">
        <f>[2]WACC!K91</f>
        <v>0.11239639614573615</v>
      </c>
      <c r="N80" s="327">
        <f>'[2]Cap Ex'!J80</f>
        <v>1.1965887929674528</v>
      </c>
      <c r="O80" s="327">
        <f>[2]PS!E80</f>
        <v>6.8106348713918736</v>
      </c>
      <c r="P80" s="327">
        <f>[2]EVEBITDA!D81</f>
        <v>24.386264360030772</v>
      </c>
      <c r="Q80" s="327">
        <f>[2]EVEBITDA!E81</f>
        <v>28.973189212724058</v>
      </c>
      <c r="R80" s="327">
        <f>[2]PBV!C80</f>
        <v>8.5780420366749812</v>
      </c>
      <c r="S80" s="327">
        <f>[2]PE!D80</f>
        <v>46.503667671646575</v>
      </c>
      <c r="T80" s="326">
        <f>'[2]Working capital'!F80</f>
        <v>0.2704854599552205</v>
      </c>
      <c r="U80" s="326">
        <f>'[2]Summary sheet uValue'!G89</f>
        <v>6.4554687037555278E-2</v>
      </c>
      <c r="V80" s="326">
        <f>'[2]Cap Ex'!H80</f>
        <v>5.0545201595371E-2</v>
      </c>
      <c r="W80" s="326">
        <f>[2]fundgrEB!D80</f>
        <v>0.49118195042156093</v>
      </c>
      <c r="X80" s="326">
        <f>[2]Fundgr!C80</f>
        <v>0.30344710979365302</v>
      </c>
      <c r="Y80" s="326">
        <f>'[2]Dividend fundamentals'!E80</f>
        <v>0.21743547220113429</v>
      </c>
      <c r="Z80" s="326">
        <f>1-[2]Fundgr!D80</f>
        <v>0.21743547220113424</v>
      </c>
      <c r="AA80" s="328">
        <f>[2]Margins!J81</f>
        <v>0.24059626019681066</v>
      </c>
    </row>
    <row r="81" spans="1:27" s="295" customFormat="1">
      <c r="A81" s="325" t="str">
        <f>'[2]Master data'!A81</f>
        <v>Shipbuilding &amp; Marine</v>
      </c>
      <c r="B81" s="143">
        <f>'[2]Master data'!B81</f>
        <v>348</v>
      </c>
      <c r="C81" s="326">
        <f>'[2]Hist Growth'!D81</f>
        <v>6.4884424460431661E-2</v>
      </c>
      <c r="D81" s="326">
        <f>[2]Margins!F82</f>
        <v>0.23518480959238755</v>
      </c>
      <c r="E81" s="326">
        <f>'[2]Return on capital'!H81</f>
        <v>0.19976962183355079</v>
      </c>
      <c r="F81" s="326">
        <f>'[2]Tax rates'!H82</f>
        <v>0.10227815816137052</v>
      </c>
      <c r="G81" s="327">
        <f>[2]Beta!H84</f>
        <v>0.98601703944955343</v>
      </c>
      <c r="H81" s="327">
        <f>[2]Beta!C84</f>
        <v>1.1235447323872723</v>
      </c>
      <c r="I81" s="326">
        <f>[2]WACC!D92</f>
        <v>7.4198452923570524E-2</v>
      </c>
      <c r="J81" s="326">
        <f>[2]optvar!C86</f>
        <v>0.28900935389708543</v>
      </c>
      <c r="K81" s="326">
        <f>[2]WACC!G92</f>
        <v>4.0400000000000005E-2</v>
      </c>
      <c r="L81" s="326">
        <f>'[2]Debt fundamentals'!F81</f>
        <v>0.29122993438649519</v>
      </c>
      <c r="M81" s="326">
        <f>[2]WACC!K92</f>
        <v>6.1289193051868758E-2</v>
      </c>
      <c r="N81" s="327">
        <f>'[2]Cap Ex'!J81</f>
        <v>0.95161003718361947</v>
      </c>
      <c r="O81" s="327">
        <f>[2]PS!E81</f>
        <v>1.8533086823228544</v>
      </c>
      <c r="P81" s="327">
        <f>[2]EVEBITDA!D82</f>
        <v>6.1373457751383098</v>
      </c>
      <c r="Q81" s="327">
        <f>[2]EVEBITDA!E82</f>
        <v>7.6688972751579714</v>
      </c>
      <c r="R81" s="327">
        <f>[2]PBV!C81</f>
        <v>1.5324302701338244</v>
      </c>
      <c r="S81" s="327">
        <f>[2]PE!D81</f>
        <v>23.685713545059457</v>
      </c>
      <c r="T81" s="326">
        <f>'[2]Working capital'!F81</f>
        <v>1.0200342914794207E-2</v>
      </c>
      <c r="U81" s="326">
        <f>'[2]Summary sheet uValue'!G90</f>
        <v>8.2039658720536271E-2</v>
      </c>
      <c r="V81" s="326">
        <f>'[2]Cap Ex'!H81</f>
        <v>3.9902396104123709E-2</v>
      </c>
      <c r="W81" s="326">
        <f>[2]fundgrEB!D81</f>
        <v>0.22479397392482642</v>
      </c>
      <c r="X81" s="326">
        <f>[2]Fundgr!C81</f>
        <v>0.35377869526900318</v>
      </c>
      <c r="Y81" s="326">
        <f>'[2]Dividend fundamentals'!E81</f>
        <v>0.14030288293761758</v>
      </c>
      <c r="Z81" s="326">
        <f>1-[2]Fundgr!D81</f>
        <v>0.14030288293761761</v>
      </c>
      <c r="AA81" s="328">
        <f>[2]Margins!J82</f>
        <v>0.23728988082114069</v>
      </c>
    </row>
    <row r="82" spans="1:27" s="295" customFormat="1">
      <c r="A82" s="325" t="str">
        <f>'[2]Master data'!A82</f>
        <v>Shoe</v>
      </c>
      <c r="B82" s="143">
        <f>'[2]Master data'!B82</f>
        <v>84</v>
      </c>
      <c r="C82" s="326">
        <f>'[2]Hist Growth'!D82</f>
        <v>-3.1613387096774186E-2</v>
      </c>
      <c r="D82" s="326">
        <f>[2]Margins!F83</f>
        <v>0.11852920398125474</v>
      </c>
      <c r="E82" s="326">
        <f>'[2]Return on capital'!H82</f>
        <v>0.20049274906102899</v>
      </c>
      <c r="F82" s="326">
        <f>'[2]Tax rates'!H83</f>
        <v>0.17306329733118475</v>
      </c>
      <c r="G82" s="327">
        <f>[2]Beta!H85</f>
        <v>1.1294736492366366</v>
      </c>
      <c r="H82" s="327">
        <f>[2]Beta!C85</f>
        <v>1.1373530584187677</v>
      </c>
      <c r="I82" s="326">
        <f>[2]WACC!D93</f>
        <v>7.4924770872827173E-2</v>
      </c>
      <c r="J82" s="326">
        <f>[2]optvar!C87</f>
        <v>0.30489662620660396</v>
      </c>
      <c r="K82" s="326">
        <f>[2]WACC!G93</f>
        <v>4.0400000000000005E-2</v>
      </c>
      <c r="L82" s="326">
        <f>'[2]Debt fundamentals'!F82</f>
        <v>7.6069436057585413E-2</v>
      </c>
      <c r="M82" s="326">
        <f>[2]WACC!K93</f>
        <v>7.1497613743034941E-2</v>
      </c>
      <c r="N82" s="327">
        <f>'[2]Cap Ex'!J82</f>
        <v>1.9767105151872286</v>
      </c>
      <c r="O82" s="327">
        <f>[2]PS!E82</f>
        <v>3.7714709042566041</v>
      </c>
      <c r="P82" s="327">
        <f>[2]EVEBITDA!D83</f>
        <v>24.523763498020735</v>
      </c>
      <c r="Q82" s="327">
        <f>[2]EVEBITDA!E83</f>
        <v>31.557472062302292</v>
      </c>
      <c r="R82" s="327">
        <f>[2]PBV!C82</f>
        <v>7.5750799023245907</v>
      </c>
      <c r="S82" s="327">
        <f>[2]PE!D82</f>
        <v>65.089622169726439</v>
      </c>
      <c r="T82" s="326">
        <f>'[2]Working capital'!F82</f>
        <v>0.18056994199780721</v>
      </c>
      <c r="U82" s="326">
        <f>'[2]Summary sheet uValue'!G91</f>
        <v>1.5748787242825232E-2</v>
      </c>
      <c r="V82" s="326">
        <f>'[2]Cap Ex'!H82</f>
        <v>-1.4156320428161111E-3</v>
      </c>
      <c r="W82" s="326">
        <f>[2]fundgrEB!D82</f>
        <v>7.954861416889189E-2</v>
      </c>
      <c r="X82" s="326">
        <f>[2]Fundgr!C82</f>
        <v>0.24505029663138542</v>
      </c>
      <c r="Y82" s="326">
        <f>'[2]Dividend fundamentals'!E82</f>
        <v>0.28473849776799265</v>
      </c>
      <c r="Z82" s="326">
        <f>1-[2]Fundgr!D82</f>
        <v>0.28473849776799265</v>
      </c>
      <c r="AA82" s="328">
        <f>[2]Margins!J83</f>
        <v>0.11767630837606761</v>
      </c>
    </row>
    <row r="83" spans="1:27" s="295" customFormat="1">
      <c r="A83" s="325" t="str">
        <f>'[2]Master data'!A83</f>
        <v>Software (Entertainment)</v>
      </c>
      <c r="B83" s="143">
        <f>'[2]Master data'!B83</f>
        <v>317</v>
      </c>
      <c r="C83" s="326">
        <f>'[2]Hist Growth'!D83</f>
        <v>0.12198917910447764</v>
      </c>
      <c r="D83" s="326">
        <f>[2]Margins!F84</f>
        <v>0.26896366478542111</v>
      </c>
      <c r="E83" s="326">
        <f>'[2]Return on capital'!H83</f>
        <v>0.21189984453676428</v>
      </c>
      <c r="F83" s="326">
        <f>'[2]Tax rates'!H84</f>
        <v>0.15561733491563254</v>
      </c>
      <c r="G83" s="327">
        <f>[2]Beta!H86</f>
        <v>1.2797793146309626</v>
      </c>
      <c r="H83" s="327">
        <f>[2]Beta!C86</f>
        <v>1.2783239533700639</v>
      </c>
      <c r="I83" s="326">
        <f>[2]WACC!D94</f>
        <v>8.2339839947265361E-2</v>
      </c>
      <c r="J83" s="326">
        <f>[2]optvar!C88</f>
        <v>0.41354487083788249</v>
      </c>
      <c r="K83" s="326">
        <f>[2]WACC!G94</f>
        <v>4.4580000000000009E-2</v>
      </c>
      <c r="L83" s="326">
        <f>'[2]Debt fundamentals'!F83</f>
        <v>3.517976424472375E-2</v>
      </c>
      <c r="M83" s="326">
        <f>[2]WACC!K94</f>
        <v>8.0602755080260297E-2</v>
      </c>
      <c r="N83" s="327">
        <f>'[2]Cap Ex'!J83</f>
        <v>0.81428082736565555</v>
      </c>
      <c r="O83" s="327">
        <f>[2]PS!E83</f>
        <v>7.6656077610643329</v>
      </c>
      <c r="P83" s="327">
        <f>[2]EVEBITDA!D84</f>
        <v>21.00053848018316</v>
      </c>
      <c r="Q83" s="327">
        <f>[2]EVEBITDA!E84</f>
        <v>27.767485431592817</v>
      </c>
      <c r="R83" s="327">
        <f>[2]PBV!C83</f>
        <v>6.0330230764818804</v>
      </c>
      <c r="S83" s="327">
        <f>[2]PE!D83</f>
        <v>57.371539053505501</v>
      </c>
      <c r="T83" s="326">
        <f>'[2]Working capital'!F83</f>
        <v>2.066338149634591E-2</v>
      </c>
      <c r="U83" s="326">
        <f>'[2]Summary sheet uValue'!G92</f>
        <v>9.7483157278038746E-2</v>
      </c>
      <c r="V83" s="326">
        <f>'[2]Cap Ex'!H83</f>
        <v>7.6924430416947298E-2</v>
      </c>
      <c r="W83" s="326">
        <f>[2]fundgrEB!D83</f>
        <v>0.44292636822112397</v>
      </c>
      <c r="X83" s="326">
        <f>[2]Fundgr!C83</f>
        <v>0.31973169493381992</v>
      </c>
      <c r="Y83" s="326">
        <f>'[2]Dividend fundamentals'!E83</f>
        <v>2.5829951723873982E-2</v>
      </c>
      <c r="Z83" s="326">
        <f>1-[2]Fundgr!D83</f>
        <v>2.5829951723874034E-2</v>
      </c>
      <c r="AA83" s="328">
        <f>[2]Margins!J84</f>
        <v>0.28552625417379313</v>
      </c>
    </row>
    <row r="84" spans="1:27" s="295" customFormat="1">
      <c r="A84" s="325" t="str">
        <f>'[2]Master data'!A84</f>
        <v>Software (Internet)</v>
      </c>
      <c r="B84" s="143">
        <f>'[2]Master data'!B84</f>
        <v>151</v>
      </c>
      <c r="C84" s="326">
        <f>'[2]Hist Growth'!D84</f>
        <v>0.20920138888888901</v>
      </c>
      <c r="D84" s="326">
        <f>[2]Margins!F85</f>
        <v>1.2061583975656978E-2</v>
      </c>
      <c r="E84" s="326">
        <f>'[2]Return on capital'!H84</f>
        <v>3.7949935361648916E-2</v>
      </c>
      <c r="F84" s="326">
        <f>'[2]Tax rates'!H85</f>
        <v>0.13610793409171904</v>
      </c>
      <c r="G84" s="327">
        <f>[2]Beta!H87</f>
        <v>1.108445828620835</v>
      </c>
      <c r="H84" s="327">
        <f>[2]Beta!C87</f>
        <v>1.1294721270398735</v>
      </c>
      <c r="I84" s="326">
        <f>[2]WACC!D95</f>
        <v>7.4510233882297341E-2</v>
      </c>
      <c r="J84" s="326">
        <f>[2]optvar!C89</f>
        <v>0.36629598047922113</v>
      </c>
      <c r="K84" s="326">
        <f>[2]WACC!G95</f>
        <v>4.0400000000000005E-2</v>
      </c>
      <c r="L84" s="326">
        <f>'[2]Debt fundamentals'!F84</f>
        <v>6.3411030290334278E-2</v>
      </c>
      <c r="M84" s="326">
        <f>[2]WACC!K95</f>
        <v>7.1679662262832691E-2</v>
      </c>
      <c r="N84" s="327">
        <f>'[2]Cap Ex'!J84</f>
        <v>1.1704491266049009</v>
      </c>
      <c r="O84" s="327">
        <f>[2]PS!E84</f>
        <v>10.6474673612193</v>
      </c>
      <c r="P84" s="327">
        <f>[2]EVEBITDA!D85</f>
        <v>44.886584782884078</v>
      </c>
      <c r="Q84" s="327" t="str">
        <f>[2]EVEBITDA!E85</f>
        <v>NA</v>
      </c>
      <c r="R84" s="327">
        <f>[2]PBV!C84</f>
        <v>9.9851692646015202</v>
      </c>
      <c r="S84" s="327">
        <f>[2]PE!D84</f>
        <v>303.7112895756934</v>
      </c>
      <c r="T84" s="326">
        <f>'[2]Working capital'!F84</f>
        <v>2.7312077990971958E-2</v>
      </c>
      <c r="U84" s="326">
        <f>'[2]Summary sheet uValue'!G93</f>
        <v>6.7568402662837271E-2</v>
      </c>
      <c r="V84" s="326">
        <f>'[2]Cap Ex'!H84</f>
        <v>9.6402675767557552E-2</v>
      </c>
      <c r="W84" s="326">
        <f>[2]fundgrEB!D84</f>
        <v>40.04631641994748</v>
      </c>
      <c r="X84" s="326">
        <f>[2]Fundgr!C84</f>
        <v>4.2542409840140287E-2</v>
      </c>
      <c r="Y84" s="326">
        <f>'[2]Dividend fundamentals'!E84</f>
        <v>0.29678036980519584</v>
      </c>
      <c r="Z84" s="326">
        <f>1-[2]Fundgr!D84</f>
        <v>0.29678036980519584</v>
      </c>
      <c r="AA84" s="328">
        <f>[2]Margins!J85</f>
        <v>3.3538335732862225E-2</v>
      </c>
    </row>
    <row r="85" spans="1:27" s="295" customFormat="1">
      <c r="A85" s="325" t="str">
        <f>'[2]Master data'!A85</f>
        <v>Software (System &amp; Application)</v>
      </c>
      <c r="B85" s="143">
        <f>'[2]Master data'!B85</f>
        <v>1603</v>
      </c>
      <c r="C85" s="326">
        <f>'[2]Hist Growth'!D85</f>
        <v>0.145828258642766</v>
      </c>
      <c r="D85" s="326">
        <f>[2]Margins!F86</f>
        <v>0.20319437339736357</v>
      </c>
      <c r="E85" s="326">
        <f>'[2]Return on capital'!H85</f>
        <v>0.21376743005087168</v>
      </c>
      <c r="F85" s="326">
        <f>'[2]Tax rates'!H86</f>
        <v>0.12545400764908832</v>
      </c>
      <c r="G85" s="327">
        <f>[2]Beta!H88</f>
        <v>1.2008396816037168</v>
      </c>
      <c r="H85" s="327">
        <f>[2]Beta!C88</f>
        <v>1.2143044372125289</v>
      </c>
      <c r="I85" s="326">
        <f>[2]WACC!D96</f>
        <v>7.8972413397379024E-2</v>
      </c>
      <c r="J85" s="326">
        <f>[2]optvar!C90</f>
        <v>0.39592214923174668</v>
      </c>
      <c r="K85" s="326">
        <f>[2]WACC!G96</f>
        <v>4.0400000000000005E-2</v>
      </c>
      <c r="L85" s="326">
        <f>'[2]Debt fundamentals'!F85</f>
        <v>5.4353741967815263E-2</v>
      </c>
      <c r="M85" s="326">
        <f>[2]WACC!K96</f>
        <v>7.630360915216676E-2</v>
      </c>
      <c r="N85" s="327">
        <f>'[2]Cap Ex'!J85</f>
        <v>1.0378903576603373</v>
      </c>
      <c r="O85" s="327">
        <f>[2]PS!E85</f>
        <v>11.095304668870677</v>
      </c>
      <c r="P85" s="327">
        <f>[2]EVEBITDA!D86</f>
        <v>33.066827786255402</v>
      </c>
      <c r="Q85" s="327">
        <f>[2]EVEBITDA!E86</f>
        <v>47.325875947777988</v>
      </c>
      <c r="R85" s="327">
        <f>[2]PBV!C85</f>
        <v>11.532075841757656</v>
      </c>
      <c r="S85" s="327">
        <f>[2]PE!D85</f>
        <v>167.00057762431732</v>
      </c>
      <c r="T85" s="326">
        <f>'[2]Working capital'!F85</f>
        <v>0.1408258346455214</v>
      </c>
      <c r="U85" s="326">
        <f>'[2]Summary sheet uValue'!G94</f>
        <v>6.0715054124616939E-2</v>
      </c>
      <c r="V85" s="326">
        <f>'[2]Cap Ex'!H85</f>
        <v>0.15468778387373933</v>
      </c>
      <c r="W85" s="326">
        <f>[2]fundgrEB!D85</f>
        <v>0.93669942798490824</v>
      </c>
      <c r="X85" s="326">
        <f>[2]Fundgr!C85</f>
        <v>0.20467745730681164</v>
      </c>
      <c r="Y85" s="326">
        <f>'[2]Dividend fundamentals'!E85</f>
        <v>0.35855950564067901</v>
      </c>
      <c r="Z85" s="326">
        <f>1-[2]Fundgr!D85</f>
        <v>0.35855950564067895</v>
      </c>
      <c r="AA85" s="328">
        <f>[2]Margins!J86</f>
        <v>0.22274876142798222</v>
      </c>
    </row>
    <row r="86" spans="1:27" s="295" customFormat="1">
      <c r="A86" s="325" t="str">
        <f>'[2]Master data'!A86</f>
        <v>Steel</v>
      </c>
      <c r="B86" s="143">
        <f>'[2]Master data'!B86</f>
        <v>709</v>
      </c>
      <c r="C86" s="326">
        <f>'[2]Hist Growth'!D86</f>
        <v>0.12988216730038021</v>
      </c>
      <c r="D86" s="326">
        <f>[2]Margins!F87</f>
        <v>0.14980531567636302</v>
      </c>
      <c r="E86" s="326">
        <f>'[2]Return on capital'!H86</f>
        <v>0.20855025892651846</v>
      </c>
      <c r="F86" s="326">
        <f>'[2]Tax rates'!H87</f>
        <v>0.204530262031031</v>
      </c>
      <c r="G86" s="327">
        <f>[2]Beta!H89</f>
        <v>1.0675797577799606</v>
      </c>
      <c r="H86" s="327">
        <f>[2]Beta!C89</f>
        <v>1.2533331552197386</v>
      </c>
      <c r="I86" s="326">
        <f>[2]WACC!D97</f>
        <v>8.1025323964558263E-2</v>
      </c>
      <c r="J86" s="326">
        <f>[2]optvar!C91</f>
        <v>0.3186563954166941</v>
      </c>
      <c r="K86" s="326">
        <f>[2]WACC!G97</f>
        <v>4.0400000000000005E-2</v>
      </c>
      <c r="L86" s="326">
        <f>'[2]Debt fundamentals'!F86</f>
        <v>0.30823016607963638</v>
      </c>
      <c r="M86" s="326">
        <f>[2]WACC!K97</f>
        <v>6.5258252448197163E-2</v>
      </c>
      <c r="N86" s="327">
        <f>'[2]Cap Ex'!J86</f>
        <v>1.622404331728357</v>
      </c>
      <c r="O86" s="327">
        <f>[2]PS!E86</f>
        <v>0.79718726476402479</v>
      </c>
      <c r="P86" s="327">
        <f>[2]EVEBITDA!D87</f>
        <v>4.1232803106199407</v>
      </c>
      <c r="Q86" s="327">
        <f>[2]EVEBITDA!E87</f>
        <v>5.2268644425022064</v>
      </c>
      <c r="R86" s="327">
        <f>[2]PBV!C86</f>
        <v>1.1891191250734865</v>
      </c>
      <c r="S86" s="327">
        <f>[2]PE!D86</f>
        <v>48.917604493435867</v>
      </c>
      <c r="T86" s="326">
        <f>'[2]Working capital'!F86</f>
        <v>0.13671752017113178</v>
      </c>
      <c r="U86" s="326">
        <f>'[2]Summary sheet uValue'!G95</f>
        <v>4.9431469182001406E-2</v>
      </c>
      <c r="V86" s="326">
        <f>'[2]Cap Ex'!H86</f>
        <v>3.1576044068549095E-2</v>
      </c>
      <c r="W86" s="326">
        <f>[2]fundgrEB!D86</f>
        <v>0.49650615174719803</v>
      </c>
      <c r="X86" s="326">
        <f>[2]Fundgr!C86</f>
        <v>0.25574593205064644</v>
      </c>
      <c r="Y86" s="326">
        <f>'[2]Dividend fundamentals'!E86</f>
        <v>0.30290003687577099</v>
      </c>
      <c r="Z86" s="326">
        <f>1-[2]Fundgr!D86</f>
        <v>0.30290003687577105</v>
      </c>
      <c r="AA86" s="328">
        <f>[2]Margins!J87</f>
        <v>0.15171074208747792</v>
      </c>
    </row>
    <row r="87" spans="1:27" s="295" customFormat="1">
      <c r="A87" s="325" t="str">
        <f>'[2]Master data'!A87</f>
        <v>Telecom (Wireless)</v>
      </c>
      <c r="B87" s="143">
        <f>'[2]Master data'!B87</f>
        <v>101</v>
      </c>
      <c r="C87" s="326">
        <f>'[2]Hist Growth'!D87</f>
        <v>2.730985915492961E-3</v>
      </c>
      <c r="D87" s="326">
        <f>[2]Margins!F88</f>
        <v>0.14046320740854051</v>
      </c>
      <c r="E87" s="326">
        <f>'[2]Return on capital'!H87</f>
        <v>8.8251996263097918E-2</v>
      </c>
      <c r="F87" s="326">
        <f>'[2]Tax rates'!H88</f>
        <v>0.29577894117737341</v>
      </c>
      <c r="G87" s="327">
        <f>[2]Beta!H90</f>
        <v>0.71759349908522774</v>
      </c>
      <c r="H87" s="327">
        <f>[2]Beta!C90</f>
        <v>1.0024897354072293</v>
      </c>
      <c r="I87" s="326">
        <f>[2]WACC!D98</f>
        <v>6.7830960082420261E-2</v>
      </c>
      <c r="J87" s="326">
        <f>[2]optvar!C92</f>
        <v>0.25121862207428292</v>
      </c>
      <c r="K87" s="326">
        <f>[2]WACC!G98</f>
        <v>4.0400000000000005E-2</v>
      </c>
      <c r="L87" s="326">
        <f>'[2]Debt fundamentals'!F87</f>
        <v>0.42624417123529412</v>
      </c>
      <c r="M87" s="326">
        <f>[2]WACC!K98</f>
        <v>5.1651072302534337E-2</v>
      </c>
      <c r="N87" s="327">
        <f>'[2]Cap Ex'!J87</f>
        <v>0.7348459816646089</v>
      </c>
      <c r="O87" s="327">
        <f>[2]PS!E87</f>
        <v>2.1073536955859327</v>
      </c>
      <c r="P87" s="327">
        <f>[2]EVEBITDA!D88</f>
        <v>6.6010854860061876</v>
      </c>
      <c r="Q87" s="327">
        <f>[2]EVEBITDA!E88</f>
        <v>15.173588140864258</v>
      </c>
      <c r="R87" s="327">
        <f>[2]PBV!C87</f>
        <v>1.3490522292549347</v>
      </c>
      <c r="S87" s="327">
        <f>[2]PE!D87</f>
        <v>27.220667553932977</v>
      </c>
      <c r="T87" s="326">
        <f>'[2]Working capital'!F87</f>
        <v>-0.12441445621259659</v>
      </c>
      <c r="U87" s="326">
        <f>'[2]Summary sheet uValue'!G96</f>
        <v>0.16150854671787143</v>
      </c>
      <c r="V87" s="326">
        <f>'[2]Cap Ex'!H87</f>
        <v>-4.8848706537620171E-3</v>
      </c>
      <c r="W87" s="326">
        <f>[2]fundgrEB!D87</f>
        <v>-5.7445368848971202E-2</v>
      </c>
      <c r="X87" s="326">
        <f>[2]Fundgr!C87</f>
        <v>0.13991216312529939</v>
      </c>
      <c r="Y87" s="326">
        <f>'[2]Dividend fundamentals'!E87</f>
        <v>0.39808806446161527</v>
      </c>
      <c r="Z87" s="326">
        <f>1-[2]Fundgr!D87</f>
        <v>0.39808806446161527</v>
      </c>
      <c r="AA87" s="328">
        <f>[2]Margins!J88</f>
        <v>0.14109159238099231</v>
      </c>
    </row>
    <row r="88" spans="1:27" s="295" customFormat="1">
      <c r="A88" s="325" t="str">
        <f>'[2]Master data'!A88</f>
        <v>Telecom. Equipment</v>
      </c>
      <c r="B88" s="143">
        <f>'[2]Master data'!B88</f>
        <v>465</v>
      </c>
      <c r="C88" s="326">
        <f>'[2]Hist Growth'!D88</f>
        <v>3.4432005649717531E-2</v>
      </c>
      <c r="D88" s="326">
        <f>[2]Margins!F89</f>
        <v>0.11209882645611607</v>
      </c>
      <c r="E88" s="326">
        <f>'[2]Return on capital'!H88</f>
        <v>0.14255996042978189</v>
      </c>
      <c r="F88" s="326">
        <f>'[2]Tax rates'!H89</f>
        <v>0.29824004011053867</v>
      </c>
      <c r="G88" s="327">
        <f>[2]Beta!H91</f>
        <v>1.1673203453641146</v>
      </c>
      <c r="H88" s="327">
        <f>[2]Beta!C91</f>
        <v>1.1712700535217679</v>
      </c>
      <c r="I88" s="326">
        <f>[2]WACC!D99</f>
        <v>7.6708804815244988E-2</v>
      </c>
      <c r="J88" s="326">
        <f>[2]optvar!C93</f>
        <v>0.32549748497016417</v>
      </c>
      <c r="K88" s="326">
        <f>[2]WACC!G99</f>
        <v>4.0400000000000005E-2</v>
      </c>
      <c r="L88" s="326">
        <f>'[2]Debt fundamentals'!F88</f>
        <v>9.5674298758699525E-2</v>
      </c>
      <c r="M88" s="326">
        <f>[2]WACC!K99</f>
        <v>7.2227703396616647E-2</v>
      </c>
      <c r="N88" s="327">
        <f>'[2]Cap Ex'!J88</f>
        <v>1.2798897510527911</v>
      </c>
      <c r="O88" s="327">
        <f>[2]PS!E88</f>
        <v>2.9214981664594153</v>
      </c>
      <c r="P88" s="327">
        <f>[2]EVEBITDA!D89</f>
        <v>17.372103677741311</v>
      </c>
      <c r="Q88" s="327">
        <f>[2]EVEBITDA!E89</f>
        <v>24.556338163192208</v>
      </c>
      <c r="R88" s="327">
        <f>[2]PBV!C88</f>
        <v>4.228647115743378</v>
      </c>
      <c r="S88" s="327">
        <f>[2]PE!D88</f>
        <v>87.028616248210383</v>
      </c>
      <c r="T88" s="326">
        <f>'[2]Working capital'!F88</f>
        <v>0.22811243812642415</v>
      </c>
      <c r="U88" s="326">
        <f>'[2]Summary sheet uValue'!G97</f>
        <v>3.3236242775729251E-2</v>
      </c>
      <c r="V88" s="326">
        <f>'[2]Cap Ex'!H88</f>
        <v>5.5885499621082552E-2</v>
      </c>
      <c r="W88" s="326">
        <f>[2]fundgrEB!D88</f>
        <v>0.85861006465105749</v>
      </c>
      <c r="X88" s="326">
        <f>[2]Fundgr!C88</f>
        <v>0.1137364459095792</v>
      </c>
      <c r="Y88" s="326">
        <f>'[2]Dividend fundamentals'!E88</f>
        <v>0.59371650369716222</v>
      </c>
      <c r="Z88" s="326">
        <f>1-[2]Fundgr!D88</f>
        <v>0.59371650369716222</v>
      </c>
      <c r="AA88" s="328">
        <f>[2]Margins!J89</f>
        <v>0.12103257928818929</v>
      </c>
    </row>
    <row r="89" spans="1:27" s="295" customFormat="1">
      <c r="A89" s="325" t="str">
        <f>'[2]Master data'!A89</f>
        <v>Telecom. Services</v>
      </c>
      <c r="B89" s="143">
        <f>'[2]Master data'!B89</f>
        <v>296</v>
      </c>
      <c r="C89" s="326">
        <f>'[2]Hist Growth'!D89</f>
        <v>8.0950975609756032E-2</v>
      </c>
      <c r="D89" s="326">
        <f>[2]Margins!F90</f>
        <v>0.15782952506853631</v>
      </c>
      <c r="E89" s="326">
        <f>'[2]Return on capital'!H89</f>
        <v>0.10601975915362225</v>
      </c>
      <c r="F89" s="326">
        <f>'[2]Tax rates'!H90</f>
        <v>0.2072867644818156</v>
      </c>
      <c r="G89" s="327">
        <f>[2]Beta!H92</f>
        <v>0.57643806683631016</v>
      </c>
      <c r="H89" s="327">
        <f>[2]Beta!C92</f>
        <v>0.8558553061197619</v>
      </c>
      <c r="I89" s="326">
        <f>[2]WACC!D100</f>
        <v>6.0117989101899479E-2</v>
      </c>
      <c r="J89" s="326">
        <f>[2]optvar!C94</f>
        <v>0.28128980563356337</v>
      </c>
      <c r="K89" s="326">
        <f>[2]WACC!G100</f>
        <v>4.0400000000000005E-2</v>
      </c>
      <c r="L89" s="326">
        <f>'[2]Debt fundamentals'!F89</f>
        <v>0.43580939640883859</v>
      </c>
      <c r="M89" s="326">
        <f>[2]WACC!K100</f>
        <v>4.6936398253357228E-2</v>
      </c>
      <c r="N89" s="327">
        <f>'[2]Cap Ex'!J89</f>
        <v>0.78395632169669449</v>
      </c>
      <c r="O89" s="327">
        <f>[2]PS!E89</f>
        <v>2.1780542540197216</v>
      </c>
      <c r="P89" s="327">
        <f>[2]EVEBITDA!D90</f>
        <v>6.8686212731549574</v>
      </c>
      <c r="Q89" s="327">
        <f>[2]EVEBITDA!E90</f>
        <v>13.797463726024754</v>
      </c>
      <c r="R89" s="327">
        <f>[2]PBV!C89</f>
        <v>1.4754172364123215</v>
      </c>
      <c r="S89" s="327">
        <f>[2]PE!D89</f>
        <v>90.490769365039128</v>
      </c>
      <c r="T89" s="326">
        <f>'[2]Working capital'!F89</f>
        <v>-3.8524505423840377E-3</v>
      </c>
      <c r="U89" s="326">
        <f>'[2]Summary sheet uValue'!G98</f>
        <v>0.14744952256958729</v>
      </c>
      <c r="V89" s="326">
        <f>'[2]Cap Ex'!H89</f>
        <v>-6.0283538442271873E-4</v>
      </c>
      <c r="W89" s="326">
        <f>[2]fundgrEB!D89</f>
        <v>-4.6359689423483043E-2</v>
      </c>
      <c r="X89" s="326">
        <f>[2]Fundgr!C89</f>
        <v>0.12857456387641686</v>
      </c>
      <c r="Y89" s="326">
        <f>'[2]Dividend fundamentals'!E89</f>
        <v>0.57234395372017866</v>
      </c>
      <c r="Z89" s="326">
        <f>1-[2]Fundgr!D89</f>
        <v>0.57234395372017866</v>
      </c>
      <c r="AA89" s="328">
        <f>[2]Margins!J90</f>
        <v>0.1571343011807079</v>
      </c>
    </row>
    <row r="90" spans="1:27" s="295" customFormat="1">
      <c r="A90" s="325" t="str">
        <f>'[2]Master data'!A90</f>
        <v>Tobacco</v>
      </c>
      <c r="B90" s="143">
        <f>'[2]Master data'!B90</f>
        <v>55</v>
      </c>
      <c r="C90" s="326">
        <f>'[2]Hist Growth'!D90</f>
        <v>3.0407058823529409E-2</v>
      </c>
      <c r="D90" s="326">
        <f>[2]Margins!F91</f>
        <v>0.34452987704033594</v>
      </c>
      <c r="E90" s="326">
        <f>'[2]Return on capital'!H90</f>
        <v>0.22495511975045038</v>
      </c>
      <c r="F90" s="326">
        <f>'[2]Tax rates'!H91</f>
        <v>0.23568473666927278</v>
      </c>
      <c r="G90" s="327">
        <f>[2]Beta!H93</f>
        <v>0.72892871601322584</v>
      </c>
      <c r="H90" s="327">
        <f>[2]Beta!C93</f>
        <v>0.85479331897830202</v>
      </c>
      <c r="I90" s="326">
        <f>[2]WACC!D101</f>
        <v>6.006212857825869E-2</v>
      </c>
      <c r="J90" s="326">
        <f>[2]optvar!C95</f>
        <v>0.27244667748724533</v>
      </c>
      <c r="K90" s="326">
        <f>[2]WACC!G101</f>
        <v>4.0400000000000005E-2</v>
      </c>
      <c r="L90" s="326">
        <f>'[2]Debt fundamentals'!F90</f>
        <v>0.23076224490538635</v>
      </c>
      <c r="M90" s="326">
        <f>[2]WACC!K101</f>
        <v>5.3095331350618682E-2</v>
      </c>
      <c r="N90" s="327">
        <f>'[2]Cap Ex'!J90</f>
        <v>0.7771146190511381</v>
      </c>
      <c r="O90" s="327">
        <f>[2]PS!E90</f>
        <v>3.6709891119330016</v>
      </c>
      <c r="P90" s="327">
        <f>[2]EVEBITDA!D91</f>
        <v>8.4805062604484931</v>
      </c>
      <c r="Q90" s="327">
        <f>[2]EVEBITDA!E91</f>
        <v>10.623141750356048</v>
      </c>
      <c r="R90" s="327">
        <f>[2]PBV!C90</f>
        <v>3.5276289208039842</v>
      </c>
      <c r="S90" s="327">
        <f>[2]PE!D90</f>
        <v>21.306175395352881</v>
      </c>
      <c r="T90" s="326">
        <f>'[2]Working capital'!F90</f>
        <v>0.16848525456718003</v>
      </c>
      <c r="U90" s="326">
        <f>'[2]Summary sheet uValue'!G99</f>
        <v>2.3246562724591788E-2</v>
      </c>
      <c r="V90" s="326">
        <f>'[2]Cap Ex'!H90</f>
        <v>-3.9573561387867613E-2</v>
      </c>
      <c r="W90" s="326">
        <f>[2]fundgrEB!D90</f>
        <v>-0.13177433879295558</v>
      </c>
      <c r="X90" s="326">
        <f>[2]Fundgr!C90</f>
        <v>0.26171041088121882</v>
      </c>
      <c r="Y90" s="326">
        <f>'[2]Dividend fundamentals'!E90</f>
        <v>0.86301971684579082</v>
      </c>
      <c r="Z90" s="326">
        <f>1-[2]Fundgr!D90</f>
        <v>0.86301971684579082</v>
      </c>
      <c r="AA90" s="328">
        <f>[2]Margins!J91</f>
        <v>0.34477494537820197</v>
      </c>
    </row>
    <row r="91" spans="1:27" s="295" customFormat="1">
      <c r="A91" s="325" t="str">
        <f>'[2]Master data'!A91</f>
        <v>Transportation</v>
      </c>
      <c r="B91" s="143">
        <f>'[2]Master data'!B91</f>
        <v>295</v>
      </c>
      <c r="C91" s="326">
        <f>'[2]Hist Growth'!D91</f>
        <v>8.5174356435643639E-2</v>
      </c>
      <c r="D91" s="326">
        <f>[2]Margins!F92</f>
        <v>7.2457923131433941E-2</v>
      </c>
      <c r="E91" s="326">
        <f>'[2]Return on capital'!H91</f>
        <v>0.11290607748214306</v>
      </c>
      <c r="F91" s="326">
        <f>'[2]Tax rates'!H92</f>
        <v>0.23633444058717226</v>
      </c>
      <c r="G91" s="327">
        <f>[2]Beta!H94</f>
        <v>0.85293795255937865</v>
      </c>
      <c r="H91" s="327">
        <f>[2]Beta!C94</f>
        <v>1.0144295016900287</v>
      </c>
      <c r="I91" s="326">
        <f>[2]WACC!D102</f>
        <v>6.8458991788895501E-2</v>
      </c>
      <c r="J91" s="326">
        <f>[2]optvar!C96</f>
        <v>0.28153691037221817</v>
      </c>
      <c r="K91" s="326">
        <f>[2]WACC!G102</f>
        <v>4.0400000000000005E-2</v>
      </c>
      <c r="L91" s="326">
        <f>'[2]Debt fundamentals'!F91</f>
        <v>0.28564055207233141</v>
      </c>
      <c r="M91" s="326">
        <f>[2]WACC!K102</f>
        <v>5.7436913597772372E-2</v>
      </c>
      <c r="N91" s="327">
        <f>'[2]Cap Ex'!J91</f>
        <v>1.8543244903854654</v>
      </c>
      <c r="O91" s="327">
        <f>[2]PS!E91</f>
        <v>1.3400874152530109</v>
      </c>
      <c r="P91" s="327">
        <f>[2]EVEBITDA!D92</f>
        <v>11.123294375161963</v>
      </c>
      <c r="Q91" s="327">
        <f>[2]EVEBITDA!E92</f>
        <v>17.785997805766645</v>
      </c>
      <c r="R91" s="327">
        <f>[2]PBV!C91</f>
        <v>2.5126332818998796</v>
      </c>
      <c r="S91" s="327">
        <f>[2]PE!D91</f>
        <v>54.754180658454288</v>
      </c>
      <c r="T91" s="326">
        <f>'[2]Working capital'!F91</f>
        <v>4.4481685340909301E-2</v>
      </c>
      <c r="U91" s="326">
        <f>'[2]Summary sheet uValue'!G100</f>
        <v>4.5641737736397854E-2</v>
      </c>
      <c r="V91" s="326">
        <f>'[2]Cap Ex'!H91</f>
        <v>1.2482659556912757E-2</v>
      </c>
      <c r="W91" s="326">
        <f>[2]fundgrEB!D91</f>
        <v>0.56549207509158195</v>
      </c>
      <c r="X91" s="326">
        <f>[2]Fundgr!C91</f>
        <v>0.17899732437239302</v>
      </c>
      <c r="Y91" s="326">
        <f>'[2]Dividend fundamentals'!E91</f>
        <v>0.37026126547486032</v>
      </c>
      <c r="Z91" s="326">
        <f>1-[2]Fundgr!D91</f>
        <v>0.37026126547486027</v>
      </c>
      <c r="AA91" s="328">
        <f>[2]Margins!J92</f>
        <v>7.3498973610067825E-2</v>
      </c>
    </row>
    <row r="92" spans="1:27" s="295" customFormat="1">
      <c r="A92" s="325" t="str">
        <f>'[2]Master data'!A92</f>
        <v>Transportation (Railroads)</v>
      </c>
      <c r="B92" s="143">
        <f>'[2]Master data'!B92</f>
        <v>51</v>
      </c>
      <c r="C92" s="326">
        <f>'[2]Hist Growth'!D92</f>
        <v>-5.9933333333333811E-4</v>
      </c>
      <c r="D92" s="326">
        <f>[2]Margins!F93</f>
        <v>0.15403635576839833</v>
      </c>
      <c r="E92" s="326">
        <f>'[2]Return on capital'!H92</f>
        <v>4.5254494138982151E-2</v>
      </c>
      <c r="F92" s="326">
        <f>'[2]Tax rates'!H93</f>
        <v>0.23994419910171449</v>
      </c>
      <c r="G92" s="327">
        <f>[2]Beta!H95</f>
        <v>0.6675122176931948</v>
      </c>
      <c r="H92" s="327">
        <f>[2]Beta!C95</f>
        <v>0.82573690152955981</v>
      </c>
      <c r="I92" s="326">
        <f>[2]WACC!D103</f>
        <v>5.853376102045485E-2</v>
      </c>
      <c r="J92" s="326">
        <f>[2]optvar!C97</f>
        <v>0.17870620242728813</v>
      </c>
      <c r="K92" s="326">
        <f>[2]WACC!G103</f>
        <v>3.3800000000000004E-2</v>
      </c>
      <c r="L92" s="326">
        <f>'[2]Debt fundamentals'!F92</f>
        <v>0.28103472382481087</v>
      </c>
      <c r="M92" s="326">
        <f>[2]WACC!K103</f>
        <v>4.9107282785750848E-2</v>
      </c>
      <c r="N92" s="327">
        <f>'[2]Cap Ex'!J92</f>
        <v>0.36118073689358499</v>
      </c>
      <c r="O92" s="327">
        <f>[2]PS!E92</f>
        <v>5.2608437096845719</v>
      </c>
      <c r="P92" s="327">
        <f>[2]EVEBITDA!D93</f>
        <v>17.865935315820881</v>
      </c>
      <c r="Q92" s="327">
        <f>[2]EVEBITDA!E93</f>
        <v>32.801254501364184</v>
      </c>
      <c r="R92" s="327">
        <f>[2]PBV!C92</f>
        <v>2.6532599002352972</v>
      </c>
      <c r="S92" s="327">
        <f>[2]PE!D92</f>
        <v>42.915857928204794</v>
      </c>
      <c r="T92" s="326">
        <f>'[2]Working capital'!F92</f>
        <v>6.4249580962183264E-2</v>
      </c>
      <c r="U92" s="326">
        <f>'[2]Summary sheet uValue'!G101</f>
        <v>0.17324003750331632</v>
      </c>
      <c r="V92" s="326">
        <f>'[2]Cap Ex'!H92</f>
        <v>0.1203793615216346</v>
      </c>
      <c r="W92" s="326">
        <f>[2]fundgrEB!D92</f>
        <v>1.1155053451745633</v>
      </c>
      <c r="X92" s="326">
        <f>[2]Fundgr!C92</f>
        <v>6.2059002699599582E-2</v>
      </c>
      <c r="Y92" s="326">
        <f>'[2]Dividend fundamentals'!E92</f>
        <v>0.69453417954896512</v>
      </c>
      <c r="Z92" s="326">
        <f>1-[2]Fundgr!D92</f>
        <v>0.69453417954896512</v>
      </c>
      <c r="AA92" s="328">
        <f>[2]Margins!J93</f>
        <v>0.15623857802445984</v>
      </c>
    </row>
    <row r="93" spans="1:27" s="295" customFormat="1">
      <c r="A93" s="325" t="str">
        <f>'[2]Master data'!A93</f>
        <v>Trucking</v>
      </c>
      <c r="B93" s="143">
        <f>'[2]Master data'!B93</f>
        <v>232</v>
      </c>
      <c r="C93" s="326">
        <f>'[2]Hist Growth'!D93</f>
        <v>3.7452530120481942E-2</v>
      </c>
      <c r="D93" s="326">
        <f>[2]Margins!F94</f>
        <v>5.5792389472469388E-2</v>
      </c>
      <c r="E93" s="326">
        <f>'[2]Return on capital'!H93</f>
        <v>5.7699753318258405E-2</v>
      </c>
      <c r="F93" s="326">
        <f>'[2]Tax rates'!H94</f>
        <v>0.24962927846964394</v>
      </c>
      <c r="G93" s="327">
        <f>[2]Beta!H96</f>
        <v>0.92080912704016238</v>
      </c>
      <c r="H93" s="327">
        <f>[2]Beta!C96</f>
        <v>1.1301992175741524</v>
      </c>
      <c r="I93" s="326">
        <f>[2]WACC!D104</f>
        <v>7.4548478844400412E-2</v>
      </c>
      <c r="J93" s="326">
        <f>[2]optvar!C98</f>
        <v>0.28263701614696507</v>
      </c>
      <c r="K93" s="326">
        <f>[2]WACC!G104</f>
        <v>4.0400000000000005E-2</v>
      </c>
      <c r="L93" s="326">
        <f>'[2]Debt fundamentals'!F93</f>
        <v>0.30300807087509513</v>
      </c>
      <c r="M93" s="326">
        <f>[2]WACC!K104</f>
        <v>6.1011072454329636E-2</v>
      </c>
      <c r="N93" s="327">
        <f>'[2]Cap Ex'!J93</f>
        <v>1.1962485881187215</v>
      </c>
      <c r="O93" s="327">
        <f>[2]PS!E93</f>
        <v>1.8469307413824128</v>
      </c>
      <c r="P93" s="327">
        <f>[2]EVEBITDA!D94</f>
        <v>9.766344776465516</v>
      </c>
      <c r="Q93" s="327">
        <f>[2]EVEBITDA!E94</f>
        <v>24.277437948599516</v>
      </c>
      <c r="R93" s="327">
        <f>[2]PBV!C93</f>
        <v>2.9089686411176556</v>
      </c>
      <c r="S93" s="327">
        <f>[2]PE!D93</f>
        <v>71.563994356665063</v>
      </c>
      <c r="T93" s="326">
        <f>'[2]Working capital'!F93</f>
        <v>7.0322082647387485E-2</v>
      </c>
      <c r="U93" s="326">
        <f>'[2]Summary sheet uValue'!G102</f>
        <v>7.9256142417247211E-2</v>
      </c>
      <c r="V93" s="326">
        <f>'[2]Cap Ex'!H93</f>
        <v>4.1274743550647898E-2</v>
      </c>
      <c r="W93" s="326">
        <f>[2]fundgrEB!D93</f>
        <v>1.596243911763118</v>
      </c>
      <c r="X93" s="326">
        <f>[2]Fundgr!C93</f>
        <v>8.2152365739250041E-2</v>
      </c>
      <c r="Y93" s="326">
        <f>'[2]Dividend fundamentals'!E93</f>
        <v>0.22542757183194814</v>
      </c>
      <c r="Z93" s="326">
        <f>1-[2]Fundgr!D93</f>
        <v>0.22542757183194817</v>
      </c>
      <c r="AA93" s="328">
        <f>[2]Margins!J94</f>
        <v>5.7787513873131906E-2</v>
      </c>
    </row>
    <row r="94" spans="1:27" s="295" customFormat="1">
      <c r="A94" s="325" t="str">
        <f>'[2]Master data'!A94</f>
        <v>Utility (General)</v>
      </c>
      <c r="B94" s="143">
        <f>'[2]Master data'!B94</f>
        <v>54</v>
      </c>
      <c r="C94" s="326">
        <f>'[2]Hist Growth'!D94</f>
        <v>3.3780980392156865E-2</v>
      </c>
      <c r="D94" s="326">
        <f>[2]Margins!F95</f>
        <v>0.12368349207955212</v>
      </c>
      <c r="E94" s="326">
        <f>'[2]Return on capital'!H94</f>
        <v>7.0305215243155875E-2</v>
      </c>
      <c r="F94" s="326">
        <f>'[2]Tax rates'!H95</f>
        <v>0.20862329334813268</v>
      </c>
      <c r="G94" s="327">
        <f>[2]Beta!H97</f>
        <v>0.52165090340310738</v>
      </c>
      <c r="H94" s="327">
        <f>[2]Beta!C97</f>
        <v>0.80364818176933617</v>
      </c>
      <c r="I94" s="326">
        <f>[2]WACC!D105</f>
        <v>5.7371894361067086E-2</v>
      </c>
      <c r="J94" s="326">
        <f>[2]optvar!C99</f>
        <v>0.18542881310222778</v>
      </c>
      <c r="K94" s="326">
        <f>[2]WACC!G105</f>
        <v>3.3800000000000004E-2</v>
      </c>
      <c r="L94" s="326">
        <f>'[2]Debt fundamentals'!F94</f>
        <v>0.45339836098770919</v>
      </c>
      <c r="M94" s="326">
        <f>[2]WACC!K105</f>
        <v>4.2690776377263026E-2</v>
      </c>
      <c r="N94" s="327">
        <f>'[2]Cap Ex'!J94</f>
        <v>0.68444706503076624</v>
      </c>
      <c r="O94" s="327">
        <f>[2]PS!E94</f>
        <v>2.431597993549945</v>
      </c>
      <c r="P94" s="327">
        <f>[2]EVEBITDA!D95</f>
        <v>11.051706687887853</v>
      </c>
      <c r="Q94" s="327">
        <f>[2]EVEBITDA!E95</f>
        <v>19.645123742089805</v>
      </c>
      <c r="R94" s="327">
        <f>[2]PBV!C94</f>
        <v>1.7081363306667394</v>
      </c>
      <c r="S94" s="327">
        <f>[2]PE!D94</f>
        <v>19.608636771090506</v>
      </c>
      <c r="T94" s="326">
        <f>'[2]Working capital'!F94</f>
        <v>-0.19589473774851959</v>
      </c>
      <c r="U94" s="326">
        <f>'[2]Summary sheet uValue'!G103</f>
        <v>0.15870795467633098</v>
      </c>
      <c r="V94" s="326">
        <f>'[2]Cap Ex'!H94</f>
        <v>9.3012239371143265E-2</v>
      </c>
      <c r="W94" s="326">
        <f>[2]fundgrEB!D94</f>
        <v>1.0318766377180137</v>
      </c>
      <c r="X94" s="326">
        <f>[2]Fundgr!C94</f>
        <v>9.5275107751281632E-2</v>
      </c>
      <c r="Y94" s="326">
        <f>'[2]Dividend fundamentals'!E94</f>
        <v>0.67109303037221346</v>
      </c>
      <c r="Z94" s="326">
        <f>1-[2]Fundgr!D94</f>
        <v>0.67109303037221346</v>
      </c>
      <c r="AA94" s="328">
        <f>[2]Margins!J95</f>
        <v>0.12327537594694567</v>
      </c>
    </row>
    <row r="95" spans="1:27" s="295" customFormat="1">
      <c r="A95" s="325" t="str">
        <f>'[2]Master data'!A95</f>
        <v>Utility (Water)</v>
      </c>
      <c r="B95" s="143">
        <f>'[2]Master data'!B95</f>
        <v>104</v>
      </c>
      <c r="C95" s="326">
        <f>'[2]Hist Growth'!D95</f>
        <v>0.1109788</v>
      </c>
      <c r="D95" s="326">
        <f>[2]Margins!F96</f>
        <v>0.25066832972493358</v>
      </c>
      <c r="E95" s="326">
        <f>'[2]Return on capital'!H95</f>
        <v>7.291197613687557E-2</v>
      </c>
      <c r="F95" s="326">
        <f>'[2]Tax rates'!H96</f>
        <v>0.29835605757624084</v>
      </c>
      <c r="G95" s="327">
        <f>[2]Beta!H98</f>
        <v>0.51446481307844327</v>
      </c>
      <c r="H95" s="327">
        <f>[2]Beta!C98</f>
        <v>0.72895941806314868</v>
      </c>
      <c r="I95" s="326">
        <f>[2]WACC!D106</f>
        <v>5.3443265390121626E-2</v>
      </c>
      <c r="J95" s="326">
        <f>[2]optvar!C100</f>
        <v>0.26178165004236142</v>
      </c>
      <c r="K95" s="326">
        <f>[2]WACC!G106</f>
        <v>4.0400000000000005E-2</v>
      </c>
      <c r="L95" s="326">
        <f>'[2]Debt fundamentals'!F95</f>
        <v>0.40535398995697081</v>
      </c>
      <c r="M95" s="326">
        <f>[2]WACC!K106</f>
        <v>4.3888461630943579E-2</v>
      </c>
      <c r="N95" s="327">
        <f>'[2]Cap Ex'!J95</f>
        <v>0.34422174025219388</v>
      </c>
      <c r="O95" s="327">
        <f>[2]PS!E95</f>
        <v>4.940939664901034</v>
      </c>
      <c r="P95" s="327">
        <f>[2]EVEBITDA!D96</f>
        <v>13.181748254475071</v>
      </c>
      <c r="Q95" s="327">
        <f>[2]EVEBITDA!E96</f>
        <v>19.548638410045896</v>
      </c>
      <c r="R95" s="327">
        <f>[2]PBV!C95</f>
        <v>1.7495884442596421</v>
      </c>
      <c r="S95" s="327">
        <f>[2]PE!D95</f>
        <v>72.550585826748843</v>
      </c>
      <c r="T95" s="326">
        <f>'[2]Working capital'!F95</f>
        <v>2.0002963148320219E-2</v>
      </c>
      <c r="U95" s="326">
        <f>'[2]Summary sheet uValue'!G104</f>
        <v>0.23466442848800448</v>
      </c>
      <c r="V95" s="326">
        <f>'[2]Cap Ex'!H95</f>
        <v>0.14186564829322693</v>
      </c>
      <c r="W95" s="326">
        <f>[2]fundgrEB!D95</f>
        <v>1.2542006583095577</v>
      </c>
      <c r="X95" s="326">
        <f>[2]Fundgr!C95</f>
        <v>0.13217374847617697</v>
      </c>
      <c r="Y95" s="326">
        <f>'[2]Dividend fundamentals'!E95</f>
        <v>0.83928095175014172</v>
      </c>
      <c r="Z95" s="326">
        <f>1-[2]Fundgr!D95</f>
        <v>0.38600541619293649</v>
      </c>
      <c r="AA95" s="328">
        <f>[2]Margins!J96</f>
        <v>0.25034971223611541</v>
      </c>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E40" sqref="E40"/>
    </sheetView>
  </sheetViews>
  <sheetFormatPr baseColWidth="10" defaultRowHeight="13"/>
  <cols>
    <col min="1" max="1" width="34" bestFit="1" customWidth="1"/>
    <col min="2" max="2" width="16" style="179" customWidth="1"/>
    <col min="3" max="3" width="19.83203125" style="179" bestFit="1" customWidth="1"/>
    <col min="4" max="4" width="22.1640625" style="179" bestFit="1" customWidth="1"/>
    <col min="5" max="5" width="14.1640625" bestFit="1" customWidth="1"/>
  </cols>
  <sheetData>
    <row r="1" spans="1:5">
      <c r="B1" s="160" t="s">
        <v>393</v>
      </c>
      <c r="C1" s="160" t="s">
        <v>425</v>
      </c>
      <c r="D1" s="160" t="s">
        <v>426</v>
      </c>
      <c r="E1" s="197" t="s">
        <v>394</v>
      </c>
    </row>
    <row r="2" spans="1:5" ht="14">
      <c r="A2" s="60" t="s">
        <v>11</v>
      </c>
      <c r="B2" s="198">
        <v>15794.34</v>
      </c>
      <c r="C2" s="198">
        <v>7608.13</v>
      </c>
      <c r="D2" s="198">
        <v>9444.11</v>
      </c>
      <c r="E2" s="199">
        <f>B2-C2+D2</f>
        <v>17630.32</v>
      </c>
    </row>
    <row r="3" spans="1:5" ht="14">
      <c r="A3" s="60" t="s">
        <v>643</v>
      </c>
      <c r="B3" s="198">
        <v>1221.81</v>
      </c>
      <c r="C3" s="198">
        <v>581.41</v>
      </c>
      <c r="D3" s="198">
        <v>756</v>
      </c>
      <c r="E3" s="199">
        <f>B3-C3+D3</f>
        <v>1396.4</v>
      </c>
    </row>
    <row r="4" spans="1:5" ht="14">
      <c r="A4" s="60" t="s">
        <v>29</v>
      </c>
      <c r="B4" s="198">
        <v>1605.23</v>
      </c>
      <c r="C4" s="198">
        <v>908.79</v>
      </c>
      <c r="D4" s="198">
        <v>1165.5</v>
      </c>
      <c r="E4" s="199">
        <f>B4-C4+D4</f>
        <v>1861.94</v>
      </c>
    </row>
    <row r="5" spans="1:5" ht="14">
      <c r="A5" s="60" t="s">
        <v>437</v>
      </c>
      <c r="B5" s="198">
        <v>420.49</v>
      </c>
      <c r="C5" s="198">
        <v>182.82</v>
      </c>
      <c r="D5" s="198">
        <v>287.56</v>
      </c>
      <c r="E5" s="199">
        <f>B5-C5+D5</f>
        <v>525.23</v>
      </c>
    </row>
    <row r="6" spans="1:5" ht="14">
      <c r="A6" s="60" t="s">
        <v>30</v>
      </c>
      <c r="B6" s="198">
        <v>5238.7700000000004</v>
      </c>
      <c r="C6" s="198"/>
      <c r="D6" s="198">
        <v>6105.55</v>
      </c>
      <c r="E6" s="199"/>
    </row>
    <row r="7" spans="1:5" ht="14">
      <c r="A7" s="60" t="s">
        <v>31</v>
      </c>
      <c r="B7" s="198">
        <v>10360</v>
      </c>
      <c r="C7" s="198"/>
      <c r="D7" s="198">
        <v>12594.14</v>
      </c>
      <c r="E7" s="199"/>
    </row>
    <row r="8" spans="1:5" ht="14">
      <c r="A8" s="60" t="s">
        <v>243</v>
      </c>
      <c r="B8" s="198"/>
      <c r="C8" s="198"/>
      <c r="D8" s="198"/>
      <c r="E8" s="199"/>
    </row>
    <row r="9" spans="1:5" ht="14">
      <c r="A9" s="60" t="s">
        <v>244</v>
      </c>
      <c r="B9" s="198">
        <v>3794.48</v>
      </c>
      <c r="C9" s="198"/>
      <c r="D9" s="198">
        <v>5004.25</v>
      </c>
      <c r="E9" s="199"/>
    </row>
    <row r="10" spans="1:5" ht="14">
      <c r="A10" s="60" t="s">
        <v>385</v>
      </c>
      <c r="B10" s="198">
        <v>0</v>
      </c>
      <c r="C10" s="198"/>
      <c r="D10" s="198">
        <v>0</v>
      </c>
      <c r="E10" s="199"/>
    </row>
    <row r="11" spans="1:5" ht="14">
      <c r="A11" s="60" t="s">
        <v>389</v>
      </c>
      <c r="B11" s="198">
        <v>0</v>
      </c>
      <c r="C11" s="198"/>
      <c r="D11" s="198">
        <v>0</v>
      </c>
      <c r="E11" s="199"/>
    </row>
    <row r="12" spans="1:5" ht="14">
      <c r="A12" s="60" t="s">
        <v>32</v>
      </c>
      <c r="B12" s="198"/>
      <c r="C12" s="198"/>
      <c r="D12" s="198"/>
      <c r="E12" s="199"/>
    </row>
    <row r="13" spans="1:5" ht="14">
      <c r="A13" s="60" t="s">
        <v>33</v>
      </c>
      <c r="B13" s="200"/>
      <c r="C13" s="198"/>
      <c r="D13" s="198"/>
      <c r="E13" s="199"/>
    </row>
    <row r="14" spans="1:5" ht="14">
      <c r="A14" s="60" t="s">
        <v>104</v>
      </c>
      <c r="B14" s="180">
        <f>15885/61372</f>
        <v>0.25883138890699342</v>
      </c>
      <c r="C14" s="180">
        <f>6965/27030</f>
        <v>0.25767665556788755</v>
      </c>
      <c r="D14" s="180">
        <f>3941/23906</f>
        <v>0.16485401154521878</v>
      </c>
      <c r="E14" s="1"/>
    </row>
    <row r="15" spans="1:5" ht="14">
      <c r="A15" s="60" t="s">
        <v>105</v>
      </c>
      <c r="B15" s="160"/>
      <c r="C15" s="160"/>
      <c r="D15" s="160"/>
      <c r="E15" s="1"/>
    </row>
    <row r="16" spans="1:5" s="2" customFormat="1" ht="14">
      <c r="A16" s="222" t="s">
        <v>395</v>
      </c>
      <c r="B16" s="223"/>
      <c r="C16" s="223"/>
      <c r="D16" s="223"/>
      <c r="E16" s="224"/>
    </row>
    <row r="17" spans="1:5" ht="14">
      <c r="A17" s="62" t="s">
        <v>396</v>
      </c>
      <c r="B17" s="301">
        <v>172.47</v>
      </c>
      <c r="C17" s="201"/>
      <c r="D17" s="201" t="s">
        <v>98</v>
      </c>
      <c r="E17" s="202"/>
    </row>
    <row r="18" spans="1:5" ht="14">
      <c r="A18" s="62" t="s">
        <v>397</v>
      </c>
      <c r="B18" s="301">
        <v>139.4</v>
      </c>
      <c r="C18" s="463" t="s">
        <v>564</v>
      </c>
      <c r="D18" s="201" t="s">
        <v>98</v>
      </c>
      <c r="E18" s="202"/>
    </row>
    <row r="19" spans="1:5" ht="14">
      <c r="A19" s="62" t="s">
        <v>398</v>
      </c>
      <c r="B19" s="301">
        <v>145.18</v>
      </c>
      <c r="C19" s="463"/>
      <c r="D19" s="201" t="s">
        <v>98</v>
      </c>
      <c r="E19" s="202"/>
    </row>
    <row r="20" spans="1:5" ht="14">
      <c r="A20" s="62" t="s">
        <v>399</v>
      </c>
      <c r="B20" s="301">
        <v>156.53</v>
      </c>
      <c r="C20" s="463"/>
      <c r="D20" s="201" t="s">
        <v>98</v>
      </c>
      <c r="E20" s="202"/>
    </row>
    <row r="21" spans="1:5" ht="14">
      <c r="A21" s="62" t="s">
        <v>400</v>
      </c>
      <c r="B21" s="301">
        <v>151.19999999999999</v>
      </c>
      <c r="C21" s="463"/>
      <c r="D21" s="201" t="s">
        <v>98</v>
      </c>
      <c r="E21" s="202"/>
    </row>
    <row r="22" spans="1:5" ht="14">
      <c r="A22" s="62" t="s">
        <v>401</v>
      </c>
      <c r="B22" s="300">
        <v>943.63</v>
      </c>
      <c r="C22" s="463"/>
      <c r="D22" s="201" t="s">
        <v>98</v>
      </c>
      <c r="E22" s="202"/>
    </row>
    <row r="23" spans="1:5">
      <c r="B23" s="181"/>
      <c r="C23" s="463"/>
    </row>
    <row r="25" spans="1:5" ht="14">
      <c r="A25" s="62" t="s">
        <v>563</v>
      </c>
      <c r="B25" s="299">
        <v>107</v>
      </c>
    </row>
    <row r="29" spans="1:5">
      <c r="D29" s="198">
        <v>75872</v>
      </c>
    </row>
    <row r="30" spans="1:5">
      <c r="D30" s="198">
        <v>2404</v>
      </c>
    </row>
    <row r="31" spans="1:5">
      <c r="D31" s="198">
        <v>24171</v>
      </c>
    </row>
    <row r="32" spans="1:5">
      <c r="D32" s="198">
        <v>276</v>
      </c>
    </row>
    <row r="36" spans="1:5">
      <c r="A36" t="s">
        <v>644</v>
      </c>
      <c r="B36" s="179">
        <v>630.29</v>
      </c>
      <c r="C36" s="179">
        <v>286.14</v>
      </c>
      <c r="D36" s="179">
        <v>426.61</v>
      </c>
      <c r="E36">
        <f>B36-C36+D36</f>
        <v>770.76</v>
      </c>
    </row>
    <row r="37" spans="1:5">
      <c r="A37" t="s">
        <v>645</v>
      </c>
      <c r="B37" s="179">
        <v>2369.4699999999998</v>
      </c>
      <c r="C37" s="179">
        <v>1128.78</v>
      </c>
      <c r="D37" s="179">
        <v>1219.73</v>
      </c>
      <c r="E37">
        <f>B37-C37+D37</f>
        <v>2460.42</v>
      </c>
    </row>
    <row r="38" spans="1:5">
      <c r="A38" t="s">
        <v>646</v>
      </c>
      <c r="B38" s="179">
        <v>9967.5400000000009</v>
      </c>
      <c r="C38" s="179">
        <v>4703.01</v>
      </c>
      <c r="D38" s="179">
        <v>5876.21</v>
      </c>
      <c r="E38">
        <f>B38-C38+D38</f>
        <v>11140.740000000002</v>
      </c>
    </row>
    <row r="40" spans="1:5">
      <c r="A40" t="s">
        <v>647</v>
      </c>
      <c r="B40" s="179">
        <v>13043</v>
      </c>
      <c r="C40" s="179">
        <v>6020.47</v>
      </c>
      <c r="D40" s="179">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6"/>
  <sheetViews>
    <sheetView workbookViewId="0">
      <selection activeCell="G1" sqref="G1:G16"/>
    </sheetView>
  </sheetViews>
  <sheetFormatPr baseColWidth="10" defaultRowHeight="13"/>
  <cols>
    <col min="1" max="1" width="6.33203125" bestFit="1" customWidth="1"/>
    <col min="2" max="2" width="16.5" bestFit="1" customWidth="1"/>
    <col min="3" max="3" width="18.33203125" bestFit="1" customWidth="1"/>
    <col min="4" max="5" width="12.33203125" bestFit="1" customWidth="1"/>
    <col min="6" max="6" width="17.6640625" bestFit="1" customWidth="1"/>
  </cols>
  <sheetData>
    <row r="1" spans="1:7" s="317" customFormat="1">
      <c r="A1" s="317" t="s">
        <v>239</v>
      </c>
      <c r="B1" s="317" t="s">
        <v>241</v>
      </c>
      <c r="C1" s="317" t="s">
        <v>439</v>
      </c>
      <c r="D1" s="317" t="s">
        <v>447</v>
      </c>
      <c r="E1" s="317" t="s">
        <v>449</v>
      </c>
      <c r="F1" s="317" t="s">
        <v>473</v>
      </c>
      <c r="G1" t="s">
        <v>229</v>
      </c>
    </row>
    <row r="2" spans="1:7">
      <c r="A2" t="s">
        <v>57</v>
      </c>
      <c r="B2" t="s">
        <v>102</v>
      </c>
      <c r="C2" t="s">
        <v>440</v>
      </c>
      <c r="D2" t="s">
        <v>448</v>
      </c>
      <c r="E2">
        <v>1</v>
      </c>
      <c r="F2" t="s">
        <v>448</v>
      </c>
      <c r="G2" t="s">
        <v>468</v>
      </c>
    </row>
    <row r="3" spans="1:7">
      <c r="A3" t="s">
        <v>51</v>
      </c>
      <c r="B3" t="s">
        <v>235</v>
      </c>
      <c r="C3" t="s">
        <v>443</v>
      </c>
      <c r="D3" t="s">
        <v>449</v>
      </c>
      <c r="E3">
        <v>2</v>
      </c>
      <c r="F3" t="s">
        <v>478</v>
      </c>
      <c r="G3" t="s">
        <v>467</v>
      </c>
    </row>
    <row r="4" spans="1:7">
      <c r="C4" t="s">
        <v>441</v>
      </c>
      <c r="D4" t="s">
        <v>450</v>
      </c>
      <c r="F4" t="s">
        <v>479</v>
      </c>
      <c r="G4" t="s">
        <v>466</v>
      </c>
    </row>
    <row r="5" spans="1:7">
      <c r="C5" t="s">
        <v>442</v>
      </c>
      <c r="F5" t="s">
        <v>480</v>
      </c>
      <c r="G5" t="s">
        <v>465</v>
      </c>
    </row>
    <row r="6" spans="1:7">
      <c r="F6" t="s">
        <v>477</v>
      </c>
      <c r="G6" t="s">
        <v>464</v>
      </c>
    </row>
    <row r="7" spans="1:7">
      <c r="G7" t="s">
        <v>463</v>
      </c>
    </row>
    <row r="8" spans="1:7">
      <c r="G8" t="s">
        <v>462</v>
      </c>
    </row>
    <row r="9" spans="1:7">
      <c r="G9" t="s">
        <v>461</v>
      </c>
    </row>
    <row r="10" spans="1:7">
      <c r="G10" t="s">
        <v>460</v>
      </c>
    </row>
    <row r="11" spans="1:7">
      <c r="G11" t="s">
        <v>459</v>
      </c>
    </row>
    <row r="12" spans="1:7">
      <c r="G12" t="s">
        <v>458</v>
      </c>
    </row>
    <row r="13" spans="1:7">
      <c r="G13" t="s">
        <v>457</v>
      </c>
    </row>
    <row r="14" spans="1:7">
      <c r="G14" t="s">
        <v>456</v>
      </c>
    </row>
    <row r="15" spans="1:7">
      <c r="G15" t="s">
        <v>455</v>
      </c>
    </row>
    <row r="16" spans="1:7">
      <c r="G16" t="s">
        <v>454</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1"/>
  <sheetViews>
    <sheetView zoomScale="125" zoomScaleNormal="125" workbookViewId="0">
      <selection activeCell="C16" sqref="C16"/>
    </sheetView>
  </sheetViews>
  <sheetFormatPr baseColWidth="10" defaultRowHeight="16"/>
  <cols>
    <col min="1" max="1" width="23" style="47" bestFit="1" customWidth="1"/>
    <col min="2" max="2" width="16.6640625" style="47" customWidth="1"/>
    <col min="3" max="13" width="15.83203125" style="52" bestFit="1" customWidth="1"/>
    <col min="14" max="14" width="12.6640625" bestFit="1" customWidth="1"/>
  </cols>
  <sheetData>
    <row r="1" spans="1:14">
      <c r="A1" s="42"/>
      <c r="B1" s="43" t="s">
        <v>14</v>
      </c>
      <c r="C1" s="43">
        <v>1</v>
      </c>
      <c r="D1" s="43">
        <v>2</v>
      </c>
      <c r="E1" s="43">
        <v>3</v>
      </c>
      <c r="F1" s="43">
        <v>4</v>
      </c>
      <c r="G1" s="43">
        <v>5</v>
      </c>
      <c r="H1" s="43">
        <v>6</v>
      </c>
      <c r="I1" s="43">
        <v>7</v>
      </c>
      <c r="J1" s="43">
        <v>8</v>
      </c>
      <c r="K1" s="43">
        <v>9</v>
      </c>
      <c r="L1" s="43">
        <v>10</v>
      </c>
      <c r="M1" s="50" t="s">
        <v>44</v>
      </c>
    </row>
    <row r="2" spans="1:14">
      <c r="A2" s="45" t="s">
        <v>20</v>
      </c>
      <c r="B2" s="88"/>
      <c r="C2" s="89">
        <f>'Input sheet'!B23</f>
        <v>0.5</v>
      </c>
      <c r="D2" s="89">
        <f>'Input sheet'!B25</f>
        <v>0.05</v>
      </c>
      <c r="E2" s="89">
        <f>D2</f>
        <v>0.05</v>
      </c>
      <c r="F2" s="89">
        <f>E2</f>
        <v>0.05</v>
      </c>
      <c r="G2" s="89">
        <f>F2</f>
        <v>0.05</v>
      </c>
      <c r="H2" s="89">
        <f>G2-((G2-$M$2)/5)</f>
        <v>4.4000000000000004E-2</v>
      </c>
      <c r="I2" s="89">
        <f>G2-((G2-$M$2)/5)*2</f>
        <v>3.8000000000000006E-2</v>
      </c>
      <c r="J2" s="89">
        <f>G2-((G2-$M$2)/5)*3</f>
        <v>3.2000000000000001E-2</v>
      </c>
      <c r="K2" s="89">
        <f>G2-((G2-$M$2)/5)*4</f>
        <v>2.6000000000000002E-2</v>
      </c>
      <c r="L2" s="89">
        <f>G2-((G2-$M$2)/5)*5</f>
        <v>2.0000000000000004E-2</v>
      </c>
      <c r="M2" s="90">
        <f>IF('Input sheet'!B62="Yes",'Input sheet'!B63,IF('Input sheet'!B59="Yes",'Input sheet'!B60,'Input sheet'!B32))</f>
        <v>0.02</v>
      </c>
    </row>
    <row r="3" spans="1:14" ht="15" customHeight="1">
      <c r="A3" s="45" t="s">
        <v>11</v>
      </c>
      <c r="B3" s="91">
        <f>'Input sheet'!B8</f>
        <v>32357222</v>
      </c>
      <c r="C3" s="92">
        <f>B3*(1+C2)</f>
        <v>48535833</v>
      </c>
      <c r="D3" s="92">
        <f t="shared" ref="D3:L3" si="0">C3*(1+D2)</f>
        <v>50962624.649999999</v>
      </c>
      <c r="E3" s="92">
        <f t="shared" si="0"/>
        <v>53510755.8825</v>
      </c>
      <c r="F3" s="92">
        <f t="shared" si="0"/>
        <v>56186293.676625006</v>
      </c>
      <c r="G3" s="92">
        <f t="shared" si="0"/>
        <v>58995608.360456258</v>
      </c>
      <c r="H3" s="92">
        <f t="shared" si="0"/>
        <v>61591415.128316335</v>
      </c>
      <c r="I3" s="92">
        <f t="shared" si="0"/>
        <v>63931888.903192356</v>
      </c>
      <c r="J3" s="92">
        <f t="shared" si="0"/>
        <v>65977709.348094516</v>
      </c>
      <c r="K3" s="92">
        <f t="shared" si="0"/>
        <v>67693129.791144967</v>
      </c>
      <c r="L3" s="92">
        <f t="shared" si="0"/>
        <v>69046992.386967868</v>
      </c>
      <c r="M3" s="108">
        <f>L3*(1+M2)</f>
        <v>70427932.234707221</v>
      </c>
    </row>
    <row r="4" spans="1:14" ht="15" customHeight="1">
      <c r="A4" s="45" t="s">
        <v>26</v>
      </c>
      <c r="B4" s="93">
        <f>B5/B3</f>
        <v>-6.5022331027057888E-3</v>
      </c>
      <c r="C4" s="89">
        <f>'Input sheet'!B24</f>
        <v>0.03</v>
      </c>
      <c r="D4" s="89">
        <f>IF(D1&gt;'Input sheet'!$B$27,'Input sheet'!$B$26,'Input sheet'!$B$26-(('Input sheet'!$B$26-$C$4)/'Input sheet'!$B$27)*('Input sheet'!$B$27-D1))</f>
        <v>3.9E-2</v>
      </c>
      <c r="E4" s="89">
        <f>IF(E1&gt;'Input sheet'!$B$27,'Input sheet'!$B$26,'Input sheet'!$B$26-(('Input sheet'!$B$26-$C$4)/'Input sheet'!$B$27)*('Input sheet'!$B$27-E1))</f>
        <v>4.3499999999999997E-2</v>
      </c>
      <c r="F4" s="89">
        <f>IF(F1&gt;'Input sheet'!$B$27,'Input sheet'!$B$26,'Input sheet'!$B$26-(('Input sheet'!$B$26-$C$4)/'Input sheet'!$B$27)*('Input sheet'!$B$27-F1))</f>
        <v>4.8000000000000001E-2</v>
      </c>
      <c r="G4" s="89">
        <f>IF(G1&gt;'Input sheet'!$B$27,'Input sheet'!$B$26,'Input sheet'!$B$26-(('Input sheet'!$B$26-$C$4)/'Input sheet'!$B$27)*('Input sheet'!$B$27-G1))</f>
        <v>5.2499999999999998E-2</v>
      </c>
      <c r="H4" s="89">
        <f>IF(H1&gt;'Input sheet'!$B$27,'Input sheet'!$B$26,'Input sheet'!$B$26-(('Input sheet'!$B$26-$B$4)/'Input sheet'!$B$27)*('Input sheet'!$B$27-H1))</f>
        <v>4.2399106758917685E-2</v>
      </c>
      <c r="I4" s="89">
        <f>IF(I1&gt;'Input sheet'!$B$27,'Input sheet'!$B$26,'Input sheet'!$B$26-(('Input sheet'!$B$26-$B$4)/'Input sheet'!$B$27)*('Input sheet'!$B$27-I1))</f>
        <v>5.0549330069188263E-2</v>
      </c>
      <c r="J4" s="89">
        <f>IF(J1&gt;'Input sheet'!$B$27,'Input sheet'!$B$26,'Input sheet'!$B$26-(('Input sheet'!$B$26-$B$4)/'Input sheet'!$B$27)*('Input sheet'!$B$27-J1))</f>
        <v>5.8699553379458841E-2</v>
      </c>
      <c r="K4" s="89">
        <f>IF(K1&gt;'Input sheet'!$B$27,'Input sheet'!$B$26,'Input sheet'!$B$26-(('Input sheet'!$B$26-$B$4)/'Input sheet'!$B$27)*('Input sheet'!$B$27-K1))</f>
        <v>6.6849776689729412E-2</v>
      </c>
      <c r="L4" s="89">
        <f>IF(L1&gt;'Input sheet'!$B$27,'Input sheet'!$B$26,'Input sheet'!$B$26-(('Input sheet'!$B$26-$B$4)/'Input sheet'!$B$27)*('Input sheet'!$B$27-L1))</f>
        <v>7.4999999999999997E-2</v>
      </c>
      <c r="M4" s="90">
        <f>L4</f>
        <v>7.4999999999999997E-2</v>
      </c>
    </row>
    <row r="5" spans="1:14" ht="15" customHeight="1">
      <c r="A5" s="45" t="s">
        <v>25</v>
      </c>
      <c r="B5" s="91">
        <f>IF('Input sheet'!B14="Yes",IF('Input sheet'!B13="Yes",'Input sheet'!B9+'Operating lease converter'!F32+'R&amp; D converter'!D39,'Input sheet'!B9+'Operating lease converter'!F32),IF('Input sheet'!B13="Yes",'Input sheet'!B9+'R&amp; D converter'!D39,'Input sheet'!B9))</f>
        <v>-210394.2</v>
      </c>
      <c r="C5" s="92">
        <f t="shared" ref="C5:M5" si="1">C4*C3</f>
        <v>1456074.99</v>
      </c>
      <c r="D5" s="92">
        <f t="shared" si="1"/>
        <v>1987542.3613499999</v>
      </c>
      <c r="E5" s="92">
        <f t="shared" si="1"/>
        <v>2327717.8808887498</v>
      </c>
      <c r="F5" s="92">
        <f t="shared" si="1"/>
        <v>2696942.0964780003</v>
      </c>
      <c r="G5" s="92">
        <f t="shared" si="1"/>
        <v>3097269.4389239536</v>
      </c>
      <c r="H5" s="92">
        <f t="shared" si="1"/>
        <v>2611420.9854583018</v>
      </c>
      <c r="I5" s="92">
        <f t="shared" si="1"/>
        <v>3231714.1541141449</v>
      </c>
      <c r="J5" s="92">
        <f t="shared" si="1"/>
        <v>3872862.0717328945</v>
      </c>
      <c r="K5" s="92">
        <f t="shared" si="1"/>
        <v>4525270.6099669104</v>
      </c>
      <c r="L5" s="92">
        <f t="shared" si="1"/>
        <v>5178524.4290225897</v>
      </c>
      <c r="M5" s="108">
        <f t="shared" si="1"/>
        <v>5282094.917603041</v>
      </c>
      <c r="N5" s="110">
        <f>M5-B5</f>
        <v>5492489.1176030412</v>
      </c>
    </row>
    <row r="6" spans="1:14" ht="15" customHeight="1">
      <c r="A6" s="45" t="s">
        <v>140</v>
      </c>
      <c r="B6" s="94">
        <f>'Input sheet'!B20</f>
        <v>0.25</v>
      </c>
      <c r="C6" s="95">
        <f>B6</f>
        <v>0.25</v>
      </c>
      <c r="D6" s="95">
        <f>C6</f>
        <v>0.25</v>
      </c>
      <c r="E6" s="95">
        <f>D6</f>
        <v>0.25</v>
      </c>
      <c r="F6" s="95">
        <f>E6</f>
        <v>0.25</v>
      </c>
      <c r="G6" s="95">
        <f>F6</f>
        <v>0.25</v>
      </c>
      <c r="H6" s="95">
        <f>G6+($M$6-$G$6)/5</f>
        <v>0.25</v>
      </c>
      <c r="I6" s="95">
        <f>H6+($M$6-$G$6)/5</f>
        <v>0.25</v>
      </c>
      <c r="J6" s="95">
        <f>I6+($M$6-$G$6)/5</f>
        <v>0.25</v>
      </c>
      <c r="K6" s="95">
        <f>J6+($M$6-$G$6)/5</f>
        <v>0.25</v>
      </c>
      <c r="L6" s="95">
        <f>K6+($M$6-$G$6)/5</f>
        <v>0.25</v>
      </c>
      <c r="M6" s="95">
        <f>IF('Input sheet'!B54="Yes",'Input sheet'!B20,'Input sheet'!B21)</f>
        <v>0.25</v>
      </c>
    </row>
    <row r="7" spans="1:14" ht="15" customHeight="1">
      <c r="A7" s="45" t="s">
        <v>12</v>
      </c>
      <c r="B7" s="91">
        <f>IF(B5&gt;0,B5*(1-B6),B5)</f>
        <v>-210394.2</v>
      </c>
      <c r="C7" s="92">
        <f>IF(C5&gt;0,IF(C5&lt;B10,C5,C5-(C5-B10)*C6),C5)</f>
        <v>1092239.0925</v>
      </c>
      <c r="D7" s="92">
        <f t="shared" ref="D7:L7" si="2">IF(D5&gt;0,IF(D5&lt;C10,D5,D5-(D5-C10)*D6),D5)</f>
        <v>1490656.7710124999</v>
      </c>
      <c r="E7" s="92">
        <f t="shared" si="2"/>
        <v>1745788.4106665624</v>
      </c>
      <c r="F7" s="92">
        <f t="shared" si="2"/>
        <v>2022706.5723585002</v>
      </c>
      <c r="G7" s="92">
        <f t="shared" si="2"/>
        <v>2322952.0791929653</v>
      </c>
      <c r="H7" s="92">
        <f t="shared" si="2"/>
        <v>1958565.7390937265</v>
      </c>
      <c r="I7" s="92">
        <f t="shared" si="2"/>
        <v>2423785.6155856084</v>
      </c>
      <c r="J7" s="92">
        <f t="shared" si="2"/>
        <v>2904646.5537996711</v>
      </c>
      <c r="K7" s="92">
        <f t="shared" si="2"/>
        <v>3393952.9574751826</v>
      </c>
      <c r="L7" s="92">
        <f t="shared" si="2"/>
        <v>3883893.3217669423</v>
      </c>
      <c r="M7" s="92">
        <f>M5*(1-M6)</f>
        <v>3961571.1882022806</v>
      </c>
    </row>
    <row r="8" spans="1:14" ht="15" customHeight="1">
      <c r="A8" s="45" t="s">
        <v>15</v>
      </c>
      <c r="B8" s="91"/>
      <c r="C8" s="332">
        <f>IF(C3&gt;B3,(C3-B3)/C38,0)</f>
        <v>1617861.1</v>
      </c>
      <c r="D8" s="92">
        <f t="shared" ref="D8:L8" si="3">(D3-C3)/D38</f>
        <v>485358.32999999973</v>
      </c>
      <c r="E8" s="92">
        <f t="shared" si="3"/>
        <v>509626.24650000036</v>
      </c>
      <c r="F8" s="92">
        <f t="shared" si="3"/>
        <v>535107.55882500112</v>
      </c>
      <c r="G8" s="92">
        <f t="shared" si="3"/>
        <v>1872876.4558875014</v>
      </c>
      <c r="H8" s="92">
        <f t="shared" si="3"/>
        <v>1730537.8452400516</v>
      </c>
      <c r="I8" s="92">
        <f t="shared" si="3"/>
        <v>1560315.8499173473</v>
      </c>
      <c r="J8" s="92">
        <f t="shared" si="3"/>
        <v>1363880.2966014396</v>
      </c>
      <c r="K8" s="92">
        <f t="shared" si="3"/>
        <v>1143613.6287003011</v>
      </c>
      <c r="L8" s="92">
        <f t="shared" si="3"/>
        <v>902575.06388193369</v>
      </c>
      <c r="M8" s="96">
        <f>IF(M2&gt;0,(M2/M40)*M7,0)</f>
        <v>1269734.3551930385</v>
      </c>
      <c r="N8" s="110">
        <f>SUM(C8:M8)</f>
        <v>12991486.730746616</v>
      </c>
    </row>
    <row r="9" spans="1:14" ht="15" customHeight="1">
      <c r="A9" s="45" t="s">
        <v>16</v>
      </c>
      <c r="B9" s="91"/>
      <c r="C9" s="92">
        <f t="shared" ref="C9:L9" si="4">C7-C8</f>
        <v>-525622.00750000007</v>
      </c>
      <c r="D9" s="92">
        <f t="shared" si="4"/>
        <v>1005298.4410125002</v>
      </c>
      <c r="E9" s="92">
        <f t="shared" si="4"/>
        <v>1236162.164166562</v>
      </c>
      <c r="F9" s="92">
        <f t="shared" si="4"/>
        <v>1487599.0135334991</v>
      </c>
      <c r="G9" s="92">
        <f t="shared" si="4"/>
        <v>450075.62330546393</v>
      </c>
      <c r="H9" s="92">
        <f t="shared" si="4"/>
        <v>228027.89385367488</v>
      </c>
      <c r="I9" s="92">
        <f t="shared" si="4"/>
        <v>863469.7656682611</v>
      </c>
      <c r="J9" s="92">
        <f t="shared" si="4"/>
        <v>1540766.2571982315</v>
      </c>
      <c r="K9" s="92">
        <f t="shared" si="4"/>
        <v>2250339.3287748815</v>
      </c>
      <c r="L9" s="92">
        <f t="shared" si="4"/>
        <v>2981318.2578850086</v>
      </c>
      <c r="M9" s="96">
        <f>M7-M8</f>
        <v>2691836.8330092421</v>
      </c>
    </row>
    <row r="10" spans="1:14" ht="15" customHeight="1">
      <c r="A10" s="45" t="s">
        <v>47</v>
      </c>
      <c r="B10" s="91">
        <f>IF('Input sheet'!B56="Yes",'Input sheet'!B57,0)</f>
        <v>731.40000000000009</v>
      </c>
      <c r="C10" s="92">
        <f>IF(C5&lt;0,B10-C5,IF(B10&gt;C5,B10-C5,0))</f>
        <v>0</v>
      </c>
      <c r="D10" s="92">
        <f t="shared" ref="D10:M10" si="5">IF(D5&lt;0,C10-D5,IF(C10&gt;D5,C10-D5,0))</f>
        <v>0</v>
      </c>
      <c r="E10" s="92">
        <f t="shared" si="5"/>
        <v>0</v>
      </c>
      <c r="F10" s="92">
        <f t="shared" si="5"/>
        <v>0</v>
      </c>
      <c r="G10" s="92">
        <f t="shared" si="5"/>
        <v>0</v>
      </c>
      <c r="H10" s="92">
        <f t="shared" si="5"/>
        <v>0</v>
      </c>
      <c r="I10" s="92">
        <f t="shared" si="5"/>
        <v>0</v>
      </c>
      <c r="J10" s="92">
        <f t="shared" si="5"/>
        <v>0</v>
      </c>
      <c r="K10" s="92">
        <f t="shared" si="5"/>
        <v>0</v>
      </c>
      <c r="L10" s="92">
        <f t="shared" si="5"/>
        <v>0</v>
      </c>
      <c r="M10" s="92">
        <f t="shared" si="5"/>
        <v>0</v>
      </c>
    </row>
    <row r="11" spans="1:14" ht="15" customHeight="1">
      <c r="A11" s="45"/>
      <c r="B11" s="88"/>
      <c r="C11" s="97"/>
      <c r="D11" s="97"/>
      <c r="E11" s="97"/>
      <c r="F11" s="97"/>
      <c r="G11" s="97"/>
      <c r="H11" s="97"/>
      <c r="I11" s="97"/>
      <c r="J11" s="97"/>
      <c r="K11" s="97"/>
      <c r="L11" s="97"/>
      <c r="M11" s="97"/>
    </row>
    <row r="12" spans="1:14" ht="15" customHeight="1">
      <c r="A12" s="45" t="s">
        <v>145</v>
      </c>
      <c r="B12" s="93"/>
      <c r="C12" s="89">
        <f>'Input sheet'!B33</f>
        <v>7.3122455580355072E-2</v>
      </c>
      <c r="D12" s="89">
        <f>C12</f>
        <v>7.3122455580355072E-2</v>
      </c>
      <c r="E12" s="89">
        <f>D12</f>
        <v>7.3122455580355072E-2</v>
      </c>
      <c r="F12" s="89">
        <f>E12</f>
        <v>7.3122455580355072E-2</v>
      </c>
      <c r="G12" s="89">
        <f>F12</f>
        <v>7.3122455580355072E-2</v>
      </c>
      <c r="H12" s="89">
        <f>G12-($G$12-$M$12)/5</f>
        <v>7.097796446428406E-2</v>
      </c>
      <c r="I12" s="89">
        <f>H12-($G$12-$M$12)/5</f>
        <v>6.8833473348213048E-2</v>
      </c>
      <c r="J12" s="89">
        <f>I12-($G$12-$M$12)/5</f>
        <v>6.6688982232142036E-2</v>
      </c>
      <c r="K12" s="89">
        <f>J12-($G$12-$M$12)/5</f>
        <v>6.4544491116071023E-2</v>
      </c>
      <c r="L12" s="89">
        <f>K12-($G$12-$M$12)/5</f>
        <v>6.2400000000000011E-2</v>
      </c>
      <c r="M12" s="90">
        <f>IF('Input sheet'!B43="Yes",'Input sheet'!B44,IF('Input sheet'!B59="Yes",'Input sheet'!B60+'Country equity risk premiums'!B1,'Input sheet'!B32+'Country equity risk premiums'!B1))</f>
        <v>6.2399999999999997E-2</v>
      </c>
    </row>
    <row r="13" spans="1:14" ht="15" customHeight="1">
      <c r="A13" s="46" t="s">
        <v>146</v>
      </c>
      <c r="B13" s="88"/>
      <c r="C13" s="152">
        <f>1/(1+C12)</f>
        <v>0.93186010114678874</v>
      </c>
      <c r="D13" s="152">
        <f>C13*(1/(1+D12))</f>
        <v>0.86836324810930332</v>
      </c>
      <c r="E13" s="152">
        <f t="shared" ref="E13:L13" si="6">D13*(1/(1+E12))</f>
        <v>0.80919306421528936</v>
      </c>
      <c r="F13" s="152">
        <f t="shared" si="6"/>
        <v>0.75405473066693951</v>
      </c>
      <c r="G13" s="152">
        <f t="shared" si="6"/>
        <v>0.7026735175895088</v>
      </c>
      <c r="H13" s="152">
        <f t="shared" si="6"/>
        <v>0.65610455201194962</v>
      </c>
      <c r="I13" s="152">
        <f t="shared" si="6"/>
        <v>0.61385105198534395</v>
      </c>
      <c r="J13" s="152">
        <f t="shared" si="6"/>
        <v>0.5754733218494541</v>
      </c>
      <c r="K13" s="152">
        <f t="shared" si="6"/>
        <v>0.54058174801705705</v>
      </c>
      <c r="L13" s="152">
        <f t="shared" si="6"/>
        <v>0.50883071161244076</v>
      </c>
      <c r="M13" s="97"/>
    </row>
    <row r="14" spans="1:14" ht="15" customHeight="1">
      <c r="A14" s="46" t="s">
        <v>21</v>
      </c>
      <c r="B14" s="88"/>
      <c r="C14" s="92">
        <f t="shared" ref="C14:L14" si="7">C9*C13</f>
        <v>-489806.17707392824</v>
      </c>
      <c r="D14" s="92">
        <f t="shared" si="7"/>
        <v>872964.2195568335</v>
      </c>
      <c r="E14" s="92">
        <f t="shared" si="7"/>
        <v>1000293.8494889439</v>
      </c>
      <c r="F14" s="92">
        <f t="shared" si="7"/>
        <v>1121731.0734904076</v>
      </c>
      <c r="G14" s="92">
        <f t="shared" si="7"/>
        <v>316256.22140934103</v>
      </c>
      <c r="H14" s="92">
        <f t="shared" si="7"/>
        <v>149610.13914309375</v>
      </c>
      <c r="I14" s="92">
        <f t="shared" si="7"/>
        <v>530041.82401300047</v>
      </c>
      <c r="J14" s="92">
        <f t="shared" si="7"/>
        <v>886669.87622341665</v>
      </c>
      <c r="K14" s="92">
        <f t="shared" si="7"/>
        <v>1216492.3679806562</v>
      </c>
      <c r="L14" s="92">
        <f t="shared" si="7"/>
        <v>1516986.2907027912</v>
      </c>
      <c r="M14" s="97"/>
    </row>
    <row r="15" spans="1:14" ht="15" customHeight="1">
      <c r="A15" s="46"/>
      <c r="B15" s="45"/>
      <c r="C15" s="51"/>
      <c r="D15" s="51"/>
      <c r="E15" s="51"/>
      <c r="F15" s="51"/>
      <c r="G15" s="51"/>
      <c r="H15" s="51"/>
      <c r="I15" s="51"/>
      <c r="J15" s="51"/>
      <c r="K15" s="51"/>
      <c r="L15" s="51"/>
    </row>
    <row r="16" spans="1:14" ht="15" customHeight="1">
      <c r="A16" s="48" t="s">
        <v>22</v>
      </c>
      <c r="B16" s="91">
        <f>M9</f>
        <v>2691836.8330092421</v>
      </c>
      <c r="C16" s="51"/>
      <c r="D16" s="51"/>
      <c r="E16" s="51"/>
      <c r="F16" s="51"/>
      <c r="G16" s="51"/>
      <c r="H16" s="51"/>
      <c r="I16" s="51"/>
      <c r="J16" s="51"/>
      <c r="K16" s="51"/>
      <c r="L16" s="51"/>
    </row>
    <row r="17" spans="1:12" ht="15" customHeight="1">
      <c r="A17" s="48" t="s">
        <v>142</v>
      </c>
      <c r="B17" s="93">
        <f>M12</f>
        <v>6.2399999999999997E-2</v>
      </c>
      <c r="C17" s="51"/>
      <c r="D17" s="51"/>
      <c r="E17" s="51"/>
      <c r="F17" s="51"/>
      <c r="G17" s="51"/>
      <c r="H17" s="51"/>
      <c r="I17" s="51"/>
      <c r="J17" s="51"/>
      <c r="K17" s="51"/>
      <c r="L17" s="51"/>
    </row>
    <row r="18" spans="1:12">
      <c r="A18" s="48" t="s">
        <v>23</v>
      </c>
      <c r="B18" s="91">
        <f>B16/(B17-M2)</f>
        <v>63486717.759651944</v>
      </c>
      <c r="C18" s="51"/>
      <c r="D18" s="153"/>
      <c r="E18" s="51"/>
      <c r="F18" s="51"/>
      <c r="G18" s="51"/>
      <c r="H18" s="51"/>
      <c r="I18" s="51"/>
      <c r="J18" s="51"/>
      <c r="K18" s="51"/>
      <c r="L18" s="51"/>
    </row>
    <row r="19" spans="1:12">
      <c r="A19" s="48" t="s">
        <v>24</v>
      </c>
      <c r="B19" s="98">
        <f>B18*L13</f>
        <v>32303991.775581878</v>
      </c>
      <c r="C19" s="51"/>
      <c r="D19" s="51"/>
      <c r="E19" s="51"/>
      <c r="F19" s="51"/>
      <c r="G19" s="51"/>
      <c r="H19" s="51"/>
      <c r="I19" s="51"/>
      <c r="J19" s="51"/>
      <c r="K19" s="51"/>
      <c r="L19" s="51"/>
    </row>
    <row r="20" spans="1:12">
      <c r="A20" s="48" t="s">
        <v>45</v>
      </c>
      <c r="B20" s="98">
        <f>SUM(C14:L14)</f>
        <v>7121239.6849345556</v>
      </c>
      <c r="C20" s="51"/>
      <c r="D20" s="51"/>
      <c r="E20" s="51"/>
      <c r="F20" s="51"/>
      <c r="G20" s="51"/>
      <c r="H20" s="51"/>
      <c r="I20" s="51"/>
      <c r="J20" s="51"/>
      <c r="K20" s="51"/>
      <c r="L20" s="51"/>
    </row>
    <row r="21" spans="1:12">
      <c r="A21" s="48" t="s">
        <v>46</v>
      </c>
      <c r="B21" s="98">
        <f>B19+B20</f>
        <v>39425231.46051643</v>
      </c>
      <c r="C21" s="51"/>
      <c r="D21" s="51"/>
      <c r="E21" s="51"/>
      <c r="F21" s="51"/>
      <c r="G21" s="51"/>
      <c r="H21" s="51"/>
      <c r="I21" s="51"/>
      <c r="J21" s="51"/>
      <c r="K21" s="51"/>
      <c r="L21" s="51"/>
    </row>
    <row r="22" spans="1:12">
      <c r="A22" s="48" t="s">
        <v>110</v>
      </c>
      <c r="B22" s="99">
        <f>IF('Input sheet'!B49="Yes",'Input sheet'!B50,0)</f>
        <v>0.12</v>
      </c>
      <c r="C22" s="51"/>
      <c r="D22" s="51"/>
      <c r="E22" s="51"/>
      <c r="F22" s="51"/>
      <c r="G22" s="51"/>
      <c r="H22" s="51"/>
      <c r="I22" s="51"/>
      <c r="J22" s="51"/>
      <c r="K22" s="51"/>
      <c r="L22" s="51"/>
    </row>
    <row r="23" spans="1:12">
      <c r="A23" s="48" t="s">
        <v>111</v>
      </c>
      <c r="B23" s="100">
        <f>IF('Input sheet'!B51="B",('Input sheet'!B11+'Input sheet'!B12)*'Input sheet'!B52,'Valuation output'!B21*'Input sheet'!B52)</f>
        <v>19712615.730258215</v>
      </c>
      <c r="C23" s="51"/>
      <c r="D23" s="51"/>
      <c r="E23" s="51"/>
      <c r="F23" s="51"/>
      <c r="G23" s="51"/>
      <c r="H23" s="51"/>
      <c r="I23" s="51"/>
      <c r="J23" s="51"/>
      <c r="K23" s="51"/>
      <c r="L23" s="51"/>
    </row>
    <row r="24" spans="1:12">
      <c r="A24" s="48" t="s">
        <v>43</v>
      </c>
      <c r="B24" s="91">
        <f>B21*(1-B22)+B23*B22</f>
        <v>37059717.572885446</v>
      </c>
      <c r="C24" s="51"/>
      <c r="D24" s="51"/>
      <c r="E24" s="51"/>
      <c r="F24" s="51"/>
      <c r="G24" s="51"/>
      <c r="H24" s="51"/>
      <c r="I24" s="51"/>
      <c r="J24" s="51"/>
      <c r="K24" s="51"/>
      <c r="L24" s="51"/>
    </row>
    <row r="25" spans="1:12">
      <c r="A25" s="48" t="s">
        <v>388</v>
      </c>
      <c r="B25" s="91">
        <f>IF('Input sheet'!B14="Yes",'Input sheet'!B12+'Operating lease converter'!C28,'Input sheet'!B12)</f>
        <v>16715192</v>
      </c>
      <c r="C25" s="51"/>
      <c r="D25" s="51"/>
      <c r="E25" s="51"/>
      <c r="F25" s="51"/>
      <c r="G25" s="51"/>
      <c r="H25" s="51"/>
      <c r="I25" s="51"/>
      <c r="J25" s="51"/>
      <c r="K25" s="51"/>
      <c r="L25" s="51"/>
    </row>
    <row r="26" spans="1:12">
      <c r="A26" s="48" t="s">
        <v>390</v>
      </c>
      <c r="B26" s="91">
        <f>'Input sheet'!B17</f>
        <v>0</v>
      </c>
      <c r="C26" s="51"/>
      <c r="D26" s="51"/>
      <c r="E26" s="51"/>
      <c r="F26" s="51"/>
      <c r="G26" s="51"/>
      <c r="H26" s="51"/>
      <c r="I26" s="51"/>
      <c r="J26" s="51"/>
      <c r="K26" s="51"/>
      <c r="L26" s="51"/>
    </row>
    <row r="27" spans="1:12">
      <c r="A27" s="48" t="s">
        <v>387</v>
      </c>
      <c r="B27" s="91">
        <f>IF('Input sheet'!B65="YES",'Input sheet'!B15-'Input sheet'!B66*('Input sheet'!B21-'Input sheet'!B67),'Input sheet'!B15)</f>
        <v>6699463</v>
      </c>
      <c r="C27" s="51"/>
      <c r="D27" s="51"/>
      <c r="E27" s="51"/>
      <c r="F27" s="51"/>
      <c r="G27" s="51"/>
      <c r="H27" s="51"/>
      <c r="I27" s="51"/>
      <c r="J27" s="51"/>
      <c r="K27" s="51"/>
      <c r="L27" s="51"/>
    </row>
    <row r="28" spans="1:12">
      <c r="A28" s="48" t="s">
        <v>386</v>
      </c>
      <c r="B28" s="91">
        <f>'Input sheet'!B16</f>
        <v>0</v>
      </c>
      <c r="C28" s="51"/>
      <c r="D28" s="51"/>
      <c r="E28" s="51"/>
      <c r="F28" s="51"/>
      <c r="G28" s="51"/>
      <c r="H28" s="51"/>
      <c r="I28" s="51"/>
      <c r="J28" s="51"/>
      <c r="K28" s="51"/>
      <c r="L28" s="51"/>
    </row>
    <row r="29" spans="1:12">
      <c r="A29" s="48" t="s">
        <v>52</v>
      </c>
      <c r="B29" s="98">
        <f>B24-B25-B26+B27+B28</f>
        <v>27043988.572885446</v>
      </c>
      <c r="C29" s="51"/>
      <c r="D29" s="51"/>
      <c r="E29" s="51"/>
      <c r="F29" s="51"/>
      <c r="G29" s="51"/>
      <c r="H29" s="51"/>
      <c r="I29" s="51"/>
      <c r="J29" s="51"/>
      <c r="K29" s="51"/>
      <c r="L29" s="51"/>
    </row>
    <row r="30" spans="1:12">
      <c r="A30" s="48" t="s">
        <v>58</v>
      </c>
      <c r="B30" s="101">
        <f>IF('Input sheet'!B35="No",0,'Option value'!D27)</f>
        <v>0</v>
      </c>
      <c r="C30" s="51"/>
      <c r="D30" s="51"/>
      <c r="E30" s="51"/>
      <c r="F30" s="51"/>
      <c r="G30" s="51"/>
      <c r="H30" s="51"/>
      <c r="I30" s="51"/>
      <c r="J30" s="51"/>
      <c r="K30" s="51"/>
      <c r="L30" s="51"/>
    </row>
    <row r="31" spans="1:12">
      <c r="A31" s="48" t="s">
        <v>59</v>
      </c>
      <c r="B31" s="98">
        <f>B29-B30</f>
        <v>27043988.572885446</v>
      </c>
      <c r="C31" s="51"/>
      <c r="D31" s="51"/>
      <c r="E31" s="51"/>
      <c r="F31" s="51"/>
      <c r="G31" s="51"/>
      <c r="H31" s="51"/>
      <c r="I31" s="51"/>
      <c r="J31" s="51"/>
      <c r="K31" s="51"/>
      <c r="L31" s="51"/>
    </row>
    <row r="32" spans="1:12">
      <c r="A32" s="48" t="s">
        <v>13</v>
      </c>
      <c r="B32" s="102">
        <f>'Input sheet'!B18</f>
        <v>83.6</v>
      </c>
      <c r="C32" s="51"/>
      <c r="D32" s="51"/>
      <c r="E32" s="51"/>
      <c r="F32" s="51"/>
      <c r="G32" s="51"/>
      <c r="H32" s="51"/>
      <c r="I32" s="51"/>
      <c r="J32" s="51"/>
      <c r="K32" s="51"/>
      <c r="L32" s="51"/>
    </row>
    <row r="33" spans="1:13">
      <c r="A33" s="48" t="s">
        <v>94</v>
      </c>
      <c r="B33" s="103">
        <f>B31/B32</f>
        <v>323492.68627853406</v>
      </c>
      <c r="C33" s="51"/>
      <c r="D33" s="51"/>
      <c r="E33" s="51"/>
      <c r="F33" s="51"/>
      <c r="G33" s="51"/>
      <c r="H33" s="51"/>
      <c r="I33" s="51"/>
      <c r="J33" s="51"/>
      <c r="K33" s="51"/>
      <c r="L33" s="51"/>
    </row>
    <row r="34" spans="1:13">
      <c r="A34" s="48" t="s">
        <v>101</v>
      </c>
      <c r="B34" s="104">
        <f>'Input sheet'!B19</f>
        <v>273500</v>
      </c>
      <c r="C34" s="51"/>
      <c r="D34" s="51"/>
      <c r="E34" s="51"/>
      <c r="F34" s="51"/>
      <c r="G34" s="51"/>
      <c r="H34" s="51"/>
      <c r="I34" s="51"/>
      <c r="J34" s="51"/>
      <c r="K34" s="51"/>
      <c r="L34" s="51"/>
    </row>
    <row r="35" spans="1:13">
      <c r="A35" s="48" t="s">
        <v>50</v>
      </c>
      <c r="B35" s="94">
        <f>B34/B33</f>
        <v>0.84545960882871618</v>
      </c>
      <c r="C35" s="51"/>
      <c r="D35" s="51"/>
      <c r="E35" s="51"/>
      <c r="F35" s="51"/>
      <c r="G35" s="51"/>
      <c r="H35" s="51"/>
      <c r="I35" s="51"/>
      <c r="J35" s="51"/>
      <c r="K35" s="51"/>
      <c r="L35" s="51"/>
    </row>
    <row r="36" spans="1:13">
      <c r="A36" s="46"/>
      <c r="B36" s="45"/>
      <c r="C36" s="51"/>
      <c r="D36" s="51"/>
      <c r="E36" s="51"/>
      <c r="F36" s="51"/>
      <c r="G36" s="51"/>
      <c r="H36" s="51"/>
      <c r="I36" s="51"/>
      <c r="J36" s="51"/>
      <c r="K36" s="51"/>
      <c r="L36" s="51"/>
    </row>
    <row r="37" spans="1:13">
      <c r="A37" s="49" t="s">
        <v>17</v>
      </c>
      <c r="B37" s="88"/>
      <c r="C37" s="97"/>
      <c r="D37" s="97"/>
      <c r="E37" s="97"/>
      <c r="F37" s="97"/>
      <c r="G37" s="97"/>
      <c r="H37" s="97"/>
      <c r="I37" s="97"/>
      <c r="J37" s="97"/>
      <c r="K37" s="97"/>
      <c r="L37" s="97"/>
      <c r="M37" s="97" t="s">
        <v>42</v>
      </c>
    </row>
    <row r="38" spans="1:13">
      <c r="A38" s="44" t="s">
        <v>37</v>
      </c>
      <c r="B38" s="88"/>
      <c r="C38" s="105">
        <f>'Input sheet'!B28</f>
        <v>10</v>
      </c>
      <c r="D38" s="105">
        <f>'Input sheet'!B29</f>
        <v>5</v>
      </c>
      <c r="E38" s="105">
        <f t="shared" ref="E38:L38" si="8">D38</f>
        <v>5</v>
      </c>
      <c r="F38" s="105">
        <f t="shared" si="8"/>
        <v>5</v>
      </c>
      <c r="G38" s="105">
        <f>'Input sheet'!B30</f>
        <v>1.5</v>
      </c>
      <c r="H38" s="105">
        <f t="shared" si="8"/>
        <v>1.5</v>
      </c>
      <c r="I38" s="105">
        <f t="shared" si="8"/>
        <v>1.5</v>
      </c>
      <c r="J38" s="105">
        <f t="shared" si="8"/>
        <v>1.5</v>
      </c>
      <c r="K38" s="105">
        <f t="shared" si="8"/>
        <v>1.5</v>
      </c>
      <c r="L38" s="105">
        <f t="shared" si="8"/>
        <v>1.5</v>
      </c>
      <c r="M38" s="97"/>
    </row>
    <row r="39" spans="1:13">
      <c r="A39" s="44" t="s">
        <v>18</v>
      </c>
      <c r="B39" s="106">
        <f>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25144323.199999999</v>
      </c>
      <c r="C39" s="107">
        <f t="shared" ref="C39:L39" si="9">B39+C8</f>
        <v>26762184.300000001</v>
      </c>
      <c r="D39" s="107">
        <f t="shared" si="9"/>
        <v>27247542.629999999</v>
      </c>
      <c r="E39" s="107">
        <f t="shared" si="9"/>
        <v>27757168.876499999</v>
      </c>
      <c r="F39" s="107">
        <f t="shared" si="9"/>
        <v>28292276.435325</v>
      </c>
      <c r="G39" s="107">
        <f t="shared" si="9"/>
        <v>30165152.891212501</v>
      </c>
      <c r="H39" s="107">
        <f t="shared" si="9"/>
        <v>31895690.736452553</v>
      </c>
      <c r="I39" s="107">
        <f t="shared" si="9"/>
        <v>33456006.586369902</v>
      </c>
      <c r="J39" s="107">
        <f t="shared" si="9"/>
        <v>34819886.882971339</v>
      </c>
      <c r="K39" s="107">
        <f t="shared" si="9"/>
        <v>35963500.51167164</v>
      </c>
      <c r="L39" s="107">
        <f t="shared" si="9"/>
        <v>36866075.575553574</v>
      </c>
      <c r="M39" s="97"/>
    </row>
    <row r="40" spans="1:13">
      <c r="A40" s="44" t="s">
        <v>19</v>
      </c>
      <c r="B40" s="93">
        <f t="shared" ref="B40:L40" si="10">B7/B39</f>
        <v>-8.3674632371890621E-3</v>
      </c>
      <c r="C40" s="89">
        <f t="shared" si="10"/>
        <v>4.0812778219302528E-2</v>
      </c>
      <c r="D40" s="89">
        <f t="shared" si="10"/>
        <v>5.4707934262345624E-2</v>
      </c>
      <c r="E40" s="89">
        <f t="shared" si="10"/>
        <v>6.2895045904504912E-2</v>
      </c>
      <c r="F40" s="89">
        <f t="shared" si="10"/>
        <v>7.1493242227514839E-2</v>
      </c>
      <c r="G40" s="89">
        <f t="shared" si="10"/>
        <v>7.7007800609214597E-2</v>
      </c>
      <c r="H40" s="89">
        <f t="shared" si="10"/>
        <v>6.1405340153218413E-2</v>
      </c>
      <c r="I40" s="89">
        <f t="shared" si="10"/>
        <v>7.2446949378981398E-2</v>
      </c>
      <c r="J40" s="89">
        <f t="shared" si="10"/>
        <v>8.3419184087590706E-2</v>
      </c>
      <c r="K40" s="89">
        <f t="shared" si="10"/>
        <v>9.4372152576574261E-2</v>
      </c>
      <c r="L40" s="109">
        <f t="shared" si="10"/>
        <v>0.10535141756022461</v>
      </c>
      <c r="M40" s="89">
        <f>IF('Input sheet'!B46="Yes",'Input sheet'!B47,'Valuation output'!L12)</f>
        <v>6.2400000000000011E-2</v>
      </c>
    </row>
    <row r="41" spans="1:13">
      <c r="A41" s="46"/>
    </row>
  </sheetData>
  <phoneticPr fontId="8"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88" zoomScaleNormal="88" workbookViewId="0">
      <selection activeCell="A3" sqref="A3:G6"/>
    </sheetView>
  </sheetViews>
  <sheetFormatPr baseColWidth="10" defaultRowHeight="16"/>
  <cols>
    <col min="1" max="1" width="20.33203125" style="284" customWidth="1"/>
    <col min="2" max="2" width="19.5" style="284" customWidth="1"/>
    <col min="3" max="3" width="17.6640625" style="284" customWidth="1"/>
    <col min="4" max="4" width="16.5" style="284" customWidth="1"/>
    <col min="5" max="5" width="19.1640625" style="284" customWidth="1"/>
    <col min="6" max="6" width="24.6640625" style="285" customWidth="1"/>
    <col min="7" max="7" width="37.33203125" style="284" customWidth="1"/>
    <col min="8" max="8" width="17" customWidth="1"/>
    <col min="13" max="13" width="12.5" bestFit="1" customWidth="1"/>
  </cols>
  <sheetData>
    <row r="1" spans="1:11">
      <c r="A1" s="404" t="str">
        <f>'Input sheet'!B2</f>
        <v>SK Innovation</v>
      </c>
      <c r="B1" s="405"/>
      <c r="C1" s="405"/>
      <c r="D1" s="405"/>
      <c r="E1" s="405"/>
      <c r="F1" s="406"/>
      <c r="G1" s="335">
        <f>'Input sheet'!B1</f>
        <v>43100</v>
      </c>
    </row>
    <row r="2" spans="1:11">
      <c r="A2" s="396" t="s">
        <v>533</v>
      </c>
      <c r="B2" s="396"/>
      <c r="C2" s="396"/>
      <c r="D2" s="396"/>
      <c r="E2" s="396"/>
      <c r="F2" s="396"/>
      <c r="G2" s="396"/>
    </row>
    <row r="3" spans="1:11" ht="16" customHeight="1">
      <c r="A3" s="410" t="s">
        <v>688</v>
      </c>
      <c r="B3" s="411"/>
      <c r="C3" s="411"/>
      <c r="D3" s="411"/>
      <c r="E3" s="411"/>
      <c r="F3" s="411"/>
      <c r="G3" s="412"/>
      <c r="H3" s="419" t="s">
        <v>555</v>
      </c>
      <c r="I3" s="420"/>
      <c r="J3" s="420"/>
      <c r="K3" s="421"/>
    </row>
    <row r="4" spans="1:11" ht="16" customHeight="1">
      <c r="A4" s="413"/>
      <c r="B4" s="414"/>
      <c r="C4" s="414"/>
      <c r="D4" s="414"/>
      <c r="E4" s="414"/>
      <c r="F4" s="414"/>
      <c r="G4" s="415"/>
      <c r="H4" s="422"/>
      <c r="I4" s="423"/>
      <c r="J4" s="423"/>
      <c r="K4" s="424"/>
    </row>
    <row r="5" spans="1:11" ht="12" customHeight="1">
      <c r="A5" s="413"/>
      <c r="B5" s="414"/>
      <c r="C5" s="414"/>
      <c r="D5" s="414"/>
      <c r="E5" s="414"/>
      <c r="F5" s="414"/>
      <c r="G5" s="415"/>
      <c r="H5" s="422"/>
      <c r="I5" s="423"/>
      <c r="J5" s="423"/>
      <c r="K5" s="424"/>
    </row>
    <row r="6" spans="1:11" ht="17" customHeight="1">
      <c r="A6" s="416"/>
      <c r="B6" s="417"/>
      <c r="C6" s="417"/>
      <c r="D6" s="417"/>
      <c r="E6" s="417"/>
      <c r="F6" s="417"/>
      <c r="G6" s="418"/>
      <c r="H6" s="425"/>
      <c r="I6" s="426"/>
      <c r="J6" s="426"/>
      <c r="K6" s="427"/>
    </row>
    <row r="7" spans="1:11">
      <c r="A7" s="397" t="s">
        <v>534</v>
      </c>
      <c r="B7" s="398"/>
      <c r="C7" s="398"/>
      <c r="D7" s="398"/>
      <c r="E7" s="398"/>
      <c r="F7" s="398"/>
      <c r="G7" s="399"/>
    </row>
    <row r="8" spans="1:11">
      <c r="A8" s="266"/>
      <c r="B8" s="263" t="s">
        <v>535</v>
      </c>
      <c r="C8" s="331" t="s">
        <v>677</v>
      </c>
      <c r="D8" s="264" t="s">
        <v>675</v>
      </c>
      <c r="E8" s="263" t="s">
        <v>536</v>
      </c>
      <c r="F8" s="263" t="s">
        <v>42</v>
      </c>
      <c r="G8" s="265" t="s">
        <v>543</v>
      </c>
    </row>
    <row r="9" spans="1:11" ht="34">
      <c r="A9" s="267" t="s">
        <v>544</v>
      </c>
      <c r="B9" s="368">
        <f>'Valuation output'!B3</f>
        <v>32357222</v>
      </c>
      <c r="C9" s="330">
        <f>'Input sheet'!B23</f>
        <v>0.5</v>
      </c>
      <c r="D9" s="349">
        <f>'Input sheet'!B25</f>
        <v>0.05</v>
      </c>
      <c r="E9" s="349">
        <f>F9</f>
        <v>0.02</v>
      </c>
      <c r="F9" s="268">
        <f>'Valuation output'!M2</f>
        <v>0.02</v>
      </c>
      <c r="G9" s="365" t="s">
        <v>683</v>
      </c>
      <c r="H9" s="428" t="s">
        <v>556</v>
      </c>
      <c r="I9" s="429"/>
      <c r="J9" s="429"/>
      <c r="K9" s="430"/>
    </row>
    <row r="10" spans="1:11" ht="17">
      <c r="A10" s="267" t="s">
        <v>545</v>
      </c>
      <c r="B10" s="268">
        <f>'Valuation output'!B4</f>
        <v>-6.5022331027057888E-3</v>
      </c>
      <c r="C10" s="330">
        <f>'Input sheet'!B24</f>
        <v>0.03</v>
      </c>
      <c r="D10" s="350">
        <f>C10</f>
        <v>0.03</v>
      </c>
      <c r="E10" s="351">
        <f>F10</f>
        <v>7.4999999999999997E-2</v>
      </c>
      <c r="F10" s="268">
        <f>'Valuation output'!M4</f>
        <v>7.4999999999999997E-2</v>
      </c>
      <c r="G10" s="333" t="s">
        <v>684</v>
      </c>
      <c r="H10" s="431"/>
      <c r="I10" s="432"/>
      <c r="J10" s="432"/>
      <c r="K10" s="433"/>
    </row>
    <row r="11" spans="1:11">
      <c r="A11" s="267" t="s">
        <v>140</v>
      </c>
      <c r="B11" s="268">
        <f>'Valuation output'!B6</f>
        <v>0.25</v>
      </c>
      <c r="C11" s="268"/>
      <c r="D11" s="350">
        <f>B11</f>
        <v>0.25</v>
      </c>
      <c r="E11" s="351">
        <f>F11</f>
        <v>0.25</v>
      </c>
      <c r="F11" s="268">
        <f>'Valuation output'!M6</f>
        <v>0.25</v>
      </c>
      <c r="G11" s="287" t="s">
        <v>685</v>
      </c>
      <c r="H11" s="431"/>
      <c r="I11" s="432"/>
      <c r="J11" s="432"/>
      <c r="K11" s="433"/>
    </row>
    <row r="12" spans="1:11" ht="34">
      <c r="A12" s="267" t="s">
        <v>546</v>
      </c>
      <c r="B12" s="269"/>
      <c r="C12" s="347">
        <f>'Input sheet'!B28</f>
        <v>10</v>
      </c>
      <c r="D12" s="348">
        <f>'Input sheet'!B29</f>
        <v>5</v>
      </c>
      <c r="E12" s="346">
        <f>'Input sheet'!B30</f>
        <v>1.5</v>
      </c>
      <c r="F12" s="270">
        <f>'Valuation output'!M2/'Valuation output'!M40</f>
        <v>0.32051282051282048</v>
      </c>
      <c r="G12" s="333" t="s">
        <v>686</v>
      </c>
      <c r="H12" s="431"/>
      <c r="I12" s="432"/>
      <c r="J12" s="432"/>
      <c r="K12" s="433"/>
    </row>
    <row r="13" spans="1:11">
      <c r="A13" s="288" t="s">
        <v>558</v>
      </c>
      <c r="B13" s="291">
        <f>'Valuation output'!B40</f>
        <v>-8.3674632371890621E-3</v>
      </c>
      <c r="C13" s="268" t="s">
        <v>559</v>
      </c>
      <c r="D13" s="402">
        <f>Diagnostics!B6</f>
        <v>0.45973660391099086</v>
      </c>
      <c r="E13" s="403"/>
      <c r="F13" s="289">
        <f>'Valuation output'!M40</f>
        <v>6.2400000000000011E-2</v>
      </c>
      <c r="G13" s="290" t="s">
        <v>687</v>
      </c>
      <c r="H13" s="431"/>
      <c r="I13" s="432"/>
      <c r="J13" s="432"/>
      <c r="K13" s="433"/>
    </row>
    <row r="14" spans="1:11" ht="35" thickBot="1">
      <c r="A14" s="271" t="s">
        <v>547</v>
      </c>
      <c r="B14" s="292"/>
      <c r="C14" s="269"/>
      <c r="D14" s="350">
        <f>'Valuation output'!C12</f>
        <v>7.3122455580355072E-2</v>
      </c>
      <c r="E14" s="351">
        <f>F14</f>
        <v>6.2399999999999997E-2</v>
      </c>
      <c r="F14" s="272">
        <f>'Valuation output'!M12</f>
        <v>6.2399999999999997E-2</v>
      </c>
      <c r="G14" s="343" t="s">
        <v>674</v>
      </c>
      <c r="H14" s="434"/>
      <c r="I14" s="435"/>
      <c r="J14" s="435"/>
      <c r="K14" s="436"/>
    </row>
    <row r="15" spans="1:11" ht="17" thickBot="1">
      <c r="A15" s="400" t="s">
        <v>538</v>
      </c>
      <c r="B15" s="400"/>
      <c r="C15" s="400"/>
      <c r="D15" s="400"/>
      <c r="E15" s="400"/>
      <c r="F15" s="400"/>
      <c r="G15" s="400"/>
    </row>
    <row r="16" spans="1:11">
      <c r="A16" s="262"/>
      <c r="B16" s="362" t="s">
        <v>11</v>
      </c>
      <c r="C16" s="362" t="s">
        <v>537</v>
      </c>
      <c r="D16" s="363" t="s">
        <v>550</v>
      </c>
      <c r="E16" s="363" t="s">
        <v>539</v>
      </c>
      <c r="F16" s="363" t="s">
        <v>548</v>
      </c>
      <c r="G16" s="364" t="s">
        <v>16</v>
      </c>
      <c r="H16" s="437" t="s">
        <v>557</v>
      </c>
      <c r="I16" s="438"/>
      <c r="J16" s="438"/>
      <c r="K16" s="439"/>
    </row>
    <row r="17" spans="1:11">
      <c r="A17" s="273">
        <v>1</v>
      </c>
      <c r="B17" s="368">
        <f>'Valuation output'!C3</f>
        <v>48535833</v>
      </c>
      <c r="C17" s="274">
        <f>'Valuation output'!C4</f>
        <v>0.03</v>
      </c>
      <c r="D17" s="368">
        <f>B17*C17</f>
        <v>1456074.99</v>
      </c>
      <c r="E17" s="368">
        <f>'Valuation output'!C7</f>
        <v>1092239.0925</v>
      </c>
      <c r="F17" s="368">
        <f>'Valuation output'!C8</f>
        <v>1617861.1</v>
      </c>
      <c r="G17" s="370">
        <f>E17-F17</f>
        <v>-525622.00750000007</v>
      </c>
      <c r="H17" s="440"/>
      <c r="I17" s="441"/>
      <c r="J17" s="441"/>
      <c r="K17" s="442"/>
    </row>
    <row r="18" spans="1:11">
      <c r="A18" s="273">
        <v>2</v>
      </c>
      <c r="B18" s="368">
        <f>'Valuation output'!D3</f>
        <v>50962624.649999999</v>
      </c>
      <c r="C18" s="274">
        <f>'Valuation output'!D4</f>
        <v>3.9E-2</v>
      </c>
      <c r="D18" s="368">
        <f t="shared" ref="D18:D27" si="0">B18*C18</f>
        <v>1987542.3613499999</v>
      </c>
      <c r="E18" s="368">
        <f>'Valuation output'!D7</f>
        <v>1490656.7710124999</v>
      </c>
      <c r="F18" s="368">
        <f>'Valuation output'!D8</f>
        <v>485358.32999999973</v>
      </c>
      <c r="G18" s="370">
        <f t="shared" ref="G18:G27" si="1">E18-F18</f>
        <v>1005298.4410125002</v>
      </c>
      <c r="H18" s="440"/>
      <c r="I18" s="441"/>
      <c r="J18" s="441"/>
      <c r="K18" s="442"/>
    </row>
    <row r="19" spans="1:11">
      <c r="A19" s="273">
        <v>3</v>
      </c>
      <c r="B19" s="368">
        <f>'Valuation output'!E3</f>
        <v>53510755.8825</v>
      </c>
      <c r="C19" s="274">
        <f>'Valuation output'!E4</f>
        <v>4.3499999999999997E-2</v>
      </c>
      <c r="D19" s="368">
        <f t="shared" si="0"/>
        <v>2327717.8808887498</v>
      </c>
      <c r="E19" s="368">
        <f>'Valuation output'!E7</f>
        <v>1745788.4106665624</v>
      </c>
      <c r="F19" s="368">
        <f>'Valuation output'!E8</f>
        <v>509626.24650000036</v>
      </c>
      <c r="G19" s="370">
        <f t="shared" si="1"/>
        <v>1236162.164166562</v>
      </c>
      <c r="H19" s="440"/>
      <c r="I19" s="441"/>
      <c r="J19" s="441"/>
      <c r="K19" s="442"/>
    </row>
    <row r="20" spans="1:11">
      <c r="A20" s="273">
        <v>4</v>
      </c>
      <c r="B20" s="368">
        <f>'Valuation output'!F3</f>
        <v>56186293.676625006</v>
      </c>
      <c r="C20" s="274">
        <f>'Valuation output'!F4</f>
        <v>4.8000000000000001E-2</v>
      </c>
      <c r="D20" s="368">
        <f t="shared" si="0"/>
        <v>2696942.0964780003</v>
      </c>
      <c r="E20" s="368">
        <f>'Valuation output'!F7</f>
        <v>2022706.5723585002</v>
      </c>
      <c r="F20" s="368">
        <f>'Valuation output'!F8</f>
        <v>535107.55882500112</v>
      </c>
      <c r="G20" s="370">
        <f t="shared" si="1"/>
        <v>1487599.0135334991</v>
      </c>
      <c r="H20" s="440"/>
      <c r="I20" s="441"/>
      <c r="J20" s="441"/>
      <c r="K20" s="442"/>
    </row>
    <row r="21" spans="1:11">
      <c r="A21" s="273">
        <v>5</v>
      </c>
      <c r="B21" s="368">
        <f>'Valuation output'!G3</f>
        <v>58995608.360456258</v>
      </c>
      <c r="C21" s="274">
        <f>'Valuation output'!G4</f>
        <v>5.2499999999999998E-2</v>
      </c>
      <c r="D21" s="368">
        <f t="shared" si="0"/>
        <v>3097269.4389239536</v>
      </c>
      <c r="E21" s="368">
        <f>'Valuation output'!G7</f>
        <v>2322952.0791929653</v>
      </c>
      <c r="F21" s="368">
        <f>'Valuation output'!G8</f>
        <v>1872876.4558875014</v>
      </c>
      <c r="G21" s="370">
        <f t="shared" si="1"/>
        <v>450075.62330546393</v>
      </c>
      <c r="H21" s="440"/>
      <c r="I21" s="441"/>
      <c r="J21" s="441"/>
      <c r="K21" s="442"/>
    </row>
    <row r="22" spans="1:11">
      <c r="A22" s="273">
        <v>6</v>
      </c>
      <c r="B22" s="368">
        <f>'Valuation output'!H3</f>
        <v>61591415.128316335</v>
      </c>
      <c r="C22" s="274">
        <f>'Valuation output'!H4</f>
        <v>4.2399106758917685E-2</v>
      </c>
      <c r="D22" s="368">
        <f t="shared" si="0"/>
        <v>2611420.9854583018</v>
      </c>
      <c r="E22" s="368">
        <f>'Valuation output'!H7</f>
        <v>1958565.7390937265</v>
      </c>
      <c r="F22" s="368">
        <f>'Valuation output'!H8</f>
        <v>1730537.8452400516</v>
      </c>
      <c r="G22" s="370">
        <f t="shared" si="1"/>
        <v>228027.89385367488</v>
      </c>
      <c r="H22" s="440"/>
      <c r="I22" s="441"/>
      <c r="J22" s="441"/>
      <c r="K22" s="442"/>
    </row>
    <row r="23" spans="1:11">
      <c r="A23" s="273">
        <v>7</v>
      </c>
      <c r="B23" s="368">
        <f>'Valuation output'!I3</f>
        <v>63931888.903192356</v>
      </c>
      <c r="C23" s="274">
        <f>'Valuation output'!I4</f>
        <v>5.0549330069188263E-2</v>
      </c>
      <c r="D23" s="368">
        <f t="shared" si="0"/>
        <v>3231714.1541141449</v>
      </c>
      <c r="E23" s="368">
        <f>'Valuation output'!I7</f>
        <v>2423785.6155856084</v>
      </c>
      <c r="F23" s="368">
        <f>'Valuation output'!I8</f>
        <v>1560315.8499173473</v>
      </c>
      <c r="G23" s="370">
        <f t="shared" si="1"/>
        <v>863469.7656682611</v>
      </c>
      <c r="H23" s="440"/>
      <c r="I23" s="441"/>
      <c r="J23" s="441"/>
      <c r="K23" s="442"/>
    </row>
    <row r="24" spans="1:11">
      <c r="A24" s="273">
        <v>8</v>
      </c>
      <c r="B24" s="368">
        <f>'Valuation output'!J3</f>
        <v>65977709.348094516</v>
      </c>
      <c r="C24" s="274">
        <f>'Valuation output'!J4</f>
        <v>5.8699553379458841E-2</v>
      </c>
      <c r="D24" s="368">
        <f t="shared" si="0"/>
        <v>3872862.0717328945</v>
      </c>
      <c r="E24" s="368">
        <f>'Valuation output'!J7</f>
        <v>2904646.5537996711</v>
      </c>
      <c r="F24" s="368">
        <f>'Valuation output'!J8</f>
        <v>1363880.2966014396</v>
      </c>
      <c r="G24" s="370">
        <f t="shared" si="1"/>
        <v>1540766.2571982315</v>
      </c>
      <c r="H24" s="440"/>
      <c r="I24" s="441"/>
      <c r="J24" s="441"/>
      <c r="K24" s="442"/>
    </row>
    <row r="25" spans="1:11">
      <c r="A25" s="273">
        <v>9</v>
      </c>
      <c r="B25" s="368">
        <f>'Valuation output'!K3</f>
        <v>67693129.791144967</v>
      </c>
      <c r="C25" s="274">
        <f>'Valuation output'!K4</f>
        <v>6.6849776689729412E-2</v>
      </c>
      <c r="D25" s="368">
        <f t="shared" si="0"/>
        <v>4525270.6099669104</v>
      </c>
      <c r="E25" s="368">
        <f>'Valuation output'!K7</f>
        <v>3393952.9574751826</v>
      </c>
      <c r="F25" s="368">
        <f>'Valuation output'!K8</f>
        <v>1143613.6287003011</v>
      </c>
      <c r="G25" s="370">
        <f t="shared" si="1"/>
        <v>2250339.3287748815</v>
      </c>
      <c r="H25" s="440"/>
      <c r="I25" s="441"/>
      <c r="J25" s="441"/>
      <c r="K25" s="442"/>
    </row>
    <row r="26" spans="1:11">
      <c r="A26" s="273">
        <v>10</v>
      </c>
      <c r="B26" s="368">
        <f>'Valuation output'!L3</f>
        <v>69046992.386967868</v>
      </c>
      <c r="C26" s="274">
        <f>'Valuation output'!L4</f>
        <v>7.4999999999999997E-2</v>
      </c>
      <c r="D26" s="368">
        <f t="shared" si="0"/>
        <v>5178524.4290225897</v>
      </c>
      <c r="E26" s="368">
        <f>'Valuation output'!L7</f>
        <v>3883893.3217669423</v>
      </c>
      <c r="F26" s="368">
        <f>'Valuation output'!L8</f>
        <v>902575.06388193369</v>
      </c>
      <c r="G26" s="370">
        <f t="shared" si="1"/>
        <v>2981318.2578850086</v>
      </c>
      <c r="H26" s="440"/>
      <c r="I26" s="441"/>
      <c r="J26" s="441"/>
      <c r="K26" s="442"/>
    </row>
    <row r="27" spans="1:11" ht="17" thickBot="1">
      <c r="A27" s="275" t="s">
        <v>44</v>
      </c>
      <c r="B27" s="369">
        <f>'Valuation output'!M3</f>
        <v>70427932.234707221</v>
      </c>
      <c r="C27" s="276">
        <f>'Valuation output'!M4</f>
        <v>7.4999999999999997E-2</v>
      </c>
      <c r="D27" s="368">
        <f t="shared" si="0"/>
        <v>5282094.917603041</v>
      </c>
      <c r="E27" s="369">
        <f>'Valuation output'!M7</f>
        <v>3961571.1882022806</v>
      </c>
      <c r="F27" s="369">
        <f>'Valuation output'!M8</f>
        <v>1269734.3551930385</v>
      </c>
      <c r="G27" s="370">
        <f t="shared" si="1"/>
        <v>2691836.8330092421</v>
      </c>
      <c r="H27" s="443"/>
      <c r="I27" s="444"/>
      <c r="J27" s="444"/>
      <c r="K27" s="445"/>
    </row>
    <row r="28" spans="1:11" ht="17" thickBot="1">
      <c r="A28" s="401" t="s">
        <v>540</v>
      </c>
      <c r="B28" s="401"/>
      <c r="C28" s="401"/>
      <c r="D28" s="401"/>
      <c r="E28" s="401"/>
      <c r="F28" s="401"/>
      <c r="G28" s="401"/>
    </row>
    <row r="29" spans="1:11">
      <c r="A29" s="407" t="s">
        <v>541</v>
      </c>
      <c r="B29" s="408"/>
      <c r="C29" s="409"/>
      <c r="D29" s="371">
        <f>'Valuation output'!B18</f>
        <v>63486717.759651944</v>
      </c>
      <c r="E29" s="277"/>
      <c r="F29" s="278"/>
      <c r="G29" s="279"/>
      <c r="H29" s="446" t="s">
        <v>560</v>
      </c>
      <c r="I29" s="447"/>
      <c r="J29" s="447"/>
      <c r="K29" s="447"/>
    </row>
    <row r="30" spans="1:11">
      <c r="A30" s="393" t="s">
        <v>542</v>
      </c>
      <c r="B30" s="394"/>
      <c r="C30" s="395"/>
      <c r="D30" s="372">
        <f>'Valuation output'!B19</f>
        <v>32303991.775581878</v>
      </c>
      <c r="E30" s="280"/>
      <c r="F30" s="281"/>
      <c r="G30" s="282"/>
      <c r="H30" s="446"/>
      <c r="I30" s="447"/>
      <c r="J30" s="447"/>
      <c r="K30" s="447"/>
    </row>
    <row r="31" spans="1:11">
      <c r="A31" s="393" t="s">
        <v>45</v>
      </c>
      <c r="B31" s="394"/>
      <c r="C31" s="395"/>
      <c r="D31" s="372">
        <f>'Valuation output'!B20</f>
        <v>7121239.6849345556</v>
      </c>
      <c r="E31" s="280"/>
      <c r="F31" s="281"/>
      <c r="G31" s="282"/>
      <c r="H31" s="446"/>
      <c r="I31" s="447"/>
      <c r="J31" s="447"/>
      <c r="K31" s="447"/>
    </row>
    <row r="32" spans="1:11">
      <c r="A32" s="393" t="s">
        <v>43</v>
      </c>
      <c r="B32" s="394"/>
      <c r="C32" s="395"/>
      <c r="D32" s="372">
        <f>'Valuation output'!B21</f>
        <v>39425231.46051643</v>
      </c>
      <c r="E32" s="280"/>
      <c r="F32" s="281"/>
      <c r="G32" s="282"/>
      <c r="H32" s="446"/>
      <c r="I32" s="447"/>
      <c r="J32" s="447"/>
      <c r="K32" s="447"/>
    </row>
    <row r="33" spans="1:13">
      <c r="A33" s="393" t="s">
        <v>551</v>
      </c>
      <c r="B33" s="394"/>
      <c r="C33" s="395"/>
      <c r="D33" s="373">
        <f>D32-'Valuation output'!B24</f>
        <v>2365513.8876309842</v>
      </c>
      <c r="E33" s="448" t="s">
        <v>110</v>
      </c>
      <c r="F33" s="449"/>
      <c r="G33" s="294">
        <f>'Valuation output'!B22</f>
        <v>0.12</v>
      </c>
      <c r="H33" s="432"/>
      <c r="I33" s="447"/>
      <c r="J33" s="447"/>
      <c r="K33" s="447"/>
    </row>
    <row r="34" spans="1:13">
      <c r="A34" s="393" t="s">
        <v>660</v>
      </c>
      <c r="B34" s="394"/>
      <c r="C34" s="395"/>
      <c r="D34" s="372">
        <f>'Valuation output'!B25+'Valuation output'!B26</f>
        <v>16715192</v>
      </c>
      <c r="E34" s="280"/>
      <c r="F34" s="281"/>
      <c r="G34" s="282"/>
      <c r="H34" s="446"/>
      <c r="I34" s="447"/>
      <c r="J34" s="447"/>
      <c r="K34" s="447"/>
    </row>
    <row r="35" spans="1:13">
      <c r="A35" s="393" t="s">
        <v>552</v>
      </c>
      <c r="B35" s="394"/>
      <c r="C35" s="395"/>
      <c r="D35" s="372">
        <f>'Valuation output'!B27+'Valuation output'!B28</f>
        <v>6699463</v>
      </c>
      <c r="E35" s="280"/>
      <c r="F35" s="281"/>
      <c r="G35" s="282"/>
      <c r="H35" s="446"/>
      <c r="I35" s="447"/>
      <c r="J35" s="447"/>
      <c r="K35" s="447"/>
    </row>
    <row r="36" spans="1:13">
      <c r="A36" s="393" t="s">
        <v>52</v>
      </c>
      <c r="B36" s="394"/>
      <c r="C36" s="395"/>
      <c r="D36" s="372">
        <f>D32-D33-D34+D35</f>
        <v>27043988.572885446</v>
      </c>
      <c r="E36" s="280"/>
      <c r="F36" s="281"/>
      <c r="G36" s="282"/>
      <c r="H36" s="446"/>
      <c r="I36" s="447"/>
      <c r="J36" s="447"/>
      <c r="K36" s="447"/>
    </row>
    <row r="37" spans="1:13">
      <c r="A37" s="393" t="s">
        <v>553</v>
      </c>
      <c r="B37" s="394"/>
      <c r="C37" s="395"/>
      <c r="D37" s="372">
        <f>'Valuation output'!B30</f>
        <v>0</v>
      </c>
      <c r="E37" s="280"/>
      <c r="F37" s="281"/>
      <c r="G37" s="282"/>
      <c r="H37" s="446"/>
      <c r="I37" s="447"/>
      <c r="J37" s="447"/>
      <c r="K37" s="447"/>
    </row>
    <row r="38" spans="1:13" ht="17" thickBot="1">
      <c r="A38" s="450" t="s">
        <v>549</v>
      </c>
      <c r="B38" s="451"/>
      <c r="C38" s="451"/>
      <c r="D38" s="286">
        <f>'Valuation output'!B32</f>
        <v>83.6</v>
      </c>
      <c r="E38" s="281"/>
      <c r="F38" s="283"/>
      <c r="G38" s="282"/>
      <c r="H38" s="446"/>
      <c r="I38" s="447"/>
      <c r="J38" s="447"/>
      <c r="K38" s="447"/>
    </row>
    <row r="39" spans="1:13" ht="17" thickBot="1">
      <c r="A39" s="452" t="s">
        <v>527</v>
      </c>
      <c r="B39" s="453"/>
      <c r="C39" s="453"/>
      <c r="D39" s="374">
        <f>(D36-D37)/D38</f>
        <v>323492.68627853406</v>
      </c>
      <c r="E39" s="454" t="s">
        <v>554</v>
      </c>
      <c r="F39" s="455"/>
      <c r="G39" s="293">
        <f>'Input sheet'!B19</f>
        <v>273500</v>
      </c>
      <c r="H39" s="446"/>
      <c r="I39" s="447"/>
      <c r="J39" s="447"/>
      <c r="K39" s="447"/>
      <c r="M39" s="334"/>
    </row>
    <row r="40" spans="1:13">
      <c r="M40" s="306"/>
    </row>
  </sheetData>
  <mergeCells count="24">
    <mergeCell ref="A1:F1"/>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6:C36"/>
    <mergeCell ref="A2:G2"/>
    <mergeCell ref="A7:G7"/>
    <mergeCell ref="A15:G15"/>
    <mergeCell ref="A28:G28"/>
    <mergeCell ref="A30:C30"/>
    <mergeCell ref="A35:C35"/>
    <mergeCell ref="D13:E13"/>
  </mergeCells>
  <pageMargins left="0.75" right="0.75" top="1" bottom="1" header="0.3" footer="0.3"/>
  <pageSetup orientation="portrait"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zoomScale="125" zoomScaleNormal="125" workbookViewId="0">
      <selection activeCell="B27" sqref="B27"/>
    </sheetView>
  </sheetViews>
  <sheetFormatPr baseColWidth="10" defaultRowHeight="16"/>
  <cols>
    <col min="1" max="1" width="61.6640625" style="5" customWidth="1"/>
    <col min="2" max="2" width="43.83203125" style="5" customWidth="1"/>
    <col min="3" max="3" width="68" style="5" bestFit="1" customWidth="1"/>
    <col min="4" max="16384" width="10.83203125" style="5"/>
  </cols>
  <sheetData>
    <row r="1" spans="1:4" s="143" customFormat="1" ht="13">
      <c r="A1" s="145" t="s">
        <v>95</v>
      </c>
      <c r="B1" s="146"/>
    </row>
    <row r="2" spans="1:4" s="143" customFormat="1" ht="13">
      <c r="A2" s="146" t="s">
        <v>7</v>
      </c>
      <c r="B2" s="147">
        <f>'Valuation output'!B39</f>
        <v>25144323.199999999</v>
      </c>
    </row>
    <row r="3" spans="1:4" s="143" customFormat="1" ht="13">
      <c r="A3" s="146" t="s">
        <v>8</v>
      </c>
      <c r="B3" s="147">
        <f>'Valuation output'!L39</f>
        <v>36866075.575553574</v>
      </c>
    </row>
    <row r="4" spans="1:4" s="143" customFormat="1" ht="13">
      <c r="A4" s="146" t="s">
        <v>9</v>
      </c>
      <c r="B4" s="147">
        <f>B3-B2</f>
        <v>11721752.375553574</v>
      </c>
    </row>
    <row r="5" spans="1:4" s="143" customFormat="1" ht="13">
      <c r="A5" s="146" t="s">
        <v>10</v>
      </c>
      <c r="B5" s="147">
        <f>'Valuation output'!L5-'Valuation output'!B5</f>
        <v>5388918.6290225899</v>
      </c>
    </row>
    <row r="6" spans="1:4" s="143" customFormat="1" ht="13">
      <c r="A6" s="146" t="s">
        <v>4</v>
      </c>
      <c r="B6" s="148">
        <f>B5/B4</f>
        <v>0.45973660391099086</v>
      </c>
    </row>
    <row r="7" spans="1:4" s="143" customFormat="1" ht="13">
      <c r="A7" s="146" t="s">
        <v>5</v>
      </c>
      <c r="B7" s="148">
        <f>'Valuation output'!L40</f>
        <v>0.10535141756022461</v>
      </c>
    </row>
    <row r="8" spans="1:4" s="143" customFormat="1" ht="13">
      <c r="A8" s="146" t="s">
        <v>237</v>
      </c>
      <c r="B8" s="148">
        <f>(1/'Valuation output'!L13)^(1/10)-1</f>
        <v>6.9898721072274794E-2</v>
      </c>
    </row>
    <row r="9" spans="1:4" s="143" customFormat="1" ht="14" thickBot="1">
      <c r="A9" s="149" t="s">
        <v>28</v>
      </c>
      <c r="B9" s="150">
        <f>'Valuation output'!B33/'Valuation output'!B34</f>
        <v>1.1827886152780038</v>
      </c>
    </row>
    <row r="10" spans="1:4" s="143" customFormat="1" ht="14" thickBot="1">
      <c r="A10" s="151"/>
      <c r="B10" s="456" t="str">
        <f>IF(B9="NA","Value is negative. See below",IF(B9&gt;2,"Value seems high. See below",IF(B9&lt;0.5,"Value seems low. See below"," ")))</f>
        <v xml:space="preserve"> </v>
      </c>
      <c r="C10" s="457"/>
    </row>
    <row r="11" spans="1:4" s="8" customFormat="1" ht="15">
      <c r="A11" s="208" t="s">
        <v>6</v>
      </c>
      <c r="B11" s="209" t="s">
        <v>0</v>
      </c>
      <c r="C11" s="210" t="s">
        <v>1</v>
      </c>
    </row>
    <row r="12" spans="1:4" s="8" customFormat="1" ht="15">
      <c r="A12" s="219" t="s">
        <v>151</v>
      </c>
      <c r="B12" s="211" t="s">
        <v>2</v>
      </c>
      <c r="C12" s="212" t="s">
        <v>3</v>
      </c>
    </row>
    <row r="13" spans="1:4" s="8" customFormat="1" ht="15">
      <c r="A13" s="219" t="s">
        <v>152</v>
      </c>
      <c r="B13" s="213" t="s">
        <v>149</v>
      </c>
      <c r="C13" s="214" t="s">
        <v>150</v>
      </c>
      <c r="D13" s="8" t="s">
        <v>156</v>
      </c>
    </row>
    <row r="14" spans="1:4" s="8" customFormat="1" ht="14">
      <c r="A14" s="220" t="s">
        <v>153</v>
      </c>
      <c r="B14" s="215" t="s">
        <v>147</v>
      </c>
      <c r="C14" s="216" t="s">
        <v>148</v>
      </c>
      <c r="D14" s="8" t="s">
        <v>156</v>
      </c>
    </row>
    <row r="15" spans="1:4" s="8" customFormat="1" ht="15" thickBot="1">
      <c r="A15" s="221" t="s">
        <v>158</v>
      </c>
      <c r="B15" s="217" t="s">
        <v>154</v>
      </c>
      <c r="C15" s="218" t="s">
        <v>155</v>
      </c>
      <c r="D15" s="8" t="s">
        <v>157</v>
      </c>
    </row>
    <row r="16" spans="1:4">
      <c r="B16" s="78"/>
    </row>
  </sheetData>
  <mergeCells count="1">
    <mergeCell ref="B10:C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topLeftCell="A14" workbookViewId="0">
      <selection activeCell="H60" sqref="H60"/>
    </sheetView>
  </sheetViews>
  <sheetFormatPr baseColWidth="10" defaultRowHeight="13"/>
  <sheetData>
    <row r="1" spans="1:8" s="303" customFormat="1" ht="46" thickBot="1">
      <c r="A1" s="302" t="s">
        <v>118</v>
      </c>
      <c r="B1" s="302" t="s">
        <v>11</v>
      </c>
      <c r="C1" s="302" t="s">
        <v>565</v>
      </c>
      <c r="D1" s="302" t="s">
        <v>581</v>
      </c>
      <c r="E1" s="302" t="s">
        <v>566</v>
      </c>
      <c r="F1" s="302" t="s">
        <v>47</v>
      </c>
      <c r="G1" s="302" t="s">
        <v>567</v>
      </c>
      <c r="H1" s="302" t="s">
        <v>568</v>
      </c>
    </row>
    <row r="2" spans="1:8" s="303" customFormat="1" ht="12">
      <c r="A2" s="303" t="s">
        <v>580</v>
      </c>
      <c r="B2" s="304">
        <f>'Valuation output'!B3</f>
        <v>32357222</v>
      </c>
      <c r="D2" s="305">
        <f>'Valuation output'!B4</f>
        <v>-6.5022331027057888E-3</v>
      </c>
      <c r="E2" s="304">
        <f>B2*D2</f>
        <v>-210394.2</v>
      </c>
      <c r="F2" s="304">
        <f>'Valuation output'!B10</f>
        <v>731.40000000000009</v>
      </c>
      <c r="G2" s="304">
        <f>E2-H2</f>
        <v>0</v>
      </c>
      <c r="H2" s="304">
        <f>'Valuation output'!B7</f>
        <v>-210394.2</v>
      </c>
    </row>
    <row r="3" spans="1:8" s="303" customFormat="1" ht="12">
      <c r="A3" s="303">
        <v>1</v>
      </c>
      <c r="B3" s="304">
        <f>'Valuation output'!C3</f>
        <v>48535833</v>
      </c>
      <c r="C3" s="305">
        <f>'Valuation output'!C2</f>
        <v>0.5</v>
      </c>
      <c r="D3" s="305">
        <f>'Valuation output'!C4</f>
        <v>0.03</v>
      </c>
      <c r="E3" s="304">
        <f>B3*D3</f>
        <v>1456074.99</v>
      </c>
      <c r="F3" s="304">
        <f>'Valuation output'!C10</f>
        <v>0</v>
      </c>
      <c r="G3" s="304">
        <f t="shared" ref="G3:G12" si="0">E3-H3</f>
        <v>363835.89749999996</v>
      </c>
      <c r="H3" s="304">
        <f>'Valuation output'!C7</f>
        <v>1092239.0925</v>
      </c>
    </row>
    <row r="4" spans="1:8" s="303" customFormat="1" ht="12">
      <c r="A4" s="303">
        <v>2</v>
      </c>
      <c r="B4" s="307">
        <f>'Valuation output'!D3</f>
        <v>50962624.649999999</v>
      </c>
      <c r="C4" s="305">
        <f>B4/B3-1</f>
        <v>5.0000000000000044E-2</v>
      </c>
      <c r="D4" s="305">
        <f>'Valuation output'!D4</f>
        <v>3.9E-2</v>
      </c>
      <c r="E4" s="304">
        <f t="shared" ref="E4:E12" si="1">B4*D4</f>
        <v>1987542.3613499999</v>
      </c>
      <c r="F4" s="304">
        <f>'Valuation output'!D10</f>
        <v>0</v>
      </c>
      <c r="G4" s="304">
        <f t="shared" si="0"/>
        <v>496885.59033749998</v>
      </c>
      <c r="H4" s="304">
        <f>'Valuation output'!D7</f>
        <v>1490656.7710124999</v>
      </c>
    </row>
    <row r="5" spans="1:8" s="303" customFormat="1" ht="12">
      <c r="A5" s="303">
        <v>3</v>
      </c>
      <c r="B5" s="304">
        <f>'Valuation output'!E3</f>
        <v>53510755.8825</v>
      </c>
      <c r="C5" s="305">
        <f t="shared" ref="C5:C12" si="2">B5/B4-1</f>
        <v>5.0000000000000044E-2</v>
      </c>
      <c r="D5" s="305">
        <f>'Valuation output'!E4</f>
        <v>4.3499999999999997E-2</v>
      </c>
      <c r="E5" s="304">
        <f t="shared" si="1"/>
        <v>2327717.8808887498</v>
      </c>
      <c r="F5" s="304">
        <f>'Valuation output'!E10</f>
        <v>0</v>
      </c>
      <c r="G5" s="304">
        <f t="shared" si="0"/>
        <v>581929.47022218746</v>
      </c>
      <c r="H5" s="304">
        <f>'Valuation output'!E7</f>
        <v>1745788.4106665624</v>
      </c>
    </row>
    <row r="6" spans="1:8" s="303" customFormat="1" ht="12">
      <c r="A6" s="303">
        <v>4</v>
      </c>
      <c r="B6" s="304">
        <f>'Valuation output'!F3</f>
        <v>56186293.676625006</v>
      </c>
      <c r="C6" s="305">
        <f t="shared" si="2"/>
        <v>5.0000000000000044E-2</v>
      </c>
      <c r="D6" s="305">
        <f>'Valuation output'!F4</f>
        <v>4.8000000000000001E-2</v>
      </c>
      <c r="E6" s="304">
        <f t="shared" si="1"/>
        <v>2696942.0964780003</v>
      </c>
      <c r="F6" s="304">
        <f>'Valuation output'!F10</f>
        <v>0</v>
      </c>
      <c r="G6" s="304">
        <f t="shared" si="0"/>
        <v>674235.52411950007</v>
      </c>
      <c r="H6" s="304">
        <f>'Valuation output'!F7</f>
        <v>2022706.5723585002</v>
      </c>
    </row>
    <row r="7" spans="1:8" s="303" customFormat="1" ht="12">
      <c r="A7" s="303">
        <v>5</v>
      </c>
      <c r="B7" s="304">
        <f>'Valuation output'!G3</f>
        <v>58995608.360456258</v>
      </c>
      <c r="C7" s="305">
        <f t="shared" si="2"/>
        <v>5.0000000000000044E-2</v>
      </c>
      <c r="D7" s="305">
        <f>'Valuation output'!G4</f>
        <v>5.2499999999999998E-2</v>
      </c>
      <c r="E7" s="304">
        <f t="shared" si="1"/>
        <v>3097269.4389239536</v>
      </c>
      <c r="F7" s="304">
        <f>'Valuation output'!G10</f>
        <v>0</v>
      </c>
      <c r="G7" s="304">
        <f t="shared" si="0"/>
        <v>774317.35973098828</v>
      </c>
      <c r="H7" s="304">
        <f>'Valuation output'!G7</f>
        <v>2322952.0791929653</v>
      </c>
    </row>
    <row r="8" spans="1:8" s="303" customFormat="1" ht="12">
      <c r="A8" s="303">
        <v>6</v>
      </c>
      <c r="B8" s="304">
        <f>'Valuation output'!H3</f>
        <v>61591415.128316335</v>
      </c>
      <c r="C8" s="305">
        <f t="shared" si="2"/>
        <v>4.4000000000000039E-2</v>
      </c>
      <c r="D8" s="305">
        <f>'Valuation output'!H4</f>
        <v>4.2399106758917685E-2</v>
      </c>
      <c r="E8" s="304">
        <f t="shared" si="1"/>
        <v>2611420.9854583018</v>
      </c>
      <c r="F8" s="304">
        <f>'Valuation output'!H10</f>
        <v>0</v>
      </c>
      <c r="G8" s="304">
        <f t="shared" si="0"/>
        <v>652855.24636457535</v>
      </c>
      <c r="H8" s="304">
        <f>'Valuation output'!H7</f>
        <v>1958565.7390937265</v>
      </c>
    </row>
    <row r="9" spans="1:8" s="303" customFormat="1" ht="12">
      <c r="A9" s="303">
        <v>7</v>
      </c>
      <c r="B9" s="304">
        <f>'Valuation output'!I3</f>
        <v>63931888.903192356</v>
      </c>
      <c r="C9" s="305">
        <f t="shared" si="2"/>
        <v>3.8000000000000034E-2</v>
      </c>
      <c r="D9" s="305">
        <f>'Valuation output'!I4</f>
        <v>5.0549330069188263E-2</v>
      </c>
      <c r="E9" s="304">
        <f t="shared" si="1"/>
        <v>3231714.1541141449</v>
      </c>
      <c r="F9" s="304">
        <f>'Valuation output'!I10</f>
        <v>0</v>
      </c>
      <c r="G9" s="304">
        <f t="shared" si="0"/>
        <v>807928.53852853645</v>
      </c>
      <c r="H9" s="304">
        <f>'Valuation output'!I7</f>
        <v>2423785.6155856084</v>
      </c>
    </row>
    <row r="10" spans="1:8" s="303" customFormat="1" ht="12">
      <c r="A10" s="303">
        <v>8</v>
      </c>
      <c r="B10" s="304">
        <f>'Valuation output'!J3</f>
        <v>65977709.348094516</v>
      </c>
      <c r="C10" s="305">
        <f t="shared" si="2"/>
        <v>3.2000000000000028E-2</v>
      </c>
      <c r="D10" s="305">
        <f>'Valuation output'!J4</f>
        <v>5.8699553379458841E-2</v>
      </c>
      <c r="E10" s="304">
        <f t="shared" si="1"/>
        <v>3872862.0717328945</v>
      </c>
      <c r="F10" s="304">
        <f>'Valuation output'!J10</f>
        <v>0</v>
      </c>
      <c r="G10" s="304">
        <f t="shared" si="0"/>
        <v>968215.5179332234</v>
      </c>
      <c r="H10" s="304">
        <f>'Valuation output'!J7</f>
        <v>2904646.5537996711</v>
      </c>
    </row>
    <row r="11" spans="1:8" s="303" customFormat="1" ht="12">
      <c r="A11" s="303">
        <v>9</v>
      </c>
      <c r="B11" s="304">
        <f>'Valuation output'!K3</f>
        <v>67693129.791144967</v>
      </c>
      <c r="C11" s="305">
        <f t="shared" si="2"/>
        <v>2.5999999999999801E-2</v>
      </c>
      <c r="D11" s="305">
        <f>'Valuation output'!K4</f>
        <v>6.6849776689729412E-2</v>
      </c>
      <c r="E11" s="304">
        <f t="shared" si="1"/>
        <v>4525270.6099669104</v>
      </c>
      <c r="F11" s="304">
        <f>'Valuation output'!K10</f>
        <v>0</v>
      </c>
      <c r="G11" s="304">
        <f t="shared" si="0"/>
        <v>1131317.6524917278</v>
      </c>
      <c r="H11" s="304">
        <f>'Valuation output'!K7</f>
        <v>3393952.9574751826</v>
      </c>
    </row>
    <row r="12" spans="1:8" s="303" customFormat="1" ht="12">
      <c r="A12" s="303">
        <v>10</v>
      </c>
      <c r="B12" s="304">
        <f>'Valuation output'!L3</f>
        <v>69046992.386967868</v>
      </c>
      <c r="C12" s="305">
        <f t="shared" si="2"/>
        <v>2.0000000000000018E-2</v>
      </c>
      <c r="D12" s="305">
        <f>'Valuation output'!L4</f>
        <v>7.4999999999999997E-2</v>
      </c>
      <c r="E12" s="304">
        <f t="shared" si="1"/>
        <v>5178524.4290225897</v>
      </c>
      <c r="F12" s="304">
        <f>'Valuation output'!L10</f>
        <v>0</v>
      </c>
      <c r="G12" s="304">
        <f t="shared" si="0"/>
        <v>1294631.1072556474</v>
      </c>
      <c r="H12" s="304">
        <f>'Valuation output'!L7</f>
        <v>3883893.3217669423</v>
      </c>
    </row>
    <row r="13" spans="1:8" s="303" customFormat="1" thickBot="1"/>
    <row r="14" spans="1:8" s="303" customFormat="1" ht="46" thickBot="1">
      <c r="A14" s="302" t="s">
        <v>118</v>
      </c>
      <c r="B14" s="302" t="s">
        <v>568</v>
      </c>
      <c r="C14" s="302" t="s">
        <v>569</v>
      </c>
      <c r="D14" s="302" t="s">
        <v>570</v>
      </c>
      <c r="E14" s="302" t="s">
        <v>571</v>
      </c>
      <c r="F14" s="302" t="s">
        <v>16</v>
      </c>
      <c r="G14" s="302" t="s">
        <v>572</v>
      </c>
      <c r="H14" s="302" t="s">
        <v>573</v>
      </c>
    </row>
    <row r="15" spans="1:8" s="303" customFormat="1" ht="12">
      <c r="A15" s="303" t="str">
        <f>A2</f>
        <v>Traling 12 month</v>
      </c>
      <c r="B15" s="304">
        <f>H2</f>
        <v>-210394.2</v>
      </c>
      <c r="G15" s="309">
        <f>'Valuation output'!B39</f>
        <v>25144323.199999999</v>
      </c>
      <c r="H15" s="310">
        <f>B15/G15</f>
        <v>-8.3674632371890621E-3</v>
      </c>
    </row>
    <row r="16" spans="1:8" s="303" customFormat="1" ht="12">
      <c r="A16" s="303">
        <f t="shared" ref="A16:A24" si="3">A3</f>
        <v>1</v>
      </c>
      <c r="B16" s="304">
        <f t="shared" ref="B16:B25" si="4">H3</f>
        <v>1092239.0925</v>
      </c>
      <c r="C16" s="304">
        <f>B3-B2</f>
        <v>16178611</v>
      </c>
      <c r="D16" s="308">
        <f>'Valuation output'!C38</f>
        <v>10</v>
      </c>
      <c r="E16" s="304">
        <f>C16/D16</f>
        <v>1617861.1</v>
      </c>
      <c r="F16" s="304">
        <f>B16-E16</f>
        <v>-525622.00750000007</v>
      </c>
      <c r="G16" s="304">
        <f>G15+E16</f>
        <v>26762184.300000001</v>
      </c>
      <c r="H16" s="310">
        <f t="shared" ref="H16:H25" si="5">B16/G16</f>
        <v>4.0812778219302528E-2</v>
      </c>
    </row>
    <row r="17" spans="1:8" s="303" customFormat="1" ht="12">
      <c r="A17" s="303">
        <f t="shared" si="3"/>
        <v>2</v>
      </c>
      <c r="B17" s="304">
        <f t="shared" si="4"/>
        <v>1490656.7710124999</v>
      </c>
      <c r="C17" s="304">
        <f t="shared" ref="C17:C25" si="6">B4-B3</f>
        <v>2426791.6499999985</v>
      </c>
      <c r="D17" s="308">
        <f>'Valuation output'!D38</f>
        <v>5</v>
      </c>
      <c r="E17" s="304">
        <f t="shared" ref="E17:E25" si="7">C17/D17</f>
        <v>485358.32999999973</v>
      </c>
      <c r="F17" s="304">
        <f t="shared" ref="F17:F25" si="8">B17-E17</f>
        <v>1005298.4410125002</v>
      </c>
      <c r="G17" s="304">
        <f t="shared" ref="G17:G25" si="9">G16+E17</f>
        <v>27247542.629999999</v>
      </c>
      <c r="H17" s="310">
        <f t="shared" si="5"/>
        <v>5.4707934262345624E-2</v>
      </c>
    </row>
    <row r="18" spans="1:8" s="303" customFormat="1" ht="12">
      <c r="A18" s="303">
        <f t="shared" si="3"/>
        <v>3</v>
      </c>
      <c r="B18" s="304">
        <f t="shared" si="4"/>
        <v>1745788.4106665624</v>
      </c>
      <c r="C18" s="304">
        <f t="shared" si="6"/>
        <v>2548131.2325000018</v>
      </c>
      <c r="D18" s="308">
        <f>'Valuation output'!E38</f>
        <v>5</v>
      </c>
      <c r="E18" s="304">
        <f t="shared" si="7"/>
        <v>509626.24650000036</v>
      </c>
      <c r="F18" s="304">
        <f t="shared" si="8"/>
        <v>1236162.164166562</v>
      </c>
      <c r="G18" s="304">
        <f t="shared" si="9"/>
        <v>27757168.876499999</v>
      </c>
      <c r="H18" s="310">
        <f t="shared" si="5"/>
        <v>6.2895045904504912E-2</v>
      </c>
    </row>
    <row r="19" spans="1:8" s="303" customFormat="1" ht="12">
      <c r="A19" s="303">
        <f t="shared" si="3"/>
        <v>4</v>
      </c>
      <c r="B19" s="304">
        <f t="shared" si="4"/>
        <v>2022706.5723585002</v>
      </c>
      <c r="C19" s="304">
        <f t="shared" si="6"/>
        <v>2675537.7941250056</v>
      </c>
      <c r="D19" s="308">
        <f>'Valuation output'!F38</f>
        <v>5</v>
      </c>
      <c r="E19" s="304">
        <f t="shared" si="7"/>
        <v>535107.55882500112</v>
      </c>
      <c r="F19" s="304">
        <f t="shared" si="8"/>
        <v>1487599.0135334991</v>
      </c>
      <c r="G19" s="304">
        <f t="shared" si="9"/>
        <v>28292276.435325</v>
      </c>
      <c r="H19" s="310">
        <f t="shared" si="5"/>
        <v>7.1493242227514839E-2</v>
      </c>
    </row>
    <row r="20" spans="1:8" s="303" customFormat="1" ht="12">
      <c r="A20" s="303">
        <f t="shared" si="3"/>
        <v>5</v>
      </c>
      <c r="B20" s="304">
        <f t="shared" si="4"/>
        <v>2322952.0791929653</v>
      </c>
      <c r="C20" s="304">
        <f t="shared" si="6"/>
        <v>2809314.6838312522</v>
      </c>
      <c r="D20" s="308">
        <f>'Valuation output'!G38</f>
        <v>1.5</v>
      </c>
      <c r="E20" s="304">
        <f t="shared" si="7"/>
        <v>1872876.4558875014</v>
      </c>
      <c r="F20" s="304">
        <f t="shared" si="8"/>
        <v>450075.62330546393</v>
      </c>
      <c r="G20" s="304">
        <f t="shared" si="9"/>
        <v>30165152.891212501</v>
      </c>
      <c r="H20" s="310">
        <f t="shared" si="5"/>
        <v>7.7007800609214597E-2</v>
      </c>
    </row>
    <row r="21" spans="1:8" s="303" customFormat="1" ht="12">
      <c r="A21" s="303">
        <f t="shared" si="3"/>
        <v>6</v>
      </c>
      <c r="B21" s="304">
        <f t="shared" si="4"/>
        <v>1958565.7390937265</v>
      </c>
      <c r="C21" s="304">
        <f t="shared" si="6"/>
        <v>2595806.7678600773</v>
      </c>
      <c r="D21" s="308">
        <f>'Valuation output'!H38</f>
        <v>1.5</v>
      </c>
      <c r="E21" s="304">
        <f t="shared" si="7"/>
        <v>1730537.8452400516</v>
      </c>
      <c r="F21" s="304">
        <f t="shared" si="8"/>
        <v>228027.89385367488</v>
      </c>
      <c r="G21" s="304">
        <f t="shared" si="9"/>
        <v>31895690.736452553</v>
      </c>
      <c r="H21" s="310">
        <f t="shared" si="5"/>
        <v>6.1405340153218413E-2</v>
      </c>
    </row>
    <row r="22" spans="1:8" s="303" customFormat="1" ht="12">
      <c r="A22" s="303">
        <f t="shared" si="3"/>
        <v>7</v>
      </c>
      <c r="B22" s="304">
        <f t="shared" si="4"/>
        <v>2423785.6155856084</v>
      </c>
      <c r="C22" s="304">
        <f t="shared" si="6"/>
        <v>2340473.7748760208</v>
      </c>
      <c r="D22" s="308">
        <f>'Valuation output'!I38</f>
        <v>1.5</v>
      </c>
      <c r="E22" s="304">
        <f t="shared" si="7"/>
        <v>1560315.8499173473</v>
      </c>
      <c r="F22" s="304">
        <f t="shared" si="8"/>
        <v>863469.7656682611</v>
      </c>
      <c r="G22" s="304">
        <f t="shared" si="9"/>
        <v>33456006.586369902</v>
      </c>
      <c r="H22" s="310">
        <f t="shared" si="5"/>
        <v>7.2446949378981398E-2</v>
      </c>
    </row>
    <row r="23" spans="1:8" s="303" customFormat="1" ht="12">
      <c r="A23" s="303">
        <f t="shared" si="3"/>
        <v>8</v>
      </c>
      <c r="B23" s="304">
        <f t="shared" si="4"/>
        <v>2904646.5537996711</v>
      </c>
      <c r="C23" s="304">
        <f t="shared" si="6"/>
        <v>2045820.4449021593</v>
      </c>
      <c r="D23" s="308">
        <f>'Valuation output'!J38</f>
        <v>1.5</v>
      </c>
      <c r="E23" s="304">
        <f t="shared" si="7"/>
        <v>1363880.2966014396</v>
      </c>
      <c r="F23" s="304">
        <f t="shared" si="8"/>
        <v>1540766.2571982315</v>
      </c>
      <c r="G23" s="304">
        <f t="shared" si="9"/>
        <v>34819886.882971339</v>
      </c>
      <c r="H23" s="310">
        <f t="shared" si="5"/>
        <v>8.3419184087590706E-2</v>
      </c>
    </row>
    <row r="24" spans="1:8" s="303" customFormat="1" ht="12">
      <c r="A24" s="303">
        <f t="shared" si="3"/>
        <v>9</v>
      </c>
      <c r="B24" s="304">
        <f t="shared" si="4"/>
        <v>3393952.9574751826</v>
      </c>
      <c r="C24" s="304">
        <f t="shared" si="6"/>
        <v>1715420.4430504516</v>
      </c>
      <c r="D24" s="308">
        <f>'Valuation output'!K38</f>
        <v>1.5</v>
      </c>
      <c r="E24" s="304">
        <f t="shared" si="7"/>
        <v>1143613.6287003011</v>
      </c>
      <c r="F24" s="304">
        <f t="shared" si="8"/>
        <v>2250339.3287748815</v>
      </c>
      <c r="G24" s="304">
        <f t="shared" si="9"/>
        <v>35963500.51167164</v>
      </c>
      <c r="H24" s="310">
        <f t="shared" si="5"/>
        <v>9.4372152576574261E-2</v>
      </c>
    </row>
    <row r="25" spans="1:8" s="303" customFormat="1" ht="12">
      <c r="A25" s="303">
        <f>A12</f>
        <v>10</v>
      </c>
      <c r="B25" s="304">
        <f t="shared" si="4"/>
        <v>3883893.3217669423</v>
      </c>
      <c r="C25" s="304">
        <f t="shared" si="6"/>
        <v>1353862.5958229005</v>
      </c>
      <c r="D25" s="308">
        <f>'Valuation output'!L38</f>
        <v>1.5</v>
      </c>
      <c r="E25" s="304">
        <f t="shared" si="7"/>
        <v>902575.06388193369</v>
      </c>
      <c r="F25" s="304">
        <f t="shared" si="8"/>
        <v>2981318.2578850086</v>
      </c>
      <c r="G25" s="304">
        <f t="shared" si="9"/>
        <v>36866075.575553574</v>
      </c>
      <c r="H25" s="310">
        <f t="shared" si="5"/>
        <v>0.10535141756022461</v>
      </c>
    </row>
    <row r="26" spans="1:8" s="303" customFormat="1" thickBot="1"/>
    <row r="27" spans="1:8" s="303" customFormat="1" ht="31" thickBot="1">
      <c r="A27" s="302" t="s">
        <v>118</v>
      </c>
      <c r="B27" s="302" t="s">
        <v>473</v>
      </c>
      <c r="C27" s="302" t="s">
        <v>574</v>
      </c>
      <c r="D27" s="302" t="s">
        <v>575</v>
      </c>
      <c r="E27" s="302" t="s">
        <v>576</v>
      </c>
      <c r="F27" s="302" t="s">
        <v>577</v>
      </c>
      <c r="G27" s="302" t="s">
        <v>578</v>
      </c>
      <c r="H27" s="302" t="s">
        <v>579</v>
      </c>
    </row>
    <row r="28" spans="1:8">
      <c r="A28">
        <f>A16</f>
        <v>1</v>
      </c>
      <c r="H28" s="298">
        <f>'Valuation output'!C12</f>
        <v>7.3122455580355072E-2</v>
      </c>
    </row>
    <row r="29" spans="1:8">
      <c r="A29">
        <f t="shared" ref="A29:A37" si="10">A17</f>
        <v>2</v>
      </c>
      <c r="H29" s="298">
        <f>'Valuation output'!D12</f>
        <v>7.3122455580355072E-2</v>
      </c>
    </row>
    <row r="30" spans="1:8">
      <c r="A30">
        <f t="shared" si="10"/>
        <v>3</v>
      </c>
      <c r="H30" s="298">
        <f>'Valuation output'!E12</f>
        <v>7.3122455580355072E-2</v>
      </c>
    </row>
    <row r="31" spans="1:8">
      <c r="A31">
        <f t="shared" si="10"/>
        <v>4</v>
      </c>
      <c r="H31" s="298">
        <f>'Valuation output'!F12</f>
        <v>7.3122455580355072E-2</v>
      </c>
    </row>
    <row r="32" spans="1:8">
      <c r="A32">
        <f t="shared" si="10"/>
        <v>5</v>
      </c>
      <c r="H32" s="298">
        <f>'Valuation output'!G12</f>
        <v>7.3122455580355072E-2</v>
      </c>
    </row>
    <row r="33" spans="1:8">
      <c r="A33">
        <f t="shared" si="10"/>
        <v>6</v>
      </c>
      <c r="H33" s="298">
        <f>'Valuation output'!H12</f>
        <v>7.097796446428406E-2</v>
      </c>
    </row>
    <row r="34" spans="1:8">
      <c r="A34">
        <f t="shared" si="10"/>
        <v>7</v>
      </c>
      <c r="H34" s="298">
        <f>'Valuation output'!I12</f>
        <v>6.8833473348213048E-2</v>
      </c>
    </row>
    <row r="35" spans="1:8">
      <c r="A35">
        <f t="shared" si="10"/>
        <v>8</v>
      </c>
      <c r="H35" s="298">
        <f>'Valuation output'!J12</f>
        <v>6.6688982232142036E-2</v>
      </c>
    </row>
    <row r="36" spans="1:8">
      <c r="A36">
        <f t="shared" si="10"/>
        <v>9</v>
      </c>
      <c r="H36" s="298">
        <f>'Valuation output'!K12</f>
        <v>6.4544491116071023E-2</v>
      </c>
    </row>
    <row r="37" spans="1:8">
      <c r="A37">
        <f t="shared" si="10"/>
        <v>10</v>
      </c>
      <c r="H37" s="298">
        <f>'Valuation output'!L12</f>
        <v>6.2400000000000011E-2</v>
      </c>
    </row>
    <row r="38" spans="1:8" ht="14" thickBot="1"/>
    <row r="39" spans="1:8" ht="31" thickBot="1">
      <c r="A39" s="302" t="s">
        <v>118</v>
      </c>
      <c r="B39" s="302" t="s">
        <v>579</v>
      </c>
      <c r="C39" s="302" t="s">
        <v>582</v>
      </c>
      <c r="D39" s="302" t="s">
        <v>16</v>
      </c>
      <c r="E39" s="302" t="s">
        <v>583</v>
      </c>
      <c r="F39" s="302" t="s">
        <v>128</v>
      </c>
    </row>
    <row r="40" spans="1:8">
      <c r="A40">
        <f>A28</f>
        <v>1</v>
      </c>
      <c r="B40" s="311">
        <f>H28</f>
        <v>7.3122455580355072E-2</v>
      </c>
      <c r="C40" s="312">
        <f>(1+'Summary Sheet'!B40)</f>
        <v>1.0731224555803551</v>
      </c>
      <c r="D40" s="306">
        <f>F16</f>
        <v>-525622.00750000007</v>
      </c>
      <c r="F40" s="306">
        <f>D40/C40</f>
        <v>-489806.17707392818</v>
      </c>
    </row>
    <row r="41" spans="1:8">
      <c r="A41">
        <f t="shared" ref="A41:A49" si="11">A29</f>
        <v>2</v>
      </c>
      <c r="B41" s="311">
        <f t="shared" ref="B41:B49" si="12">H29</f>
        <v>7.3122455580355072E-2</v>
      </c>
      <c r="C41" s="312">
        <f>C40*(1+B41)</f>
        <v>1.1515918046708113</v>
      </c>
      <c r="D41" s="306">
        <f t="shared" ref="D41:D49" si="13">F17</f>
        <v>1005298.4410125002</v>
      </c>
      <c r="F41" s="306">
        <f t="shared" ref="F41:F48" si="14">D41/C41</f>
        <v>872964.21955683338</v>
      </c>
    </row>
    <row r="42" spans="1:8">
      <c r="A42">
        <f t="shared" si="11"/>
        <v>3</v>
      </c>
      <c r="B42" s="311">
        <f t="shared" si="12"/>
        <v>7.3122455580355072E-2</v>
      </c>
      <c r="C42" s="312">
        <f t="shared" ref="C42:C49" si="15">C41*(1+B42)</f>
        <v>1.2357990252545537</v>
      </c>
      <c r="D42" s="306">
        <f t="shared" si="13"/>
        <v>1236162.164166562</v>
      </c>
      <c r="F42" s="306">
        <f t="shared" si="14"/>
        <v>1000293.8494889438</v>
      </c>
    </row>
    <row r="43" spans="1:8">
      <c r="A43">
        <f t="shared" si="11"/>
        <v>4</v>
      </c>
      <c r="B43" s="311">
        <f t="shared" si="12"/>
        <v>7.3122455580355072E-2</v>
      </c>
      <c r="C43" s="312">
        <f t="shared" si="15"/>
        <v>1.326163684584976</v>
      </c>
      <c r="D43" s="306">
        <f t="shared" si="13"/>
        <v>1487599.0135334991</v>
      </c>
      <c r="F43" s="306">
        <f t="shared" si="14"/>
        <v>1121731.0734904073</v>
      </c>
    </row>
    <row r="44" spans="1:8">
      <c r="A44">
        <f t="shared" si="11"/>
        <v>5</v>
      </c>
      <c r="B44" s="311">
        <f t="shared" si="12"/>
        <v>7.3122455580355072E-2</v>
      </c>
      <c r="C44" s="312">
        <f t="shared" si="15"/>
        <v>1.4231360297033211</v>
      </c>
      <c r="D44" s="306">
        <f t="shared" si="13"/>
        <v>450075.62330546393</v>
      </c>
      <c r="F44" s="306">
        <f t="shared" si="14"/>
        <v>316256.22140934097</v>
      </c>
    </row>
    <row r="45" spans="1:8">
      <c r="A45">
        <f t="shared" si="11"/>
        <v>6</v>
      </c>
      <c r="B45" s="311">
        <f t="shared" si="12"/>
        <v>7.097796446428406E-2</v>
      </c>
      <c r="C45" s="312">
        <f t="shared" si="15"/>
        <v>1.5241473282474458</v>
      </c>
      <c r="D45" s="306">
        <f t="shared" si="13"/>
        <v>228027.89385367488</v>
      </c>
      <c r="F45" s="306">
        <f t="shared" si="14"/>
        <v>149610.13914309369</v>
      </c>
    </row>
    <row r="46" spans="1:8">
      <c r="A46">
        <f t="shared" si="11"/>
        <v>7</v>
      </c>
      <c r="B46" s="311">
        <f t="shared" si="12"/>
        <v>6.8833473348213048E-2</v>
      </c>
      <c r="C46" s="312">
        <f t="shared" si="15"/>
        <v>1.6290596827451165</v>
      </c>
      <c r="D46" s="306">
        <f t="shared" si="13"/>
        <v>863469.7656682611</v>
      </c>
      <c r="F46" s="306">
        <f t="shared" si="14"/>
        <v>530041.82401300024</v>
      </c>
    </row>
    <row r="47" spans="1:8">
      <c r="A47">
        <f t="shared" si="11"/>
        <v>8</v>
      </c>
      <c r="B47" s="311">
        <f t="shared" si="12"/>
        <v>6.6688982232142036E-2</v>
      </c>
      <c r="C47" s="312">
        <f t="shared" si="15"/>
        <v>1.7377000149828044</v>
      </c>
      <c r="D47" s="306">
        <f t="shared" si="13"/>
        <v>1540766.2571982315</v>
      </c>
      <c r="F47" s="306">
        <f t="shared" si="14"/>
        <v>886669.87622341618</v>
      </c>
    </row>
    <row r="48" spans="1:8">
      <c r="A48">
        <f t="shared" si="11"/>
        <v>9</v>
      </c>
      <c r="B48" s="311">
        <f t="shared" si="12"/>
        <v>6.4544491116071023E-2</v>
      </c>
      <c r="C48" s="312">
        <f t="shared" si="15"/>
        <v>1.8498589781622585</v>
      </c>
      <c r="D48" s="306">
        <f t="shared" si="13"/>
        <v>2250339.3287748815</v>
      </c>
      <c r="F48" s="306">
        <f t="shared" si="14"/>
        <v>1216492.3679806555</v>
      </c>
    </row>
    <row r="49" spans="1:6">
      <c r="A49">
        <f t="shared" si="11"/>
        <v>10</v>
      </c>
      <c r="B49" s="311">
        <f t="shared" si="12"/>
        <v>6.2400000000000011E-2</v>
      </c>
      <c r="C49" s="312">
        <f t="shared" si="15"/>
        <v>1.9652901783995835</v>
      </c>
      <c r="D49" s="306">
        <f t="shared" si="13"/>
        <v>2981318.2578850086</v>
      </c>
      <c r="E49" s="306">
        <f>'Valuation output'!B18</f>
        <v>63486717.759651944</v>
      </c>
      <c r="F49" s="306">
        <f>(D49+E49)/C49</f>
        <v>33820978.066284649</v>
      </c>
    </row>
    <row r="50" spans="1:6">
      <c r="A50" t="s">
        <v>43</v>
      </c>
      <c r="F50" s="306">
        <f>SUM(F40:F49)</f>
        <v>39425231.460516408</v>
      </c>
    </row>
  </sheetData>
  <pageMargins left="0.75" right="0.75" top="1" bottom="1"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7"/>
  <sheetViews>
    <sheetView workbookViewId="0">
      <selection activeCell="C15" sqref="C15"/>
    </sheetView>
  </sheetViews>
  <sheetFormatPr baseColWidth="10" defaultRowHeight="13"/>
  <sheetData>
    <row r="1" spans="1:7" s="7" customFormat="1" ht="19">
      <c r="A1" s="6" t="s">
        <v>60</v>
      </c>
      <c r="B1" s="6"/>
    </row>
    <row r="2" spans="1:7" ht="14">
      <c r="A2" s="8" t="s">
        <v>61</v>
      </c>
      <c r="B2" s="8"/>
      <c r="D2" s="28">
        <f>'Input sheet'!B19</f>
        <v>273500</v>
      </c>
    </row>
    <row r="3" spans="1:7" ht="14">
      <c r="A3" s="8" t="s">
        <v>62</v>
      </c>
      <c r="B3" s="8"/>
      <c r="D3" s="9">
        <f>'Input sheet'!B37</f>
        <v>1.29</v>
      </c>
    </row>
    <row r="4" spans="1:7" ht="14">
      <c r="A4" s="8" t="s">
        <v>63</v>
      </c>
      <c r="B4" s="8"/>
      <c r="D4" s="12">
        <f>'Input sheet'!B38</f>
        <v>7</v>
      </c>
    </row>
    <row r="5" spans="1:7" ht="14">
      <c r="A5" s="8" t="s">
        <v>64</v>
      </c>
      <c r="B5" s="8"/>
      <c r="D5" s="10">
        <f>'Input sheet'!B39</f>
        <v>0.45</v>
      </c>
      <c r="E5" s="8" t="s">
        <v>65</v>
      </c>
    </row>
    <row r="6" spans="1:7" ht="14">
      <c r="A6" s="8" t="s">
        <v>66</v>
      </c>
      <c r="B6" s="8"/>
      <c r="D6" s="11">
        <v>0</v>
      </c>
    </row>
    <row r="7" spans="1:7" ht="14">
      <c r="A7" s="8" t="s">
        <v>67</v>
      </c>
      <c r="B7" s="8"/>
      <c r="D7" s="11">
        <f>'Input sheet'!B32</f>
        <v>1.6899999999999998E-2</v>
      </c>
    </row>
    <row r="8" spans="1:7" ht="14">
      <c r="A8" s="8" t="s">
        <v>68</v>
      </c>
      <c r="B8" s="8"/>
      <c r="D8" s="12">
        <f>'Input sheet'!B36</f>
        <v>7.72</v>
      </c>
    </row>
    <row r="9" spans="1:7" ht="14">
      <c r="A9" s="8" t="s">
        <v>69</v>
      </c>
      <c r="B9" s="8"/>
      <c r="D9" s="13">
        <f>'Input sheet'!B18</f>
        <v>83.6</v>
      </c>
    </row>
    <row r="10" spans="1:7" ht="14">
      <c r="A10" s="8"/>
      <c r="B10" s="8"/>
    </row>
    <row r="11" spans="1:7" s="16" customFormat="1" ht="14">
      <c r="A11" s="14" t="s">
        <v>70</v>
      </c>
      <c r="B11" s="15"/>
    </row>
    <row r="12" spans="1:7" s="8" customFormat="1" ht="14">
      <c r="A12" s="17" t="s">
        <v>71</v>
      </c>
    </row>
    <row r="13" spans="1:7" s="8" customFormat="1" ht="14">
      <c r="A13" s="8" t="s">
        <v>72</v>
      </c>
      <c r="C13" s="18">
        <f>D2</f>
        <v>273500</v>
      </c>
      <c r="D13" s="8" t="s">
        <v>73</v>
      </c>
      <c r="F13" s="19">
        <f>D8</f>
        <v>7.72</v>
      </c>
      <c r="G13" s="20"/>
    </row>
    <row r="14" spans="1:7" s="8" customFormat="1" ht="14">
      <c r="A14" s="8" t="s">
        <v>74</v>
      </c>
      <c r="C14" s="18">
        <f>D3</f>
        <v>1.29</v>
      </c>
      <c r="D14" s="8" t="s">
        <v>75</v>
      </c>
      <c r="F14" s="21">
        <f>D9</f>
        <v>83.6</v>
      </c>
      <c r="G14" s="20"/>
    </row>
    <row r="15" spans="1:7" s="8" customFormat="1" ht="14">
      <c r="A15" s="8" t="s">
        <v>76</v>
      </c>
      <c r="C15" s="18">
        <f ca="1">(C13*F14+C26*F13)/(F14+F13)</f>
        <v>273499.89416636911</v>
      </c>
      <c r="D15" s="8" t="s">
        <v>77</v>
      </c>
      <c r="F15" s="22">
        <f>D7</f>
        <v>1.6899999999999998E-2</v>
      </c>
    </row>
    <row r="16" spans="1:7" s="8" customFormat="1" ht="14">
      <c r="A16" s="8" t="s">
        <v>78</v>
      </c>
      <c r="C16" s="18">
        <f>C14</f>
        <v>1.29</v>
      </c>
      <c r="D16" s="8" t="s">
        <v>79</v>
      </c>
      <c r="F16" s="23">
        <f>D5^2</f>
        <v>0.20250000000000001</v>
      </c>
    </row>
    <row r="17" spans="1:7" s="8" customFormat="1" ht="14">
      <c r="A17" s="8" t="s">
        <v>80</v>
      </c>
      <c r="C17" s="18">
        <f>D4</f>
        <v>7</v>
      </c>
      <c r="D17" s="8" t="s">
        <v>81</v>
      </c>
      <c r="F17" s="22">
        <f>D6</f>
        <v>0</v>
      </c>
    </row>
    <row r="18" spans="1:7" s="8" customFormat="1" ht="14">
      <c r="C18" s="17"/>
      <c r="D18" s="8" t="s">
        <v>82</v>
      </c>
      <c r="F18" s="24">
        <f>F15-F17</f>
        <v>1.6899999999999998E-2</v>
      </c>
    </row>
    <row r="19" spans="1:7" s="8" customFormat="1" ht="14"/>
    <row r="20" spans="1:7" s="8" customFormat="1" ht="14">
      <c r="A20" s="8" t="s">
        <v>83</v>
      </c>
      <c r="B20" s="19">
        <f ca="1">(LN(C15/C16)+(F18+(F16/2))*C17)/(((F16)^(0.5))*(C17^0.5))</f>
        <v>10.995796451936997</v>
      </c>
    </row>
    <row r="21" spans="1:7" s="8" customFormat="1" ht="14">
      <c r="A21" s="8" t="s">
        <v>84</v>
      </c>
      <c r="B21" s="19">
        <f ca="1">NORMSDIST(B20)</f>
        <v>1</v>
      </c>
    </row>
    <row r="22" spans="1:7" s="8" customFormat="1" ht="14"/>
    <row r="23" spans="1:7" s="8" customFormat="1" ht="15.75" customHeight="1">
      <c r="A23" s="8" t="s">
        <v>85</v>
      </c>
      <c r="B23" s="19">
        <f ca="1">B20-((F16^0.5)*(C17^(0.5)))</f>
        <v>9.8052083619579307</v>
      </c>
    </row>
    <row r="24" spans="1:7" s="8" customFormat="1" ht="14">
      <c r="A24" s="8" t="s">
        <v>86</v>
      </c>
      <c r="B24" s="19">
        <f ca="1">NORMSDIST(B23)</f>
        <v>1</v>
      </c>
    </row>
    <row r="25" spans="1:7" ht="15" thickBot="1">
      <c r="A25" s="8"/>
      <c r="B25" s="8"/>
    </row>
    <row r="26" spans="1:7" s="8" customFormat="1" ht="15" thickBot="1">
      <c r="A26" s="8" t="s">
        <v>87</v>
      </c>
      <c r="C26" s="25">
        <f ca="1">((EXP((0-F17)*C17))*C15*B21-C16*(EXP((0-F15)*C17))*B24)</f>
        <v>273498.74809233501</v>
      </c>
      <c r="G26" s="26"/>
    </row>
    <row r="27" spans="1:7" s="8" customFormat="1" ht="15" thickBot="1">
      <c r="A27" s="8" t="s">
        <v>88</v>
      </c>
      <c r="D27" s="27">
        <f ca="1">C26*D8</f>
        <v>2111410.3352728263</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topLeftCell="A17" workbookViewId="0">
      <selection activeCell="G53" sqref="G53"/>
    </sheetView>
  </sheetViews>
  <sheetFormatPr baseColWidth="10" defaultRowHeight="13"/>
  <cols>
    <col min="1" max="1" width="40.1640625" bestFit="1" customWidth="1"/>
    <col min="2" max="2" width="17.33203125" bestFit="1" customWidth="1"/>
    <col min="3" max="3" width="12.83203125" bestFit="1" customWidth="1"/>
    <col min="4" max="4" width="13.6640625" customWidth="1"/>
    <col min="5" max="5" width="12" customWidth="1"/>
    <col min="7" max="7" width="19.5" bestFit="1" customWidth="1"/>
    <col min="8" max="8" width="16.33203125" customWidth="1"/>
    <col min="11" max="11" width="18.1640625" bestFit="1" customWidth="1"/>
  </cols>
  <sheetData>
    <row r="1" spans="1:17">
      <c r="A1" s="459" t="s">
        <v>636</v>
      </c>
      <c r="B1" s="459"/>
      <c r="C1" s="459"/>
      <c r="D1" s="459"/>
      <c r="E1" s="459"/>
      <c r="F1" s="459"/>
      <c r="G1" s="459"/>
      <c r="H1" s="459"/>
      <c r="I1" s="459"/>
      <c r="J1" s="459"/>
      <c r="K1" s="459"/>
    </row>
    <row r="2" spans="1:17">
      <c r="A2" s="459"/>
      <c r="B2" s="459"/>
      <c r="C2" s="459"/>
      <c r="D2" s="459"/>
      <c r="E2" s="459"/>
      <c r="F2" s="459"/>
      <c r="G2" s="459"/>
      <c r="H2" s="459"/>
      <c r="I2" s="459"/>
      <c r="J2" s="459"/>
      <c r="K2" s="459"/>
    </row>
    <row r="3" spans="1:17" s="111" customFormat="1" ht="19">
      <c r="A3" s="111" t="s">
        <v>180</v>
      </c>
      <c r="B3" s="241"/>
      <c r="C3" s="235"/>
      <c r="G3" s="128" t="s">
        <v>510</v>
      </c>
    </row>
    <row r="4" spans="1:17" s="14" customFormat="1" ht="15" customHeight="1">
      <c r="A4" s="14" t="s">
        <v>6</v>
      </c>
      <c r="B4" s="240"/>
      <c r="C4" s="235"/>
      <c r="G4" s="163" t="s">
        <v>351</v>
      </c>
      <c r="H4" s="163" t="s">
        <v>11</v>
      </c>
      <c r="I4" s="163" t="s">
        <v>377</v>
      </c>
      <c r="J4" s="163" t="s">
        <v>379</v>
      </c>
      <c r="K4" s="163" t="s">
        <v>378</v>
      </c>
    </row>
    <row r="5" spans="1:17" s="8" customFormat="1" ht="15" customHeight="1">
      <c r="A5" s="112" t="s">
        <v>181</v>
      </c>
      <c r="B5" s="113"/>
      <c r="G5" s="161" t="s">
        <v>346</v>
      </c>
      <c r="H5" s="161">
        <v>15000</v>
      </c>
      <c r="I5" s="122">
        <f>IF(H5=0,0,VLOOKUP(G5,'Country equity risk premiums'!$A$5:$D$181,4))</f>
        <v>4.24E-2</v>
      </c>
      <c r="J5" s="122">
        <f t="shared" ref="J5:J12" si="0">IF(H5&gt;0,H5/$H$18,)</f>
        <v>0.52115905774442361</v>
      </c>
      <c r="K5" s="122">
        <f t="shared" ref="K5:K12" si="1">IF(J5=0,0,I5*J5)</f>
        <v>2.2097144048363562E-2</v>
      </c>
      <c r="M5" s="458" t="s">
        <v>562</v>
      </c>
      <c r="N5" s="458"/>
      <c r="O5" s="458"/>
      <c r="P5" s="458"/>
      <c r="Q5" s="458"/>
    </row>
    <row r="6" spans="1:17" s="8" customFormat="1" ht="15" customHeight="1">
      <c r="A6" s="113" t="s">
        <v>182</v>
      </c>
      <c r="B6" s="119">
        <f>'Input sheet'!B18</f>
        <v>83.6</v>
      </c>
      <c r="G6" s="227" t="s">
        <v>252</v>
      </c>
      <c r="H6" s="161">
        <v>6000</v>
      </c>
      <c r="I6" s="122">
        <f>IF(H6=0,0,VLOOKUP(G6,'Country equity risk premiums'!$A$5:$D$181,4))</f>
        <v>4.24E-2</v>
      </c>
      <c r="J6" s="122">
        <f t="shared" si="0"/>
        <v>0.20846362309776945</v>
      </c>
      <c r="K6" s="122">
        <f t="shared" si="1"/>
        <v>8.8388576193454242E-3</v>
      </c>
      <c r="M6" s="458"/>
      <c r="N6" s="458"/>
      <c r="O6" s="458"/>
      <c r="P6" s="458"/>
      <c r="Q6" s="458"/>
    </row>
    <row r="7" spans="1:17" s="8" customFormat="1" ht="15" customHeight="1">
      <c r="A7" s="113" t="s">
        <v>183</v>
      </c>
      <c r="B7" s="120">
        <f>'Input sheet'!B19</f>
        <v>273500</v>
      </c>
      <c r="G7" s="227"/>
      <c r="H7" s="161"/>
      <c r="I7" s="122">
        <f>IF(H7=0,0,VLOOKUP(G7,'Country equity risk premiums'!$A$5:$D$181,4))</f>
        <v>0</v>
      </c>
      <c r="J7" s="122">
        <f t="shared" si="0"/>
        <v>0</v>
      </c>
      <c r="K7" s="122">
        <f t="shared" si="1"/>
        <v>0</v>
      </c>
      <c r="M7" s="458"/>
      <c r="N7" s="458"/>
      <c r="O7" s="458"/>
      <c r="P7" s="458"/>
      <c r="Q7" s="458"/>
    </row>
    <row r="8" spans="1:17" s="8" customFormat="1" ht="15" customHeight="1">
      <c r="B8" s="115"/>
      <c r="G8" s="227"/>
      <c r="H8" s="161"/>
      <c r="I8" s="122">
        <f>IF(H8=0,0,VLOOKUP(G8,'Country equity risk premiums'!$A$5:$D$181,4))</f>
        <v>0</v>
      </c>
      <c r="J8" s="122">
        <f t="shared" si="0"/>
        <v>0</v>
      </c>
      <c r="K8" s="122">
        <f t="shared" si="1"/>
        <v>0</v>
      </c>
      <c r="M8" s="458"/>
      <c r="N8" s="458"/>
      <c r="O8" s="458"/>
      <c r="P8" s="458"/>
      <c r="Q8" s="458"/>
    </row>
    <row r="9" spans="1:17" s="8" customFormat="1" ht="15" customHeight="1">
      <c r="A9" s="8" t="s">
        <v>472</v>
      </c>
      <c r="B9" s="227" t="s">
        <v>477</v>
      </c>
      <c r="G9" s="227"/>
      <c r="H9" s="172"/>
      <c r="I9" s="122">
        <f>IF(H9=0,0,VLOOKUP(G9,'Country equity risk premiums'!$A$5:$D$181,4))</f>
        <v>0</v>
      </c>
      <c r="J9" s="122">
        <f t="shared" si="0"/>
        <v>0</v>
      </c>
      <c r="K9" s="122">
        <f t="shared" si="1"/>
        <v>0</v>
      </c>
      <c r="M9" s="458"/>
      <c r="N9" s="458"/>
      <c r="O9" s="458"/>
      <c r="P9" s="458"/>
      <c r="Q9" s="458"/>
    </row>
    <row r="10" spans="1:17" s="8" customFormat="1" ht="15" customHeight="1">
      <c r="A10" s="8" t="s">
        <v>474</v>
      </c>
      <c r="B10" s="236">
        <v>1.2</v>
      </c>
      <c r="G10" s="227"/>
      <c r="H10" s="161"/>
      <c r="I10" s="122">
        <f>IF(H10=0,0,VLOOKUP(G10,'Country equity risk premiums'!$A$5:$D$181,4))</f>
        <v>0</v>
      </c>
      <c r="J10" s="122">
        <f t="shared" si="0"/>
        <v>0</v>
      </c>
      <c r="K10" s="122">
        <f t="shared" si="1"/>
        <v>0</v>
      </c>
      <c r="M10" s="458"/>
      <c r="N10" s="458"/>
      <c r="O10" s="458"/>
      <c r="P10" s="458"/>
      <c r="Q10" s="458"/>
    </row>
    <row r="11" spans="1:17" s="8" customFormat="1" ht="15" customHeight="1">
      <c r="A11" s="8" t="s">
        <v>208</v>
      </c>
      <c r="B11" s="166">
        <f>IF(B9="Single Business(US)",VLOOKUP('Input sheet'!B6,'Industry Averages(US)'!A2:G95,7),IF(B9="Multibusiness(US)",K48,IF(B9="Single Business(Global)",VLOOKUP('Input sheet'!B7,'Industry Average Beta (Global)'!A2:G95,7),'Cost of capital worksheet'!K64)))</f>
        <v>1.1431615148698169</v>
      </c>
      <c r="G11" s="227"/>
      <c r="H11" s="161"/>
      <c r="I11" s="122">
        <f>IF(H11=0,0,VLOOKUP(G11,'Country equity risk premiums'!$A$5:$D$181,4))</f>
        <v>0</v>
      </c>
      <c r="J11" s="122">
        <f t="shared" si="0"/>
        <v>0</v>
      </c>
      <c r="K11" s="122">
        <f t="shared" si="1"/>
        <v>0</v>
      </c>
      <c r="M11" s="458"/>
      <c r="N11" s="458"/>
      <c r="O11" s="458"/>
      <c r="P11" s="458"/>
      <c r="Q11" s="458"/>
    </row>
    <row r="12" spans="1:17" s="8" customFormat="1" ht="15" customHeight="1">
      <c r="A12" s="8" t="s">
        <v>184</v>
      </c>
      <c r="B12" s="124">
        <f>'Input sheet'!B32</f>
        <v>1.6899999999999998E-2</v>
      </c>
      <c r="G12" s="227"/>
      <c r="H12" s="161"/>
      <c r="I12" s="122">
        <f>IF(H12=0,0,VLOOKUP(G12,'Country equity risk premiums'!$A$5:$D$181,4))</f>
        <v>0</v>
      </c>
      <c r="J12" s="122">
        <f t="shared" si="0"/>
        <v>0</v>
      </c>
      <c r="K12" s="122">
        <f t="shared" si="1"/>
        <v>0</v>
      </c>
      <c r="M12" s="458"/>
      <c r="N12" s="458"/>
      <c r="O12" s="458"/>
      <c r="P12" s="458"/>
      <c r="Q12" s="458"/>
    </row>
    <row r="13" spans="1:17" s="8" customFormat="1" ht="15" customHeight="1">
      <c r="A13" s="8" t="s">
        <v>438</v>
      </c>
      <c r="B13" s="228" t="s">
        <v>442</v>
      </c>
      <c r="G13" s="227"/>
      <c r="H13" s="161"/>
      <c r="I13" s="122">
        <f>IF(H13=0,0,VLOOKUP(G13,'Country equity risk premiums'!$A$5:$D$181,4))</f>
        <v>0</v>
      </c>
      <c r="J13" s="122">
        <f>IF(H13&gt;0,H13/$H$18,)</f>
        <v>0</v>
      </c>
      <c r="K13" s="122">
        <f>IF(J13=0,0,I13*J13)</f>
        <v>0</v>
      </c>
      <c r="M13" s="458"/>
      <c r="N13" s="458"/>
      <c r="O13" s="458"/>
      <c r="P13" s="458"/>
      <c r="Q13" s="458"/>
    </row>
    <row r="14" spans="1:17" s="8" customFormat="1" ht="15" customHeight="1">
      <c r="A14" s="8" t="s">
        <v>444</v>
      </c>
      <c r="B14" s="228">
        <v>0.06</v>
      </c>
      <c r="G14" s="227"/>
      <c r="H14" s="227"/>
      <c r="I14" s="122">
        <f>IF(H14=0,0,VLOOKUP(G14,'Country equity risk premiums'!$A$5:$D$181,4))</f>
        <v>0</v>
      </c>
      <c r="J14" s="122">
        <f>IF(H14&gt;0,H14/$H$18,)</f>
        <v>0</v>
      </c>
      <c r="K14" s="122">
        <f>IF(J14=0,0,I14*J14)</f>
        <v>0</v>
      </c>
      <c r="M14" s="458"/>
      <c r="N14" s="458"/>
      <c r="O14" s="458"/>
      <c r="P14" s="458"/>
      <c r="Q14" s="458"/>
    </row>
    <row r="15" spans="1:17" s="8" customFormat="1" ht="15" customHeight="1">
      <c r="A15" s="8" t="s">
        <v>445</v>
      </c>
      <c r="B15" s="230">
        <f>IF(B13="Will Input",B14,IF(B13="Country of Incorporation",VLOOKUP('Input sheet'!B5,'Country equity risk premiums'!A5:E181,4),IF(B13="Operating regions",'Cost of capital worksheet'!K32,'Cost of capital worksheet'!K18)))</f>
        <v>5.1746633260627992E-2</v>
      </c>
      <c r="G15" s="227"/>
      <c r="H15" s="227"/>
      <c r="I15" s="122">
        <f>IF(H15=0,0,VLOOKUP(G15,'Country equity risk premiums'!$A$5:$D$181,4))</f>
        <v>0</v>
      </c>
      <c r="J15" s="122">
        <f>IF(H15&gt;0,H15/$H$18,)</f>
        <v>0</v>
      </c>
      <c r="K15" s="122">
        <f>IF(J15=0,0,I15*J15)</f>
        <v>0</v>
      </c>
      <c r="M15" s="458"/>
      <c r="N15" s="458"/>
      <c r="O15" s="458"/>
      <c r="P15" s="458"/>
      <c r="Q15" s="458"/>
    </row>
    <row r="16" spans="1:17" s="8" customFormat="1" ht="15" customHeight="1">
      <c r="B16" s="115"/>
      <c r="G16" s="296" t="s">
        <v>642</v>
      </c>
      <c r="H16" s="161">
        <f>7782</f>
        <v>7782</v>
      </c>
      <c r="I16" s="315">
        <v>6.1800000000000001E-2</v>
      </c>
      <c r="J16" s="122">
        <f>IF(H16&gt;0,H16/$H$18,)</f>
        <v>0.27037731915780694</v>
      </c>
      <c r="K16" s="122">
        <f>IF(J16=0,0,I16*J16)</f>
        <v>1.670931832395247E-2</v>
      </c>
      <c r="M16" s="458"/>
      <c r="N16" s="458"/>
      <c r="O16" s="458"/>
      <c r="P16" s="458"/>
      <c r="Q16" s="458"/>
    </row>
    <row r="17" spans="1:17" s="8" customFormat="1" ht="15" customHeight="1">
      <c r="A17" s="17" t="s">
        <v>185</v>
      </c>
      <c r="B17" s="115"/>
      <c r="G17" s="296"/>
      <c r="H17" s="161"/>
      <c r="I17" s="296"/>
      <c r="J17" s="122">
        <f>IF(H17&gt;0,H17/$H$18,)</f>
        <v>0</v>
      </c>
      <c r="K17" s="122">
        <f>IF(J17=0,0,I17*J17)</f>
        <v>0</v>
      </c>
      <c r="M17" s="458"/>
      <c r="N17" s="458"/>
      <c r="O17" s="458"/>
      <c r="P17" s="458"/>
      <c r="Q17" s="458"/>
    </row>
    <row r="18" spans="1:17" s="8" customFormat="1" ht="15" customHeight="1">
      <c r="A18" s="8" t="s">
        <v>186</v>
      </c>
      <c r="B18" s="120">
        <f>'Input sheet'!B12</f>
        <v>16715192</v>
      </c>
      <c r="G18" s="162" t="s">
        <v>380</v>
      </c>
      <c r="H18" s="162">
        <f>SUM(H5:H17)</f>
        <v>28782</v>
      </c>
      <c r="I18" s="162"/>
      <c r="J18" s="122">
        <f>SUM(J5:J17)</f>
        <v>1</v>
      </c>
      <c r="K18" s="122">
        <f>SUM(K5:K17)</f>
        <v>4.7645319991661453E-2</v>
      </c>
      <c r="M18" s="458"/>
      <c r="N18" s="458"/>
      <c r="O18" s="458"/>
      <c r="P18" s="458"/>
      <c r="Q18" s="458"/>
    </row>
    <row r="19" spans="1:17" s="8" customFormat="1" ht="15" customHeight="1">
      <c r="A19" s="8" t="s">
        <v>187</v>
      </c>
      <c r="B19" s="120">
        <f>'Input sheet'!B10</f>
        <v>351778</v>
      </c>
      <c r="G19" s="128" t="s">
        <v>446</v>
      </c>
      <c r="M19" s="458"/>
      <c r="N19" s="458"/>
      <c r="O19" s="458"/>
      <c r="P19" s="458"/>
      <c r="Q19" s="458"/>
    </row>
    <row r="20" spans="1:17" s="8" customFormat="1" ht="15" customHeight="1">
      <c r="A20" s="8" t="s">
        <v>188</v>
      </c>
      <c r="B20" s="114">
        <v>3</v>
      </c>
      <c r="G20" s="19" t="s">
        <v>354</v>
      </c>
      <c r="H20" s="19" t="s">
        <v>11</v>
      </c>
      <c r="I20" s="19" t="s">
        <v>377</v>
      </c>
      <c r="J20" s="19" t="s">
        <v>379</v>
      </c>
      <c r="K20" s="19" t="s">
        <v>378</v>
      </c>
    </row>
    <row r="21" spans="1:17" s="8" customFormat="1" ht="15" customHeight="1">
      <c r="A21" s="8" t="s">
        <v>451</v>
      </c>
      <c r="B21" s="131" t="s">
        <v>450</v>
      </c>
      <c r="G21" s="19" t="str">
        <f>'Country equity risk premiums'!A185</f>
        <v>Africa</v>
      </c>
      <c r="H21" s="227"/>
      <c r="I21" s="24">
        <f>'Country equity risk premiums'!B185</f>
        <v>9.4863031763856354E-2</v>
      </c>
      <c r="J21" s="122">
        <f t="shared" ref="J21:J29" si="2">H21/$H$32</f>
        <v>0</v>
      </c>
      <c r="K21" s="164">
        <f>I21*J21</f>
        <v>0</v>
      </c>
    </row>
    <row r="22" spans="1:17" s="8" customFormat="1" ht="15" customHeight="1">
      <c r="A22" s="8" t="s">
        <v>453</v>
      </c>
      <c r="B22" s="231">
        <v>0.04</v>
      </c>
      <c r="G22" s="19" t="str">
        <f>'Country equity risk premiums'!A186</f>
        <v>Asia</v>
      </c>
      <c r="H22" s="227">
        <v>27899</v>
      </c>
      <c r="I22" s="24">
        <f>'Country equity risk premiums'!B186</f>
        <v>5.280042054620946E-2</v>
      </c>
      <c r="J22" s="122">
        <f t="shared" si="2"/>
        <v>0.26808948167509083</v>
      </c>
      <c r="K22" s="164">
        <f t="shared" ref="K22:K29" si="3">I22*J22</f>
        <v>1.4155237376460111E-2</v>
      </c>
    </row>
    <row r="23" spans="1:17" s="8" customFormat="1" ht="15" customHeight="1">
      <c r="A23" s="8" t="s">
        <v>452</v>
      </c>
      <c r="B23" s="131" t="s">
        <v>463</v>
      </c>
      <c r="G23" s="19" t="str">
        <f>'Country equity risk premiums'!A187</f>
        <v>Australia &amp; New Zealand</v>
      </c>
      <c r="H23" s="227"/>
      <c r="I23" s="24">
        <f>'Country equity risk premiums'!B187</f>
        <v>4.2411073748184321E-2</v>
      </c>
      <c r="J23" s="122">
        <f t="shared" si="2"/>
        <v>0</v>
      </c>
      <c r="K23" s="164">
        <f t="shared" si="3"/>
        <v>0</v>
      </c>
    </row>
    <row r="24" spans="1:17" s="8" customFormat="1" ht="15" customHeight="1">
      <c r="A24" s="8" t="s">
        <v>469</v>
      </c>
      <c r="B24" s="131">
        <v>2</v>
      </c>
      <c r="G24" s="19" t="str">
        <f>'Country equity risk premiums'!A188</f>
        <v>Caribbean</v>
      </c>
      <c r="H24" s="227"/>
      <c r="I24" s="24">
        <f>'Country equity risk premiums'!B188</f>
        <v>0.11074131396810463</v>
      </c>
      <c r="J24" s="122">
        <f t="shared" si="2"/>
        <v>0</v>
      </c>
      <c r="K24" s="164">
        <f t="shared" si="3"/>
        <v>0</v>
      </c>
    </row>
    <row r="25" spans="1:17" s="8" customFormat="1" ht="15" customHeight="1">
      <c r="A25" s="8" t="s">
        <v>123</v>
      </c>
      <c r="B25" s="230">
        <f>IF(B21="Direct Input",B22,IF(B21="Synthetic Rating",'Synthetic rating'!D13,B12+VLOOKUP('Cost of capital worksheet'!B23,'Synthetic rating'!G39:H53,2)))</f>
        <v>3.2810658042949019E-2</v>
      </c>
      <c r="G25" s="19" t="str">
        <f>'Country equity risk premiums'!A189</f>
        <v>Central and South America</v>
      </c>
      <c r="H25" s="227"/>
      <c r="I25" s="24">
        <f>'Country equity risk premiums'!B189</f>
        <v>8.0293505095550305E-2</v>
      </c>
      <c r="J25" s="122">
        <f t="shared" si="2"/>
        <v>0</v>
      </c>
      <c r="K25" s="164">
        <f t="shared" si="3"/>
        <v>0</v>
      </c>
    </row>
    <row r="26" spans="1:17" s="8" customFormat="1" ht="15" customHeight="1">
      <c r="A26" s="8" t="s">
        <v>189</v>
      </c>
      <c r="B26" s="233">
        <f>'Input sheet'!B21</f>
        <v>0.25</v>
      </c>
      <c r="G26" s="19" t="str">
        <f>'Country equity risk premiums'!A190</f>
        <v>Eastern Europe &amp; Russia</v>
      </c>
      <c r="H26" s="227"/>
      <c r="I26" s="24">
        <f>'Country equity risk premiums'!B190</f>
        <v>6.3548808485696898E-2</v>
      </c>
      <c r="J26" s="122">
        <f t="shared" si="2"/>
        <v>0</v>
      </c>
      <c r="K26" s="164">
        <f t="shared" si="3"/>
        <v>0</v>
      </c>
    </row>
    <row r="27" spans="1:17" s="8" customFormat="1" ht="15" customHeight="1">
      <c r="B27" s="115"/>
      <c r="G27" s="19" t="str">
        <f>'Country equity risk premiums'!A191</f>
        <v>Middle East</v>
      </c>
      <c r="H27" s="227"/>
      <c r="I27" s="24">
        <f>'Country equity risk premiums'!B191</f>
        <v>5.8408061096789698E-2</v>
      </c>
      <c r="J27" s="122">
        <f t="shared" si="2"/>
        <v>0</v>
      </c>
      <c r="K27" s="164">
        <f t="shared" si="3"/>
        <v>0</v>
      </c>
    </row>
    <row r="28" spans="1:17" s="8" customFormat="1" ht="15" customHeight="1">
      <c r="A28" s="8" t="s">
        <v>190</v>
      </c>
      <c r="B28" s="114">
        <v>0</v>
      </c>
      <c r="G28" s="19" t="str">
        <f>'Country equity risk premiums'!A192</f>
        <v>North America</v>
      </c>
      <c r="H28" s="227">
        <v>4355</v>
      </c>
      <c r="I28" s="24">
        <f>'Country equity risk premiums'!B192</f>
        <v>4.24E-2</v>
      </c>
      <c r="J28" s="122">
        <f t="shared" si="2"/>
        <v>4.1848442334672227E-2</v>
      </c>
      <c r="K28" s="164">
        <f t="shared" si="3"/>
        <v>1.7743739549901025E-3</v>
      </c>
    </row>
    <row r="29" spans="1:17" s="8" customFormat="1" ht="15" customHeight="1">
      <c r="A29" s="8" t="s">
        <v>191</v>
      </c>
      <c r="B29" s="114">
        <v>0</v>
      </c>
      <c r="G29" s="19" t="str">
        <f>'Country equity risk premiums'!A193</f>
        <v>Western Europe</v>
      </c>
      <c r="H29" s="227">
        <v>5389</v>
      </c>
      <c r="I29" s="24">
        <f>'Country equity risk premiums'!B193</f>
        <v>5.072150753049072E-2</v>
      </c>
      <c r="J29" s="122">
        <f t="shared" si="2"/>
        <v>5.1784444487152387E-2</v>
      </c>
      <c r="K29" s="164">
        <f t="shared" si="3"/>
        <v>2.6265850910173784E-3</v>
      </c>
    </row>
    <row r="30" spans="1:17" s="8" customFormat="1" ht="15" customHeight="1">
      <c r="A30" s="8" t="s">
        <v>192</v>
      </c>
      <c r="B30" s="114">
        <v>0</v>
      </c>
      <c r="G30" s="227"/>
      <c r="H30" s="227"/>
      <c r="I30" s="297"/>
      <c r="J30" s="122">
        <f>H30/$H$32</f>
        <v>0</v>
      </c>
      <c r="K30" s="164">
        <f>I30*J30</f>
        <v>0</v>
      </c>
    </row>
    <row r="31" spans="1:17" s="8" customFormat="1" ht="15" customHeight="1">
      <c r="A31" s="8" t="s">
        <v>193</v>
      </c>
      <c r="B31" s="114">
        <v>0</v>
      </c>
      <c r="G31" s="227" t="s">
        <v>661</v>
      </c>
      <c r="H31" s="227">
        <v>66423</v>
      </c>
      <c r="I31" s="297">
        <v>5.1999999999999998E-2</v>
      </c>
      <c r="J31" s="122">
        <f>H31/$H$32</f>
        <v>0.63827763150308459</v>
      </c>
      <c r="K31" s="164">
        <f>I31*J31</f>
        <v>3.3190436838160399E-2</v>
      </c>
    </row>
    <row r="32" spans="1:17" s="8" customFormat="1" ht="15" customHeight="1">
      <c r="B32" s="115"/>
      <c r="G32" s="162" t="s">
        <v>380</v>
      </c>
      <c r="H32" s="162">
        <f>SUM(H21:H31)</f>
        <v>104066</v>
      </c>
      <c r="I32" s="124"/>
      <c r="J32" s="122">
        <f>SUM(J21:J31)</f>
        <v>1</v>
      </c>
      <c r="K32" s="165">
        <f>SUM(K21:K31)</f>
        <v>5.1746633260627992E-2</v>
      </c>
    </row>
    <row r="33" spans="1:11" s="8" customFormat="1" ht="15" customHeight="1">
      <c r="A33" s="8" t="s">
        <v>194</v>
      </c>
      <c r="B33" s="120">
        <f>IF('Input sheet'!B14="Yes",'Operating lease converter'!F33,0)</f>
        <v>0</v>
      </c>
    </row>
    <row r="34" spans="1:11" s="8" customFormat="1" ht="15" customHeight="1">
      <c r="B34" s="116"/>
      <c r="G34" s="111" t="s">
        <v>475</v>
      </c>
    </row>
    <row r="35" spans="1:11" s="8" customFormat="1" ht="15" customHeight="1">
      <c r="A35" s="17" t="s">
        <v>195</v>
      </c>
      <c r="B35" s="115"/>
      <c r="G35" s="19" t="s">
        <v>391</v>
      </c>
      <c r="H35" s="19" t="s">
        <v>11</v>
      </c>
      <c r="I35" s="19" t="s">
        <v>167</v>
      </c>
      <c r="J35" s="19" t="s">
        <v>392</v>
      </c>
      <c r="K35" s="19" t="s">
        <v>209</v>
      </c>
    </row>
    <row r="36" spans="1:11" s="8" customFormat="1" ht="15" customHeight="1">
      <c r="A36" s="8" t="s">
        <v>196</v>
      </c>
      <c r="B36" s="114">
        <v>0</v>
      </c>
      <c r="G36" s="227" t="s">
        <v>507</v>
      </c>
      <c r="H36" s="173">
        <v>25484</v>
      </c>
      <c r="I36" s="174">
        <f>IF(G36=0,,VLOOKUP(G36,'Industry Averages(US)'!$A$2:$S$95,15))</f>
        <v>5.3253351177239097</v>
      </c>
      <c r="J36" s="175">
        <f>H36*I36</f>
        <v>135710.84014007612</v>
      </c>
      <c r="K36" s="174">
        <f>IF(I36=0,0,VLOOKUP(G36,'Industry Averages(US)'!$A$2:$S$95,7))</f>
        <v>1.2487708944175273</v>
      </c>
    </row>
    <row r="37" spans="1:11" s="8" customFormat="1" ht="15" customHeight="1">
      <c r="A37" s="8" t="s">
        <v>197</v>
      </c>
      <c r="B37" s="114">
        <v>70</v>
      </c>
      <c r="G37" s="227" t="s">
        <v>508</v>
      </c>
      <c r="H37" s="173">
        <v>18805</v>
      </c>
      <c r="I37" s="174">
        <f>IF(G37=0,,VLOOKUP(G37,'Industry Averages(US)'!$A$2:$S$95,15))</f>
        <v>6.3733576747704861</v>
      </c>
      <c r="J37" s="175">
        <f>H37*I37</f>
        <v>119850.99107405898</v>
      </c>
      <c r="K37" s="174">
        <f>IF(I37=0,0,VLOOKUP(G37,'Industry Averages(US)'!$A$2:$S$95,7))</f>
        <v>0.96424847628751709</v>
      </c>
    </row>
    <row r="38" spans="1:11" s="8" customFormat="1" ht="15" customHeight="1">
      <c r="A38" s="8" t="s">
        <v>198</v>
      </c>
      <c r="B38" s="114">
        <v>5</v>
      </c>
      <c r="G38" s="227" t="s">
        <v>506</v>
      </c>
      <c r="H38" s="173">
        <v>37190</v>
      </c>
      <c r="I38" s="174">
        <f>IF(G38=0,,VLOOKUP(G38,'Industry Averages(US)'!$A$2:$S$95,15))</f>
        <v>1.5319703644861753</v>
      </c>
      <c r="J38" s="175">
        <f t="shared" ref="J38:J47" si="4">H38*I38</f>
        <v>56973.977855240861</v>
      </c>
      <c r="K38" s="174">
        <f>IF(I38=0,0,VLOOKUP(G38,'Industry Averages(US)'!$A$2:$S$95,7))</f>
        <v>1.0576213168025859</v>
      </c>
    </row>
    <row r="39" spans="1:11" s="8" customFormat="1" ht="15" customHeight="1">
      <c r="G39" s="227" t="s">
        <v>509</v>
      </c>
      <c r="H39" s="173">
        <v>166699</v>
      </c>
      <c r="I39" s="174">
        <f>IF(G39=0,,VLOOKUP(G39,'Industry Averages(US)'!$A$2:$S$95,15))</f>
        <v>4.7356525969763732</v>
      </c>
      <c r="J39" s="175">
        <f t="shared" si="4"/>
        <v>789428.55226336443</v>
      </c>
      <c r="K39" s="174">
        <f>IF(I39=0,0,VLOOKUP(G39,'Industry Averages(US)'!$A$2:$S$95,7))</f>
        <v>1.0568634798545709</v>
      </c>
    </row>
    <row r="40" spans="1:11" s="117" customFormat="1" ht="15" customHeight="1">
      <c r="A40" s="14" t="s">
        <v>122</v>
      </c>
      <c r="B40" s="8"/>
      <c r="C40" s="8"/>
      <c r="D40" s="8"/>
      <c r="E40" s="8"/>
      <c r="F40" s="8"/>
      <c r="G40" s="227"/>
      <c r="H40" s="173"/>
      <c r="I40" s="174">
        <f>IF(G40=0,,VLOOKUP(G40,'Industry Averages(US)'!$A$2:$S$95,15))</f>
        <v>0</v>
      </c>
      <c r="J40" s="175">
        <f t="shared" si="4"/>
        <v>0</v>
      </c>
      <c r="K40" s="174">
        <f>IF(I40=0,0,VLOOKUP(G40,'Industry Averages(US)'!$A$2:$S$95,7))</f>
        <v>0</v>
      </c>
    </row>
    <row r="41" spans="1:11" s="8" customFormat="1" ht="15" customHeight="1">
      <c r="A41" s="19" t="s">
        <v>199</v>
      </c>
      <c r="B41" s="19"/>
      <c r="C41" s="121">
        <f>B19*(1-(1+B25)^(-B20))/B25+B18/(1+B25)^B20</f>
        <v>16161914.1168672</v>
      </c>
      <c r="G41" s="227"/>
      <c r="H41" s="173"/>
      <c r="I41" s="174">
        <f>IF(G41=0,,VLOOKUP(G41,'Industry Averages(US)'!$A$2:$S$95,15))</f>
        <v>0</v>
      </c>
      <c r="J41" s="175">
        <f t="shared" si="4"/>
        <v>0</v>
      </c>
      <c r="K41" s="174">
        <f>IF(I41=0,0,VLOOKUP(G41,'Industry Averages(US)'!$A$2:$S$95,7))</f>
        <v>0</v>
      </c>
    </row>
    <row r="42" spans="1:11" s="8" customFormat="1" ht="15" customHeight="1">
      <c r="A42" s="19" t="s">
        <v>200</v>
      </c>
      <c r="B42" s="19"/>
      <c r="C42" s="121">
        <f>B29*(1-(1+B25)^(-B30))/B25+B28/(1+B25)^B30</f>
        <v>0</v>
      </c>
      <c r="G42" s="227"/>
      <c r="H42" s="173"/>
      <c r="I42" s="174">
        <f>IF(G42=0,,VLOOKUP(G42,'Industry Averages(US)'!$A$2:$S$95,15))</f>
        <v>0</v>
      </c>
      <c r="J42" s="175">
        <f t="shared" si="4"/>
        <v>0</v>
      </c>
      <c r="K42" s="174">
        <f>IF(I42=0,0,VLOOKUP(G42,'Industry Averages(US)'!$A$2:$S$95,7))</f>
        <v>0</v>
      </c>
    </row>
    <row r="43" spans="1:11" s="8" customFormat="1" ht="15" customHeight="1">
      <c r="A43" s="19" t="s">
        <v>201</v>
      </c>
      <c r="B43" s="19"/>
      <c r="C43" s="121">
        <f>B33</f>
        <v>0</v>
      </c>
      <c r="G43" s="227"/>
      <c r="H43" s="173"/>
      <c r="I43" s="174">
        <f>IF(G43=0,,VLOOKUP(G43,'Industry Averages(US)'!$A$2:$S$95,15))</f>
        <v>0</v>
      </c>
      <c r="J43" s="175">
        <f t="shared" si="4"/>
        <v>0</v>
      </c>
      <c r="K43" s="174">
        <f>IF(I43=0,0,VLOOKUP(G43,'Industry Averages(US)'!$A$2:$S$95,7))</f>
        <v>0</v>
      </c>
    </row>
    <row r="44" spans="1:11" ht="14">
      <c r="A44" s="19" t="s">
        <v>202</v>
      </c>
      <c r="B44" s="19"/>
      <c r="C44" s="121">
        <f>B31-C42</f>
        <v>0</v>
      </c>
      <c r="D44" s="8"/>
      <c r="E44" s="8"/>
      <c r="F44" s="8"/>
      <c r="G44" s="227"/>
      <c r="H44" s="173"/>
      <c r="I44" s="174">
        <f>IF(G44=0,,VLOOKUP(G44,'Industry Averages(US)'!$A$2:$S$95,15))</f>
        <v>0</v>
      </c>
      <c r="J44" s="175">
        <f t="shared" si="4"/>
        <v>0</v>
      </c>
      <c r="K44" s="174">
        <f>IF(I44=0,0,VLOOKUP(G44,'Industry Averages(US)'!$A$2:$S$95,7))</f>
        <v>0</v>
      </c>
    </row>
    <row r="45" spans="1:11" ht="14">
      <c r="A45" s="19" t="s">
        <v>210</v>
      </c>
      <c r="B45" s="19"/>
      <c r="C45" s="127">
        <f>IF(B9="Direct Input",B10,B11*(1+(1-B26)*(C48/B48)))</f>
        <v>1.749196987555774</v>
      </c>
      <c r="D45" s="8"/>
      <c r="E45" s="8"/>
      <c r="F45" s="8"/>
      <c r="G45" s="227"/>
      <c r="H45" s="173"/>
      <c r="I45" s="174">
        <f>IF(G45=0,,VLOOKUP(G45,'Industry Averages(US)'!$A$2:$S$95,15))</f>
        <v>0</v>
      </c>
      <c r="J45" s="175">
        <f t="shared" si="4"/>
        <v>0</v>
      </c>
      <c r="K45" s="174">
        <f>IF(I45=0,0,VLOOKUP(G45,'Industry Averages(US)'!$A$2:$S$95,7))</f>
        <v>0</v>
      </c>
    </row>
    <row r="46" spans="1:11" ht="14">
      <c r="A46" s="8"/>
      <c r="B46" s="8"/>
      <c r="C46" s="127"/>
      <c r="D46" s="8"/>
      <c r="E46" s="8"/>
      <c r="F46" s="8"/>
      <c r="G46" s="227"/>
      <c r="H46" s="173"/>
      <c r="I46" s="174">
        <f>IF(G46=0,,VLOOKUP(G46,'Industry Averages(US)'!$A$2:$S$95,15))</f>
        <v>0</v>
      </c>
      <c r="J46" s="175">
        <f t="shared" si="4"/>
        <v>0</v>
      </c>
      <c r="K46" s="174">
        <f>IF(I46=0,0,VLOOKUP(G46,'Industry Averages(US)'!$A$2:$S$95,7))</f>
        <v>0</v>
      </c>
    </row>
    <row r="47" spans="1:11" ht="14">
      <c r="A47" s="117"/>
      <c r="B47" s="118" t="s">
        <v>181</v>
      </c>
      <c r="C47" s="118" t="s">
        <v>203</v>
      </c>
      <c r="D47" s="118" t="s">
        <v>195</v>
      </c>
      <c r="E47" s="118" t="s">
        <v>204</v>
      </c>
      <c r="F47" s="117"/>
      <c r="G47" s="227"/>
      <c r="H47" s="173"/>
      <c r="I47" s="174">
        <f>IF(G47=0,,VLOOKUP(G47,'Industry Averages(US)'!$A$2:$S$95,15))</f>
        <v>0</v>
      </c>
      <c r="J47" s="175">
        <f t="shared" si="4"/>
        <v>0</v>
      </c>
      <c r="K47" s="174">
        <f>IF(I47=0,0,VLOOKUP(G47,'Industry Averages(US)'!$A$2:$S$95,7))</f>
        <v>0</v>
      </c>
    </row>
    <row r="48" spans="1:11" ht="14">
      <c r="A48" s="19" t="s">
        <v>205</v>
      </c>
      <c r="B48" s="121">
        <f>B6*B7</f>
        <v>22864600</v>
      </c>
      <c r="C48" s="377">
        <f>C41+C42+C43</f>
        <v>16161914.1168672</v>
      </c>
      <c r="D48" s="121">
        <f>B36*B37</f>
        <v>0</v>
      </c>
      <c r="E48" s="377">
        <f>SUM(B48:D48)</f>
        <v>39026514.1168672</v>
      </c>
      <c r="F48" s="8"/>
      <c r="G48" s="176" t="s">
        <v>238</v>
      </c>
      <c r="H48" s="177">
        <f>SUM(H36:H47)</f>
        <v>248178</v>
      </c>
      <c r="I48" s="178"/>
      <c r="J48" s="175">
        <f>SUM(J36:J47)</f>
        <v>1101964.3613327404</v>
      </c>
      <c r="K48" s="178">
        <f>K36*(J36/J48)+K37*J37/J48+K38*J38/J48+K39*J39/J48+K40*J40/J48+K41*J41/J48+K42*J42/J48+K43*J43/J48+K44*J44/J48+K45*J45/J48+K46*J46/J48+K47*J47/J48</f>
        <v>1.0704638230280816</v>
      </c>
    </row>
    <row r="49" spans="1:11" ht="15" thickBot="1">
      <c r="A49" s="19" t="s">
        <v>206</v>
      </c>
      <c r="B49" s="122">
        <f>B48/$E$48</f>
        <v>0.58587348927784344</v>
      </c>
      <c r="C49" s="122">
        <f>C48/$E$48</f>
        <v>0.41412651072215656</v>
      </c>
      <c r="D49" s="122">
        <f>D48/$E$48</f>
        <v>0</v>
      </c>
      <c r="E49" s="123">
        <f>SUM(B49:D49)</f>
        <v>1</v>
      </c>
      <c r="F49" s="8"/>
    </row>
    <row r="50" spans="1:11" ht="20" thickBot="1">
      <c r="A50" s="19" t="s">
        <v>207</v>
      </c>
      <c r="B50" s="124">
        <f>B12+C45*B15</f>
        <v>0.1074150550156439</v>
      </c>
      <c r="C50" s="122">
        <f>B25*(1-B26)</f>
        <v>2.4607993532211762E-2</v>
      </c>
      <c r="D50" s="125">
        <f>B38/B37</f>
        <v>7.1428571428571425E-2</v>
      </c>
      <c r="E50" s="126">
        <f>B49*B50+C49*C50+D49*D50</f>
        <v>7.3122455580355072E-2</v>
      </c>
      <c r="F50" s="8"/>
      <c r="G50" s="237" t="s">
        <v>476</v>
      </c>
    </row>
    <row r="51" spans="1:11" ht="14">
      <c r="G51" s="19" t="s">
        <v>391</v>
      </c>
      <c r="H51" s="19" t="s">
        <v>11</v>
      </c>
      <c r="I51" s="19" t="s">
        <v>167</v>
      </c>
      <c r="J51" s="19" t="s">
        <v>392</v>
      </c>
      <c r="K51" s="19" t="s">
        <v>209</v>
      </c>
    </row>
    <row r="52" spans="1:11" ht="14">
      <c r="G52" s="227" t="s">
        <v>666</v>
      </c>
      <c r="H52" s="173">
        <v>81363</v>
      </c>
      <c r="I52" s="174">
        <f>IF(G52=0,,VLOOKUP(G52,'Industry Average Beta (Global)'!$A$2:$O$95,15))</f>
        <v>2.8452382192852683</v>
      </c>
      <c r="J52" s="175">
        <f>H52*I52</f>
        <v>231497.11723570729</v>
      </c>
      <c r="K52" s="174">
        <f>IF(G52=0,,VLOOKUP(G52,'Industry Average Beta (Global)'!$A$2:$O$95,7))</f>
        <v>1.2087657244069641</v>
      </c>
    </row>
    <row r="53" spans="1:11" ht="14">
      <c r="G53" s="227" t="s">
        <v>662</v>
      </c>
      <c r="H53" s="173">
        <v>14862</v>
      </c>
      <c r="I53" s="174">
        <f>IF(G53=0,,VLOOKUP(G53,'Industry Average Beta (Global)'!$A$2:$O$95,15))</f>
        <v>1.597656952437307</v>
      </c>
      <c r="J53" s="175">
        <f>H53*I53</f>
        <v>23744.377627123256</v>
      </c>
      <c r="K53" s="174">
        <f>IF(G53=0,,VLOOKUP(G53,'Industry Average Beta (Global)'!$A$2:$O$95,7))</f>
        <v>1.0219877158206196</v>
      </c>
    </row>
    <row r="54" spans="1:11" ht="14">
      <c r="G54" s="227" t="s">
        <v>663</v>
      </c>
      <c r="H54" s="173">
        <v>4608</v>
      </c>
      <c r="I54" s="174">
        <f>IF(G54=0,,VLOOKUP(G54,'Industry Average Beta (Global)'!$A$2:$O$95,15))</f>
        <v>2.9043272980490888</v>
      </c>
      <c r="J54" s="175">
        <f t="shared" ref="J54:J63" si="5">H54*I54</f>
        <v>13383.140189410202</v>
      </c>
      <c r="K54" s="174">
        <f>IF(G54=0,,VLOOKUP(G54,'Industry Average Beta (Global)'!$A$2:$O$95,7))</f>
        <v>1.0394823310715897</v>
      </c>
    </row>
    <row r="55" spans="1:11" ht="14">
      <c r="G55" s="227" t="s">
        <v>664</v>
      </c>
      <c r="H55" s="173">
        <v>2010</v>
      </c>
      <c r="I55" s="174">
        <f>IF(G55=0,,VLOOKUP(G55,'Industry Average Beta (Global)'!$A$2:$O$95,15))</f>
        <v>1.9430908691410391</v>
      </c>
      <c r="J55" s="175">
        <f t="shared" si="5"/>
        <v>3905.6126469734886</v>
      </c>
      <c r="K55" s="174">
        <f>IF(G55=0,,VLOOKUP(G55,'Industry Average Beta (Global)'!$A$2:$O$95,7))</f>
        <v>1.3115844334733844</v>
      </c>
    </row>
    <row r="56" spans="1:11" ht="14">
      <c r="G56" s="227" t="s">
        <v>665</v>
      </c>
      <c r="H56" s="173">
        <v>59269</v>
      </c>
      <c r="I56" s="174">
        <f>IF(G56=0,,VLOOKUP(G56,'Industry Average Beta (Global)'!$A$2:$O$95,15))</f>
        <v>1.4901057696549609</v>
      </c>
      <c r="J56" s="175">
        <f t="shared" si="5"/>
        <v>88317.078861679882</v>
      </c>
      <c r="K56" s="174">
        <f>IF(G56=0,,VLOOKUP(G56,'Industry Average Beta (Global)'!$A$2:$O$95,7))</f>
        <v>1.0120404370223572</v>
      </c>
    </row>
    <row r="57" spans="1:11" ht="14">
      <c r="G57" s="227"/>
      <c r="H57" s="173"/>
      <c r="I57" s="174">
        <f>IF(G57=0,,VLOOKUP(G57,'Industry Average Beta (Global)'!$A$2:$O$95,15))</f>
        <v>0</v>
      </c>
      <c r="J57" s="175">
        <f t="shared" si="5"/>
        <v>0</v>
      </c>
      <c r="K57" s="174">
        <f>IF(G57=0,,VLOOKUP(G57,'Industry Average Beta (Global)'!$A$2:$O$95,7))</f>
        <v>0</v>
      </c>
    </row>
    <row r="58" spans="1:11" ht="14">
      <c r="G58" s="227"/>
      <c r="H58" s="173"/>
      <c r="I58" s="174">
        <f>IF(G58=0,,VLOOKUP(G58,'Industry Average Beta (Global)'!$A$2:$O$95,15))</f>
        <v>0</v>
      </c>
      <c r="J58" s="175">
        <f t="shared" si="5"/>
        <v>0</v>
      </c>
      <c r="K58" s="174">
        <f>IF(G58=0,,VLOOKUP(G58,'Industry Average Beta (Global)'!$A$2:$O$95,7))</f>
        <v>0</v>
      </c>
    </row>
    <row r="59" spans="1:11" ht="14">
      <c r="G59" s="227"/>
      <c r="H59" s="173"/>
      <c r="I59" s="174">
        <f>IF(G59=0,,VLOOKUP(G59,'Industry Average Beta (Global)'!$A$2:$O$95,15))</f>
        <v>0</v>
      </c>
      <c r="J59" s="175">
        <f t="shared" si="5"/>
        <v>0</v>
      </c>
      <c r="K59" s="174">
        <f>IF(G59=0,,VLOOKUP(G59,'Industry Average Beta (Global)'!$A$2:$O$95,7))</f>
        <v>0</v>
      </c>
    </row>
    <row r="60" spans="1:11" ht="14">
      <c r="G60" s="227"/>
      <c r="H60" s="173"/>
      <c r="I60" s="174">
        <f>IF(G60=0,,VLOOKUP(G60,'Industry Average Beta (Global)'!$A$2:$O$95,15))</f>
        <v>0</v>
      </c>
      <c r="J60" s="175">
        <f t="shared" si="5"/>
        <v>0</v>
      </c>
      <c r="K60" s="174">
        <f>IF(G60=0,,VLOOKUP(G60,'Industry Average Beta (Global)'!$A$2:$O$95,7))</f>
        <v>0</v>
      </c>
    </row>
    <row r="61" spans="1:11" ht="14">
      <c r="G61" s="227"/>
      <c r="H61" s="173"/>
      <c r="I61" s="174">
        <f>IF(G61=0,,VLOOKUP(G61,'Industry Average Beta (Global)'!$A$2:$O$95,15))</f>
        <v>0</v>
      </c>
      <c r="J61" s="175">
        <f t="shared" si="5"/>
        <v>0</v>
      </c>
      <c r="K61" s="174">
        <f>IF(G61=0,,VLOOKUP(G61,'Industry Average Beta (Global)'!$A$2:$O$95,7))</f>
        <v>0</v>
      </c>
    </row>
    <row r="62" spans="1:11" ht="14">
      <c r="G62" s="227"/>
      <c r="H62" s="173"/>
      <c r="I62" s="174">
        <f>IF(G62=0,,VLOOKUP(G62,'Industry Average Beta (Global)'!$A$2:$O$95,15))</f>
        <v>0</v>
      </c>
      <c r="J62" s="175">
        <f t="shared" si="5"/>
        <v>0</v>
      </c>
      <c r="K62" s="174">
        <f>IF(G62=0,,VLOOKUP(G62,'Industry Average Beta (Global)'!$A$2:$O$95,7))</f>
        <v>0</v>
      </c>
    </row>
    <row r="63" spans="1:11" ht="14">
      <c r="G63" s="227"/>
      <c r="H63" s="173"/>
      <c r="I63" s="174">
        <f>IF(G63=0,,VLOOKUP(G63,'Industry Average Beta (Global)'!$A$2:$O$95,15))</f>
        <v>0</v>
      </c>
      <c r="J63" s="175">
        <f t="shared" si="5"/>
        <v>0</v>
      </c>
      <c r="K63" s="174">
        <f>IF(G63=0,,VLOOKUP(G63,'Industry Average Beta (Global)'!$A$2:$O$95,7))</f>
        <v>0</v>
      </c>
    </row>
    <row r="64" spans="1:11" ht="14">
      <c r="G64" s="176" t="s">
        <v>238</v>
      </c>
      <c r="H64" s="177">
        <f>SUM(H52:H63)</f>
        <v>162112</v>
      </c>
      <c r="I64" s="178"/>
      <c r="J64" s="175">
        <f>SUM(J52:J63)</f>
        <v>360847.32656089414</v>
      </c>
      <c r="K64" s="178">
        <f>K52*(J52/J64)+K53*J53/J64+K54*J54/J64+K55*J55/J64+K56*J56/J64+K57*J57/J64+K58*J58/J64+K59*J59/J64+K60*J60/J64+K61*J61/J64+K62*J62/J64+K63*J63/J64</f>
        <v>1.1431615148698169</v>
      </c>
    </row>
  </sheetData>
  <mergeCells count="2">
    <mergeCell ref="M5:Q19"/>
    <mergeCell ref="A1:K2"/>
  </mergeCell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00000000}">
          <x14:formula1>
            <xm:f>'Answer keys'!$F$2:$F$6</xm:f>
          </x14:formula1>
          <xm:sqref>B9</xm:sqref>
        </x14:dataValidation>
        <x14:dataValidation type="list" allowBlank="1" showInputMessage="1" showErrorMessage="1" xr:uid="{00000000-0002-0000-0800-000001000000}">
          <x14:formula1>
            <xm:f>'Answer keys'!$C$2:$C$5</xm:f>
          </x14:formula1>
          <xm:sqref>B13</xm:sqref>
        </x14:dataValidation>
        <x14:dataValidation type="list" allowBlank="1" showInputMessage="1" showErrorMessage="1" xr:uid="{00000000-0002-0000-0800-000002000000}">
          <x14:formula1>
            <xm:f>'Answer keys'!$D$2:$D$4</xm:f>
          </x14:formula1>
          <xm:sqref>B21</xm:sqref>
        </x14:dataValidation>
        <x14:dataValidation type="list" allowBlank="1" showInputMessage="1" showErrorMessage="1" xr:uid="{00000000-0002-0000-0800-000003000000}">
          <x14:formula1>
            <xm:f>'Answer keys'!$E$2:$E$3</xm:f>
          </x14:formula1>
          <xm:sqref>B24</xm:sqref>
        </x14:dataValidation>
        <x14:dataValidation type="list" allowBlank="1" showInputMessage="1" showErrorMessage="1" xr:uid="{00000000-0002-0000-0800-000005000000}">
          <x14:formula1>
            <xm:f>'Industry Averages(US)'!$A$2:$A$95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B23</xm:sqref>
        </x14:dataValidation>
        <x14:dataValidation type="list" allowBlank="1" showInputMessage="1" showErrorMessage="1" xr:uid="{D1CF3BBB-EEC3-F149-B56B-8213DBD42B6F}">
          <x14:formula1>
            <xm:f>'Country equity risk premiums'!$A$5:$A$181</xm:f>
          </x14:formula1>
          <xm:sqref>G5:G15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H23" sqref="H23"/>
    </sheetView>
  </sheetViews>
  <sheetFormatPr baseColWidth="10" defaultRowHeight="13"/>
  <sheetData>
    <row r="1" spans="1:10" s="6" customFormat="1" ht="19">
      <c r="A1" s="29" t="s">
        <v>402</v>
      </c>
      <c r="B1" s="29"/>
      <c r="C1" s="29"/>
      <c r="D1" s="29"/>
      <c r="E1" s="29"/>
      <c r="F1" s="29"/>
      <c r="G1" s="29"/>
      <c r="H1" s="29"/>
      <c r="I1" s="29"/>
      <c r="J1" s="29"/>
    </row>
    <row r="2" spans="1:10" s="8" customFormat="1" ht="14">
      <c r="A2" s="8" t="s">
        <v>403</v>
      </c>
    </row>
    <row r="3" spans="1:10" s="8" customFormat="1" ht="14">
      <c r="A3" s="8" t="s">
        <v>404</v>
      </c>
    </row>
    <row r="4" spans="1:10" s="8" customFormat="1" ht="14"/>
    <row r="5" spans="1:10" s="8" customFormat="1" ht="14">
      <c r="A5" s="17" t="s">
        <v>6</v>
      </c>
    </row>
    <row r="6" spans="1:10" s="8" customFormat="1" ht="14">
      <c r="A6" s="8" t="s">
        <v>405</v>
      </c>
      <c r="F6" s="131">
        <v>5</v>
      </c>
      <c r="G6" s="8" t="s">
        <v>406</v>
      </c>
    </row>
    <row r="7" spans="1:10" s="8" customFormat="1" ht="14">
      <c r="A7" s="8" t="s">
        <v>407</v>
      </c>
      <c r="F7" s="356">
        <v>251563</v>
      </c>
      <c r="G7" s="8" t="s">
        <v>408</v>
      </c>
    </row>
    <row r="8" spans="1:10" s="8" customFormat="1" ht="14">
      <c r="A8" s="8" t="s">
        <v>409</v>
      </c>
    </row>
    <row r="9" spans="1:10" s="8" customFormat="1" ht="14">
      <c r="A9" s="8" t="s">
        <v>410</v>
      </c>
    </row>
    <row r="10" spans="1:10" s="184" customFormat="1" ht="14">
      <c r="A10" s="182" t="s">
        <v>118</v>
      </c>
      <c r="B10" s="182" t="s">
        <v>411</v>
      </c>
      <c r="C10" s="183"/>
      <c r="D10" s="183"/>
      <c r="E10" s="183"/>
      <c r="F10" s="183"/>
      <c r="G10" s="183"/>
      <c r="H10" s="183"/>
      <c r="I10" s="183"/>
    </row>
    <row r="11" spans="1:10" s="184" customFormat="1" ht="14">
      <c r="A11" s="185">
        <v>-1</v>
      </c>
      <c r="B11" s="186">
        <v>253611</v>
      </c>
      <c r="C11" s="183" t="s">
        <v>412</v>
      </c>
      <c r="D11" s="183"/>
      <c r="E11" s="183"/>
      <c r="F11" s="183"/>
      <c r="G11" s="183"/>
      <c r="H11" s="183"/>
      <c r="I11" s="183"/>
    </row>
    <row r="12" spans="1:10" s="184" customFormat="1" ht="14">
      <c r="A12" s="185">
        <f>IF((0-A11)&lt;$F$6,IF(A11&gt;-1,,A11-1),)</f>
        <v>-2</v>
      </c>
      <c r="B12" s="186">
        <v>227441</v>
      </c>
      <c r="C12" s="183" t="s">
        <v>413</v>
      </c>
      <c r="D12" s="183"/>
      <c r="E12" s="183"/>
      <c r="F12" s="183"/>
      <c r="G12" s="183"/>
      <c r="H12" s="183"/>
      <c r="I12" s="183"/>
    </row>
    <row r="13" spans="1:10" s="184" customFormat="1" ht="14">
      <c r="A13" s="185">
        <f t="shared" ref="A13:A20" si="0">IF((0-A12)&lt;$F$6,IF(A12&gt;-1,,A12-1),)</f>
        <v>-3</v>
      </c>
      <c r="B13" s="186">
        <v>233578</v>
      </c>
      <c r="C13" s="183"/>
      <c r="D13" s="183"/>
      <c r="E13" s="183"/>
      <c r="F13" s="183"/>
      <c r="G13" s="183"/>
      <c r="H13" s="183"/>
      <c r="I13" s="183"/>
    </row>
    <row r="14" spans="1:10" s="184" customFormat="1" ht="14">
      <c r="A14" s="185">
        <f t="shared" si="0"/>
        <v>-4</v>
      </c>
      <c r="B14" s="186">
        <v>195693</v>
      </c>
      <c r="C14" s="183"/>
      <c r="D14" s="183"/>
      <c r="E14" s="183"/>
      <c r="F14" s="183"/>
      <c r="G14" s="183"/>
      <c r="H14" s="183"/>
      <c r="I14" s="183"/>
    </row>
    <row r="15" spans="1:10" s="184" customFormat="1" ht="14">
      <c r="A15" s="185">
        <f t="shared" si="0"/>
        <v>-5</v>
      </c>
      <c r="B15" s="186">
        <v>145318</v>
      </c>
      <c r="C15" s="183"/>
      <c r="D15" s="183"/>
      <c r="E15" s="183"/>
      <c r="F15" s="183"/>
      <c r="G15" s="183"/>
      <c r="H15" s="183"/>
      <c r="I15" s="183"/>
    </row>
    <row r="16" spans="1:10" s="184" customFormat="1" ht="14">
      <c r="A16" s="185">
        <f t="shared" si="0"/>
        <v>0</v>
      </c>
      <c r="B16" s="186"/>
      <c r="C16" s="183"/>
      <c r="D16" s="183"/>
      <c r="E16" s="183"/>
      <c r="F16" s="183"/>
      <c r="G16" s="183"/>
      <c r="H16" s="183"/>
      <c r="I16" s="183"/>
    </row>
    <row r="17" spans="1:9" s="184" customFormat="1" ht="14">
      <c r="A17" s="185">
        <f t="shared" si="0"/>
        <v>0</v>
      </c>
      <c r="B17" s="186"/>
      <c r="C17" s="183"/>
      <c r="D17" s="183"/>
      <c r="E17" s="183"/>
      <c r="F17" s="183"/>
      <c r="G17" s="183"/>
      <c r="H17" s="183"/>
      <c r="I17" s="183"/>
    </row>
    <row r="18" spans="1:9" s="184" customFormat="1" ht="14">
      <c r="A18" s="185">
        <f t="shared" si="0"/>
        <v>0</v>
      </c>
      <c r="B18" s="186"/>
      <c r="C18" s="183"/>
      <c r="D18" s="183"/>
      <c r="E18" s="183"/>
      <c r="F18" s="183"/>
      <c r="G18" s="183"/>
      <c r="H18" s="183"/>
      <c r="I18" s="183"/>
    </row>
    <row r="19" spans="1:9" s="184" customFormat="1" ht="14">
      <c r="A19" s="185">
        <f t="shared" si="0"/>
        <v>0</v>
      </c>
      <c r="B19" s="186"/>
      <c r="C19" s="183"/>
      <c r="D19" s="183"/>
      <c r="E19" s="183"/>
      <c r="F19" s="183"/>
      <c r="G19" s="183"/>
      <c r="H19" s="183"/>
      <c r="I19" s="183"/>
    </row>
    <row r="20" spans="1:9" s="184" customFormat="1" ht="14">
      <c r="A20" s="185">
        <f t="shared" si="0"/>
        <v>0</v>
      </c>
      <c r="B20" s="186"/>
      <c r="C20" s="183"/>
      <c r="D20" s="183"/>
      <c r="E20" s="183"/>
      <c r="F20" s="183"/>
      <c r="G20" s="183"/>
      <c r="H20" s="183"/>
      <c r="I20" s="183"/>
    </row>
    <row r="21" spans="1:9" s="184" customFormat="1" ht="14">
      <c r="A21" s="183"/>
      <c r="B21" s="183"/>
      <c r="C21" s="183"/>
      <c r="D21" s="183"/>
      <c r="E21" s="183"/>
      <c r="F21" s="183"/>
      <c r="G21" s="183"/>
      <c r="H21" s="183"/>
      <c r="I21" s="183"/>
    </row>
    <row r="22" spans="1:9" s="184" customFormat="1" ht="14">
      <c r="A22" s="187" t="s">
        <v>122</v>
      </c>
      <c r="B22" s="183"/>
      <c r="C22" s="183"/>
      <c r="D22" s="183"/>
      <c r="E22" s="183"/>
      <c r="F22" s="183"/>
      <c r="G22" s="183"/>
      <c r="H22" s="183"/>
      <c r="I22" s="183"/>
    </row>
    <row r="23" spans="1:9" s="184" customFormat="1" ht="14">
      <c r="A23" s="182" t="s">
        <v>118</v>
      </c>
      <c r="B23" s="182" t="s">
        <v>414</v>
      </c>
      <c r="C23" s="188" t="s">
        <v>415</v>
      </c>
      <c r="D23" s="189"/>
      <c r="E23" s="183" t="s">
        <v>416</v>
      </c>
      <c r="F23" s="183"/>
      <c r="G23" s="183"/>
      <c r="H23" s="183"/>
      <c r="I23" s="183"/>
    </row>
    <row r="24" spans="1:9" s="184" customFormat="1" ht="14">
      <c r="A24" s="182" t="s">
        <v>417</v>
      </c>
      <c r="B24" s="182">
        <f>F7</f>
        <v>251563</v>
      </c>
      <c r="C24" s="182">
        <f>1</f>
        <v>1</v>
      </c>
      <c r="D24" s="182">
        <f>B24*C24</f>
        <v>251563</v>
      </c>
      <c r="E24" s="183"/>
      <c r="F24" s="183"/>
      <c r="G24" s="183"/>
      <c r="H24" s="183"/>
      <c r="I24" s="183"/>
    </row>
    <row r="25" spans="1:9" s="184" customFormat="1" ht="14">
      <c r="A25" s="185">
        <f>A11</f>
        <v>-1</v>
      </c>
      <c r="B25" s="182">
        <f>B11</f>
        <v>253611</v>
      </c>
      <c r="C25" s="182">
        <f>IF(A25&lt;0,($F$6+A25)/$F$6,0)</f>
        <v>0.8</v>
      </c>
      <c r="D25" s="182">
        <f>B25*C25</f>
        <v>202888.80000000002</v>
      </c>
      <c r="E25" s="190">
        <f t="shared" ref="E25:E34" si="1">IF(A25&lt;0,B25/$F$6,0)</f>
        <v>50722.2</v>
      </c>
      <c r="F25" s="183"/>
      <c r="G25" s="183"/>
      <c r="H25" s="183"/>
      <c r="I25" s="183"/>
    </row>
    <row r="26" spans="1:9" s="184" customFormat="1" ht="14">
      <c r="A26" s="185">
        <f t="shared" ref="A26:B34" si="2">A12</f>
        <v>-2</v>
      </c>
      <c r="B26" s="182">
        <f t="shared" si="2"/>
        <v>227441</v>
      </c>
      <c r="C26" s="182">
        <f>IF(A26&lt;0,($F$6+A26)/$F$6,0)</f>
        <v>0.6</v>
      </c>
      <c r="D26" s="182">
        <f t="shared" ref="D26:D34" si="3">B26*C26</f>
        <v>136464.6</v>
      </c>
      <c r="E26" s="190">
        <f t="shared" si="1"/>
        <v>45488.2</v>
      </c>
      <c r="F26" s="183"/>
      <c r="G26" s="183"/>
      <c r="H26" s="183"/>
      <c r="I26" s="183"/>
    </row>
    <row r="27" spans="1:9" s="184" customFormat="1" ht="14">
      <c r="A27" s="185">
        <f t="shared" si="2"/>
        <v>-3</v>
      </c>
      <c r="B27" s="182">
        <f t="shared" si="2"/>
        <v>233578</v>
      </c>
      <c r="C27" s="182">
        <f>IF(A27&lt;0,($F$6+A27)/$F$6,0)</f>
        <v>0.4</v>
      </c>
      <c r="D27" s="182">
        <f t="shared" si="3"/>
        <v>93431.200000000012</v>
      </c>
      <c r="E27" s="190">
        <f t="shared" si="1"/>
        <v>46715.6</v>
      </c>
      <c r="F27" s="183"/>
      <c r="G27" s="183"/>
      <c r="H27" s="183"/>
      <c r="I27" s="183"/>
    </row>
    <row r="28" spans="1:9" s="184" customFormat="1" ht="14">
      <c r="A28" s="185">
        <f t="shared" si="2"/>
        <v>-4</v>
      </c>
      <c r="B28" s="182">
        <f t="shared" si="2"/>
        <v>195693</v>
      </c>
      <c r="C28" s="182">
        <f t="shared" ref="C28:C34" si="4">IF(A28&lt;0,($F$6+A28)/$F$6,0)</f>
        <v>0.2</v>
      </c>
      <c r="D28" s="182">
        <f t="shared" si="3"/>
        <v>39138.6</v>
      </c>
      <c r="E28" s="190">
        <f t="shared" si="1"/>
        <v>39138.6</v>
      </c>
      <c r="F28" s="183"/>
      <c r="G28" s="183"/>
      <c r="H28" s="183"/>
      <c r="I28" s="183"/>
    </row>
    <row r="29" spans="1:9" s="184" customFormat="1" ht="14">
      <c r="A29" s="185">
        <f t="shared" si="2"/>
        <v>-5</v>
      </c>
      <c r="B29" s="182">
        <f t="shared" si="2"/>
        <v>145318</v>
      </c>
      <c r="C29" s="182">
        <f t="shared" si="4"/>
        <v>0</v>
      </c>
      <c r="D29" s="182">
        <f t="shared" si="3"/>
        <v>0</v>
      </c>
      <c r="E29" s="190">
        <f t="shared" si="1"/>
        <v>29063.599999999999</v>
      </c>
      <c r="F29" s="183"/>
      <c r="G29" s="183"/>
      <c r="H29" s="183"/>
      <c r="I29" s="183"/>
    </row>
    <row r="30" spans="1:9" s="184" customFormat="1" ht="14">
      <c r="A30" s="185">
        <f t="shared" si="2"/>
        <v>0</v>
      </c>
      <c r="B30" s="182">
        <f t="shared" si="2"/>
        <v>0</v>
      </c>
      <c r="C30" s="182">
        <f t="shared" si="4"/>
        <v>0</v>
      </c>
      <c r="D30" s="182">
        <f t="shared" si="3"/>
        <v>0</v>
      </c>
      <c r="E30" s="190">
        <f t="shared" si="1"/>
        <v>0</v>
      </c>
      <c r="F30" s="183"/>
      <c r="G30" s="183"/>
      <c r="H30" s="183"/>
      <c r="I30" s="183"/>
    </row>
    <row r="31" spans="1:9" s="184" customFormat="1" ht="14">
      <c r="A31" s="185">
        <f t="shared" si="2"/>
        <v>0</v>
      </c>
      <c r="B31" s="182">
        <f t="shared" si="2"/>
        <v>0</v>
      </c>
      <c r="C31" s="182">
        <f t="shared" si="4"/>
        <v>0</v>
      </c>
      <c r="D31" s="182">
        <f t="shared" si="3"/>
        <v>0</v>
      </c>
      <c r="E31" s="190">
        <f t="shared" si="1"/>
        <v>0</v>
      </c>
      <c r="F31" s="183"/>
      <c r="G31" s="183"/>
      <c r="H31" s="183"/>
      <c r="I31" s="183"/>
    </row>
    <row r="32" spans="1:9" s="184" customFormat="1" ht="14">
      <c r="A32" s="185">
        <f t="shared" si="2"/>
        <v>0</v>
      </c>
      <c r="B32" s="182">
        <f t="shared" si="2"/>
        <v>0</v>
      </c>
      <c r="C32" s="182">
        <f t="shared" si="4"/>
        <v>0</v>
      </c>
      <c r="D32" s="182">
        <f t="shared" si="3"/>
        <v>0</v>
      </c>
      <c r="E32" s="190">
        <f t="shared" si="1"/>
        <v>0</v>
      </c>
      <c r="F32" s="183"/>
      <c r="G32" s="183"/>
      <c r="H32" s="183"/>
      <c r="I32" s="183"/>
    </row>
    <row r="33" spans="1:9" s="184" customFormat="1" ht="14">
      <c r="A33" s="185">
        <f t="shared" si="2"/>
        <v>0</v>
      </c>
      <c r="B33" s="182">
        <f t="shared" si="2"/>
        <v>0</v>
      </c>
      <c r="C33" s="182">
        <f t="shared" si="4"/>
        <v>0</v>
      </c>
      <c r="D33" s="182">
        <f t="shared" si="3"/>
        <v>0</v>
      </c>
      <c r="E33" s="190">
        <f t="shared" si="1"/>
        <v>0</v>
      </c>
      <c r="F33" s="183"/>
      <c r="G33" s="183"/>
      <c r="H33" s="183"/>
      <c r="I33" s="183"/>
    </row>
    <row r="34" spans="1:9" s="184" customFormat="1" ht="16" customHeight="1" thickBot="1">
      <c r="A34" s="185">
        <f t="shared" si="2"/>
        <v>0</v>
      </c>
      <c r="B34" s="182">
        <f t="shared" si="2"/>
        <v>0</v>
      </c>
      <c r="C34" s="182">
        <f t="shared" si="4"/>
        <v>0</v>
      </c>
      <c r="D34" s="191">
        <f t="shared" si="3"/>
        <v>0</v>
      </c>
      <c r="E34" s="192">
        <f t="shared" si="1"/>
        <v>0</v>
      </c>
      <c r="F34" s="183"/>
      <c r="G34" s="183"/>
      <c r="H34" s="183"/>
      <c r="I34" s="183"/>
    </row>
    <row r="35" spans="1:9" s="8" customFormat="1" ht="15" thickBot="1">
      <c r="A35" s="8" t="s">
        <v>418</v>
      </c>
      <c r="D35" s="357">
        <f>SUM(D24:D34)</f>
        <v>723486.20000000007</v>
      </c>
      <c r="E35" s="358">
        <f>SUM(E25:E34)</f>
        <v>211128.2</v>
      </c>
    </row>
    <row r="36" spans="1:9" ht="14" thickBot="1">
      <c r="D36" s="359"/>
      <c r="E36" s="359"/>
    </row>
    <row r="37" spans="1:9" s="8" customFormat="1" ht="15" thickBot="1">
      <c r="A37" s="8" t="s">
        <v>419</v>
      </c>
      <c r="D37" s="357">
        <f>E35</f>
        <v>211128.2</v>
      </c>
      <c r="E37" s="360"/>
    </row>
    <row r="38" spans="1:9" s="8" customFormat="1" ht="15" thickBot="1"/>
    <row r="39" spans="1:9" s="8" customFormat="1" ht="14">
      <c r="A39" s="8" t="s">
        <v>420</v>
      </c>
      <c r="D39" s="193">
        <f>F7-D37</f>
        <v>40434.799999999988</v>
      </c>
      <c r="E39" s="8" t="s">
        <v>421</v>
      </c>
    </row>
    <row r="40" spans="1:9" ht="14">
      <c r="A40" t="s">
        <v>422</v>
      </c>
      <c r="D40" s="194">
        <f>D39*'Input sheet'!B21</f>
        <v>10108.699999999997</v>
      </c>
      <c r="E40" s="8"/>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
  <sheetViews>
    <sheetView zoomScale="125" zoomScaleNormal="125" workbookViewId="0">
      <selection activeCell="E13" sqref="E13"/>
    </sheetView>
  </sheetViews>
  <sheetFormatPr baseColWidth="10" defaultRowHeight="13"/>
  <sheetData>
    <row r="1" spans="1:11" s="6" customFormat="1" ht="19">
      <c r="A1" s="29" t="s">
        <v>115</v>
      </c>
      <c r="B1" s="29"/>
      <c r="C1" s="29"/>
      <c r="D1" s="29"/>
      <c r="E1" s="29"/>
      <c r="F1" s="29"/>
      <c r="G1" s="29"/>
      <c r="H1" s="29"/>
      <c r="I1" s="29"/>
      <c r="J1" s="29"/>
      <c r="K1" s="29"/>
    </row>
    <row r="2" spans="1:11" s="6" customFormat="1" ht="19">
      <c r="A2" s="29" t="s">
        <v>159</v>
      </c>
      <c r="B2" s="29"/>
      <c r="C2" s="29"/>
      <c r="D2" s="29"/>
      <c r="E2" s="29"/>
      <c r="F2" s="29"/>
      <c r="G2" s="29"/>
      <c r="H2" s="29"/>
      <c r="I2" s="29"/>
      <c r="J2" s="29"/>
      <c r="K2" s="29"/>
    </row>
    <row r="3" spans="1:11" s="17" customFormat="1" ht="14">
      <c r="A3" s="17" t="s">
        <v>6</v>
      </c>
    </row>
    <row r="4" spans="1:11" s="8" customFormat="1" ht="14">
      <c r="A4" s="8" t="s">
        <v>116</v>
      </c>
      <c r="E4" s="33">
        <v>295</v>
      </c>
    </row>
    <row r="5" spans="1:11" s="15" customFormat="1" ht="14">
      <c r="A5" s="15" t="s">
        <v>117</v>
      </c>
    </row>
    <row r="6" spans="1:11" s="8" customFormat="1" ht="14">
      <c r="A6" s="30" t="s">
        <v>118</v>
      </c>
      <c r="B6" s="30" t="s">
        <v>119</v>
      </c>
      <c r="C6" s="8" t="s">
        <v>120</v>
      </c>
    </row>
    <row r="7" spans="1:11" s="8" customFormat="1" ht="14">
      <c r="A7" s="30">
        <v>1</v>
      </c>
      <c r="B7" s="381">
        <v>287</v>
      </c>
    </row>
    <row r="8" spans="1:11" s="8" customFormat="1" ht="14">
      <c r="A8" s="30">
        <v>2</v>
      </c>
      <c r="B8" s="381">
        <v>235</v>
      </c>
    </row>
    <row r="9" spans="1:11" s="8" customFormat="1" ht="14">
      <c r="A9" s="30">
        <v>3</v>
      </c>
      <c r="B9" s="381">
        <v>194</v>
      </c>
    </row>
    <row r="10" spans="1:11" s="8" customFormat="1" ht="14">
      <c r="A10" s="30">
        <v>4</v>
      </c>
      <c r="B10" s="381">
        <v>151</v>
      </c>
    </row>
    <row r="11" spans="1:11" s="8" customFormat="1" ht="14">
      <c r="A11" s="30">
        <v>5</v>
      </c>
      <c r="B11" s="381">
        <v>98</v>
      </c>
    </row>
    <row r="12" spans="1:11" s="8" customFormat="1" ht="14">
      <c r="A12" s="30" t="s">
        <v>121</v>
      </c>
      <c r="B12" s="300">
        <v>605</v>
      </c>
    </row>
    <row r="13" spans="1:11" s="8" customFormat="1" ht="14"/>
    <row r="14" spans="1:11" s="31" customFormat="1" ht="17" thickBot="1">
      <c r="A14" s="31" t="s">
        <v>122</v>
      </c>
    </row>
    <row r="15" spans="1:11" s="8" customFormat="1" ht="15" thickBot="1">
      <c r="A15" s="8" t="s">
        <v>123</v>
      </c>
      <c r="C15" s="79">
        <f>'Cost of capital worksheet'!B25</f>
        <v>3.2810658042949019E-2</v>
      </c>
      <c r="D15" s="8" t="s">
        <v>234</v>
      </c>
    </row>
    <row r="16" spans="1:11" s="8" customFormat="1" ht="14"/>
    <row r="17" spans="1:7" s="8" customFormat="1" ht="14">
      <c r="D17" s="34"/>
    </row>
    <row r="18" spans="1:7" s="8" customFormat="1" ht="14">
      <c r="A18" s="8" t="s">
        <v>124</v>
      </c>
      <c r="D18" s="35">
        <f>IF(B12&gt;0,ROUND(B12/AVERAGE(B7:B11),0),0)</f>
        <v>3</v>
      </c>
      <c r="E18" s="8" t="s">
        <v>125</v>
      </c>
    </row>
    <row r="19" spans="1:7" s="17" customFormat="1" ht="14">
      <c r="E19" s="8" t="s">
        <v>126</v>
      </c>
    </row>
    <row r="20" spans="1:7" s="15" customFormat="1" ht="14">
      <c r="A20" s="15" t="s">
        <v>127</v>
      </c>
    </row>
    <row r="21" spans="1:7" s="8" customFormat="1" ht="14">
      <c r="A21" s="30" t="s">
        <v>118</v>
      </c>
      <c r="B21" s="30" t="s">
        <v>119</v>
      </c>
      <c r="C21" s="30" t="s">
        <v>128</v>
      </c>
    </row>
    <row r="22" spans="1:7" s="8" customFormat="1" ht="14">
      <c r="A22" s="19">
        <f>A7</f>
        <v>1</v>
      </c>
      <c r="B22" s="28">
        <f>B7</f>
        <v>287</v>
      </c>
      <c r="C22" s="9">
        <f>B22/(1+$C$15)^A22</f>
        <v>277.8824925604759</v>
      </c>
    </row>
    <row r="23" spans="1:7" s="8" customFormat="1" ht="14">
      <c r="A23" s="19">
        <f t="shared" ref="A23:B26" si="0">A8</f>
        <v>2</v>
      </c>
      <c r="B23" s="28">
        <f t="shared" si="0"/>
        <v>235</v>
      </c>
      <c r="C23" s="9">
        <f>B23/(1+$C$15)^A23</f>
        <v>220.30605838156822</v>
      </c>
    </row>
    <row r="24" spans="1:7" s="8" customFormat="1" ht="14">
      <c r="A24" s="19">
        <f t="shared" si="0"/>
        <v>3</v>
      </c>
      <c r="B24" s="28">
        <f t="shared" si="0"/>
        <v>194</v>
      </c>
      <c r="C24" s="9">
        <f>B24/(1+$C$15)^A24</f>
        <v>176.09198822853165</v>
      </c>
    </row>
    <row r="25" spans="1:7" s="8" customFormat="1" ht="14">
      <c r="A25" s="19">
        <f t="shared" si="0"/>
        <v>4</v>
      </c>
      <c r="B25" s="28">
        <f t="shared" si="0"/>
        <v>151</v>
      </c>
      <c r="C25" s="9">
        <f>B25/(1+$C$15)^A25</f>
        <v>132.70708308380378</v>
      </c>
    </row>
    <row r="26" spans="1:7" s="8" customFormat="1" ht="14">
      <c r="A26" s="19">
        <f t="shared" si="0"/>
        <v>5</v>
      </c>
      <c r="B26" s="28">
        <f t="shared" si="0"/>
        <v>98</v>
      </c>
      <c r="C26" s="9">
        <f>B26/(1+$C$15)^A26</f>
        <v>83.391641154677089</v>
      </c>
    </row>
    <row r="27" spans="1:7" s="8" customFormat="1" ht="15" thickBot="1">
      <c r="A27" s="36" t="str">
        <f>A12</f>
        <v>6 and beyond</v>
      </c>
      <c r="B27" s="37">
        <f>IF(B12&gt;0,IF(D18&gt;0,B12/D18,B12),0)</f>
        <v>201.66666666666666</v>
      </c>
      <c r="C27" s="38">
        <f>IF(D18&gt;0,(B27*(1-(1+C15)^(-D18))/C15)/(1+$C$15)^5,B27/(1+C15)^6)</f>
        <v>482.79333476637339</v>
      </c>
      <c r="D27" s="8" t="s">
        <v>129</v>
      </c>
    </row>
    <row r="28" spans="1:7" s="8" customFormat="1" ht="15" thickBot="1">
      <c r="A28" s="32" t="s">
        <v>130</v>
      </c>
      <c r="B28" s="39"/>
      <c r="C28" s="40">
        <f>SUM(C22:C27)</f>
        <v>1373.1725981754303</v>
      </c>
    </row>
    <row r="29" spans="1:7" s="8" customFormat="1" ht="14"/>
    <row r="30" spans="1:7" s="8" customFormat="1" ht="14">
      <c r="A30" s="15" t="s">
        <v>131</v>
      </c>
    </row>
    <row r="31" spans="1:7" s="8" customFormat="1" ht="15" thickBot="1">
      <c r="A31" s="8" t="s">
        <v>132</v>
      </c>
      <c r="F31" s="38">
        <f>C28/(5+D18)</f>
        <v>171.64657477192878</v>
      </c>
      <c r="G31" s="8" t="s">
        <v>133</v>
      </c>
    </row>
    <row r="32" spans="1:7" s="8" customFormat="1" ht="15" thickBot="1">
      <c r="A32" s="8" t="s">
        <v>134</v>
      </c>
      <c r="F32" s="80">
        <f>E4-F31</f>
        <v>123.35342522807122</v>
      </c>
      <c r="G32" s="8" t="s">
        <v>136</v>
      </c>
    </row>
    <row r="33" spans="1:7" s="8" customFormat="1" ht="15" thickBot="1">
      <c r="A33" s="8" t="s">
        <v>135</v>
      </c>
      <c r="F33" s="41">
        <f>C28</f>
        <v>1373.1725981754303</v>
      </c>
      <c r="G33" s="8" t="s">
        <v>137</v>
      </c>
    </row>
    <row r="34" spans="1:7" ht="14">
      <c r="A34" s="8" t="s">
        <v>493</v>
      </c>
      <c r="F34" s="238">
        <f>C28/(5+D18)</f>
        <v>171.64657477192878</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Input sheet</vt:lpstr>
      <vt:lpstr>Valuation output</vt:lpstr>
      <vt:lpstr>Stories to Numbers</vt:lpstr>
      <vt:lpstr>Diagnostics</vt:lpstr>
      <vt:lpstr>Summary Sheet</vt:lpstr>
      <vt:lpstr>Option value</vt:lpstr>
      <vt:lpstr>Cost of capital worksheet</vt:lpstr>
      <vt:lpstr>R&amp; D converter</vt:lpstr>
      <vt:lpstr>Operating lease converter</vt:lpstr>
      <vt:lpstr>Country equity risk premiums</vt:lpstr>
      <vt:lpstr>Synthetic rating</vt:lpstr>
      <vt:lpstr>Industry Averages(US)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2011-01-17T15:04:26Z</cp:lastPrinted>
  <dcterms:created xsi:type="dcterms:W3CDTF">2000-02-22T13:53:50Z</dcterms:created>
  <dcterms:modified xsi:type="dcterms:W3CDTF">2022-01-28T16:25:02Z</dcterms:modified>
</cp:coreProperties>
</file>