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ate1904="1"/>
  <mc:AlternateContent xmlns:mc="http://schemas.openxmlformats.org/markup-compatibility/2006">
    <mc:Choice Requires="x15">
      <x15ac:absPath xmlns:x15ac="http://schemas.microsoft.com/office/spreadsheetml/2010/11/ac" url="C:\Users\SHIVAM\Desktop\Finance\Algo trading bot\"/>
    </mc:Choice>
  </mc:AlternateContent>
  <xr:revisionPtr revIDLastSave="0" documentId="13_ncr:1_{E61D78AD-FEB2-4356-831C-F91B36F5E71E}" xr6:coauthVersionLast="47" xr6:coauthVersionMax="47" xr10:uidLastSave="{00000000-0000-0000-0000-000000000000}"/>
  <bookViews>
    <workbookView xWindow="-110" yWindow="-110" windowWidth="25820" windowHeight="13900" firstSheet="3" activeTab="3" xr2:uid="{00000000-000D-0000-FFFF-FFFF00000000}"/>
  </bookViews>
  <sheets>
    <sheet name="Explanation and FAQ" sheetId="7" r:id="rId1"/>
    <sheet name="Summary of Most Recent Update" sheetId="28" r:id="rId2"/>
    <sheet name="Country Lookup" sheetId="17" r:id="rId3"/>
    <sheet name="ERPs by country" sheetId="1" r:id="rId4"/>
    <sheet name="Relative Equity Volatility" sheetId="26" r:id="rId5"/>
    <sheet name="Regional Simple Averages" sheetId="16" r:id="rId6"/>
    <sheet name="Regional Weighted Averages" sheetId="10" r:id="rId7"/>
    <sheet name="Regional breakdown" sheetId="3" r:id="rId8"/>
    <sheet name="Sovereign Ratings (Moody's,S&amp;P)" sheetId="2" r:id="rId9"/>
    <sheet name="Regional lookup table" sheetId="4" r:id="rId10"/>
    <sheet name="Default Spreads for Ratings" sheetId="25" r:id="rId11"/>
    <sheet name="10-year CDS Spreads" sheetId="5" r:id="rId12"/>
    <sheet name="Equity vs Govt Bond vol Risky" sheetId="6" r:id="rId13"/>
    <sheet name="Country GDP" sheetId="9" r:id="rId14"/>
    <sheet name="Ratings worksheet" sheetId="19" r:id="rId15"/>
    <sheet name="Country Tax Rates" sheetId="24" r:id="rId16"/>
    <sheet name="PRS Worksheet" sheetId="23" r:id="rId17"/>
    <sheet name="Data Update Sequence" sheetId="27" r:id="rId18"/>
  </sheets>
  <definedNames>
    <definedName name="HTML_CodePage" hidden="1">1252</definedName>
    <definedName name="HTML_Control" hidden="1">{"'Sheet1'!$A$1:$H$145"}</definedName>
    <definedName name="HTML_Description" hidden="1">""</definedName>
    <definedName name="HTML_Email" hidden="1">""</definedName>
    <definedName name="HTML_Header" hidden="1">"Country Risk Premiums"</definedName>
    <definedName name="HTML_LastUpdate" hidden="1">"2/19/99"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Mac" hidden="1">"Macintosh HD:HomePageStuff:New_Home_Page:datafile:ctryprem.html"</definedName>
    <definedName name="HTML_Title" hidden="1">"Country Risk Premiums"</definedName>
    <definedName name="_xlnm.Print_Area" localSheetId="6">'Regional Weighted Averages'!$A$170:$G$194</definedName>
  </definedNames>
  <calcPr calcId="191029" iterateDelta="9.9999999999994451E-4"/>
  <pivotCaches>
    <pivotCache cacheId="0" r:id="rId1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2" i="23" l="1"/>
  <c r="F180" i="23"/>
  <c r="F179" i="23"/>
  <c r="F177" i="23"/>
  <c r="F176" i="23"/>
  <c r="F175" i="23"/>
  <c r="F174" i="23"/>
  <c r="F173" i="23"/>
  <c r="F172" i="23"/>
  <c r="F164" i="23"/>
  <c r="F162" i="23"/>
  <c r="B191" i="10"/>
  <c r="D191" i="10"/>
  <c r="D187" i="10"/>
  <c r="C187" i="10"/>
  <c r="B187" i="10"/>
  <c r="M33" i="10"/>
  <c r="L33" i="10"/>
  <c r="K33" i="10"/>
  <c r="J33" i="10"/>
  <c r="C6" i="26" l="1"/>
  <c r="C5" i="26"/>
  <c r="C4" i="26"/>
  <c r="C3" i="26"/>
  <c r="C2" i="26"/>
  <c r="B6" i="26"/>
  <c r="B5" i="26"/>
  <c r="B4" i="26"/>
  <c r="B3" i="26"/>
  <c r="B2" i="26"/>
  <c r="I1319" i="26"/>
  <c r="I1318" i="26"/>
  <c r="I1317" i="26"/>
  <c r="I1316" i="26"/>
  <c r="I1315" i="26"/>
  <c r="I1314" i="26"/>
  <c r="I1313" i="26"/>
  <c r="I1312" i="26"/>
  <c r="I1311" i="26"/>
  <c r="I1310" i="26"/>
  <c r="I1309" i="26"/>
  <c r="I1308" i="26"/>
  <c r="I1307" i="26"/>
  <c r="I1306" i="26"/>
  <c r="I1305" i="26"/>
  <c r="I1304" i="26"/>
  <c r="I1303" i="26"/>
  <c r="I1302" i="26"/>
  <c r="I1301" i="26"/>
  <c r="I1300" i="26"/>
  <c r="I1299" i="26"/>
  <c r="I1298" i="26"/>
  <c r="I1297" i="26"/>
  <c r="I1296" i="26"/>
  <c r="I1295" i="26"/>
  <c r="I1294" i="26"/>
  <c r="I1293" i="26"/>
  <c r="I1292" i="26"/>
  <c r="I1291" i="26"/>
  <c r="I1290" i="26"/>
  <c r="I1289" i="26"/>
  <c r="I1288" i="26"/>
  <c r="I1287" i="26"/>
  <c r="I1286" i="26"/>
  <c r="I1285" i="26"/>
  <c r="I1284" i="26"/>
  <c r="I1283" i="26"/>
  <c r="I1282" i="26"/>
  <c r="I1281" i="26"/>
  <c r="I1280" i="26"/>
  <c r="I1279" i="26"/>
  <c r="I1278" i="26"/>
  <c r="I1277" i="26"/>
  <c r="I1276" i="26"/>
  <c r="I1275" i="26"/>
  <c r="I1274" i="26"/>
  <c r="I1273" i="26"/>
  <c r="I1272" i="26"/>
  <c r="I1271" i="26"/>
  <c r="I1270" i="26"/>
  <c r="I1269" i="26"/>
  <c r="I1268" i="26"/>
  <c r="I1267" i="26"/>
  <c r="I1266" i="26"/>
  <c r="I1265" i="26"/>
  <c r="I1264" i="26"/>
  <c r="I1263" i="26"/>
  <c r="I1262" i="26"/>
  <c r="I1261" i="26"/>
  <c r="I1260" i="26"/>
  <c r="I1259" i="26"/>
  <c r="I1258" i="26"/>
  <c r="I1257" i="26"/>
  <c r="I1256" i="26"/>
  <c r="I1255" i="26"/>
  <c r="I1254" i="26"/>
  <c r="I1253" i="26"/>
  <c r="I1252" i="26"/>
  <c r="I1251" i="26"/>
  <c r="I1250" i="26"/>
  <c r="I1249" i="26"/>
  <c r="I1248" i="26"/>
  <c r="I1247" i="26"/>
  <c r="I1246" i="26"/>
  <c r="I1245" i="26"/>
  <c r="I1244" i="26"/>
  <c r="I1243" i="26"/>
  <c r="I1242" i="26"/>
  <c r="I1241" i="26"/>
  <c r="I1240" i="26"/>
  <c r="I1239" i="26"/>
  <c r="I1238" i="26"/>
  <c r="I1237" i="26"/>
  <c r="I1236" i="26"/>
  <c r="I1235" i="26"/>
  <c r="I1234" i="26"/>
  <c r="I1233" i="26"/>
  <c r="I1232" i="26"/>
  <c r="I1231" i="26"/>
  <c r="I1230" i="26"/>
  <c r="I1229" i="26"/>
  <c r="I1228" i="26"/>
  <c r="I1227" i="26"/>
  <c r="I1226" i="26"/>
  <c r="I1225" i="26"/>
  <c r="I1224" i="26"/>
  <c r="I1223" i="26"/>
  <c r="I1222" i="26"/>
  <c r="I1221" i="26"/>
  <c r="I1220" i="26"/>
  <c r="I1219" i="26"/>
  <c r="I1218" i="26"/>
  <c r="I1217" i="26"/>
  <c r="I1216" i="26"/>
  <c r="I1215" i="26"/>
  <c r="I1214" i="26"/>
  <c r="I1213" i="26"/>
  <c r="I1212" i="26"/>
  <c r="I1211" i="26"/>
  <c r="I1210" i="26"/>
  <c r="I1209" i="26"/>
  <c r="I1208" i="26"/>
  <c r="I1207" i="26"/>
  <c r="I1206" i="26"/>
  <c r="I1205" i="26"/>
  <c r="I1204" i="26"/>
  <c r="I1203" i="26"/>
  <c r="I1202" i="26"/>
  <c r="I1201" i="26"/>
  <c r="I1200" i="26"/>
  <c r="I1199" i="26"/>
  <c r="I1198" i="26"/>
  <c r="I1197" i="26"/>
  <c r="I1196" i="26"/>
  <c r="I1195" i="26"/>
  <c r="I1194" i="26"/>
  <c r="I1193" i="26"/>
  <c r="I1192" i="26"/>
  <c r="I1191" i="26"/>
  <c r="I1190" i="26"/>
  <c r="I1189" i="26"/>
  <c r="I1188" i="26"/>
  <c r="I1187" i="26"/>
  <c r="I1186" i="26"/>
  <c r="I1185" i="26"/>
  <c r="I1184" i="26"/>
  <c r="I1183" i="26"/>
  <c r="I1182" i="26"/>
  <c r="I1181" i="26"/>
  <c r="I1180" i="26"/>
  <c r="I1179" i="26"/>
  <c r="I1178" i="26"/>
  <c r="I1177" i="26"/>
  <c r="I1176" i="26"/>
  <c r="I1175" i="26"/>
  <c r="I1174" i="26"/>
  <c r="I1173" i="26"/>
  <c r="I1172" i="26"/>
  <c r="I1171" i="26"/>
  <c r="I1170" i="26"/>
  <c r="I1169" i="26"/>
  <c r="I1168" i="26"/>
  <c r="I1167" i="26"/>
  <c r="I1166" i="26"/>
  <c r="I1165" i="26"/>
  <c r="I1164" i="26"/>
  <c r="I1163" i="26"/>
  <c r="I1162" i="26"/>
  <c r="I1161" i="26"/>
  <c r="I1160" i="26"/>
  <c r="I1159" i="26"/>
  <c r="I1158" i="26"/>
  <c r="I1157" i="26"/>
  <c r="I1156" i="26"/>
  <c r="I1155" i="26"/>
  <c r="I1154" i="26"/>
  <c r="I1153" i="26"/>
  <c r="I1152" i="26"/>
  <c r="I1151" i="26"/>
  <c r="I1150" i="26"/>
  <c r="I1149" i="26"/>
  <c r="I1148" i="26"/>
  <c r="I1147" i="26"/>
  <c r="I1146" i="26"/>
  <c r="I1145" i="26"/>
  <c r="I1144" i="26"/>
  <c r="I1143" i="26"/>
  <c r="I1142" i="26"/>
  <c r="I1141" i="26"/>
  <c r="I1140" i="26"/>
  <c r="I1139" i="26"/>
  <c r="I1138" i="26"/>
  <c r="I1137" i="26"/>
  <c r="I1136" i="26"/>
  <c r="I1135" i="26"/>
  <c r="I1134" i="26"/>
  <c r="I1133" i="26"/>
  <c r="I1132" i="26"/>
  <c r="I1131" i="26"/>
  <c r="I1130" i="26"/>
  <c r="I1129" i="26"/>
  <c r="I1128" i="26"/>
  <c r="I1127" i="26"/>
  <c r="I1126" i="26"/>
  <c r="I1125" i="26"/>
  <c r="I1124" i="26"/>
  <c r="I1123" i="26"/>
  <c r="I1122" i="26"/>
  <c r="I1121" i="26"/>
  <c r="I1120" i="26"/>
  <c r="I1119" i="26"/>
  <c r="I1118" i="26"/>
  <c r="I1117" i="26"/>
  <c r="I1116" i="26"/>
  <c r="I1115" i="26"/>
  <c r="I1114" i="26"/>
  <c r="I1113" i="26"/>
  <c r="I1112" i="26"/>
  <c r="I1111" i="26"/>
  <c r="I1110" i="26"/>
  <c r="I1109" i="26"/>
  <c r="I1108" i="26"/>
  <c r="I1107" i="26"/>
  <c r="I1106" i="26"/>
  <c r="I1105" i="26"/>
  <c r="I1104" i="26"/>
  <c r="I1103" i="26"/>
  <c r="I1102" i="26"/>
  <c r="I1101" i="26"/>
  <c r="I1100" i="26"/>
  <c r="I1099" i="26"/>
  <c r="I1098" i="26"/>
  <c r="I1097" i="26"/>
  <c r="I1096" i="26"/>
  <c r="I1095" i="26"/>
  <c r="I1094" i="26"/>
  <c r="I1093" i="26"/>
  <c r="I1092" i="26"/>
  <c r="I1091" i="26"/>
  <c r="I1090" i="26"/>
  <c r="I1089" i="26"/>
  <c r="I1088" i="26"/>
  <c r="I1087" i="26"/>
  <c r="I1086" i="26"/>
  <c r="I1085" i="26"/>
  <c r="I1084" i="26"/>
  <c r="I1083" i="26"/>
  <c r="I1082" i="26"/>
  <c r="I1081" i="26"/>
  <c r="I1080" i="26"/>
  <c r="I1079" i="26"/>
  <c r="I1078" i="26"/>
  <c r="I1077" i="26"/>
  <c r="I1076" i="26"/>
  <c r="I1075" i="26"/>
  <c r="I1074" i="26"/>
  <c r="I1073" i="26"/>
  <c r="I1072" i="26"/>
  <c r="I1071" i="26"/>
  <c r="I1070" i="26"/>
  <c r="I1069" i="26"/>
  <c r="I1068" i="26"/>
  <c r="I1067" i="26"/>
  <c r="I1066" i="26"/>
  <c r="I1065" i="26"/>
  <c r="I1064" i="26"/>
  <c r="I1063" i="26"/>
  <c r="I1062" i="26"/>
  <c r="I1061" i="26"/>
  <c r="I1060" i="26"/>
  <c r="I1059" i="26"/>
  <c r="I1058" i="26"/>
  <c r="I1057" i="26"/>
  <c r="I1056" i="26"/>
  <c r="I1055" i="26"/>
  <c r="I1054" i="26"/>
  <c r="I1053" i="26"/>
  <c r="I1052" i="26"/>
  <c r="I1051" i="26"/>
  <c r="I1050" i="26"/>
  <c r="I1049" i="26"/>
  <c r="I1048" i="26"/>
  <c r="I1047" i="26"/>
  <c r="I1046" i="26"/>
  <c r="I1045" i="26"/>
  <c r="I1044" i="26"/>
  <c r="I1043" i="26"/>
  <c r="I1042" i="26"/>
  <c r="I1041" i="26"/>
  <c r="I1040" i="26"/>
  <c r="I1039" i="26"/>
  <c r="I1038" i="26"/>
  <c r="I1037" i="26"/>
  <c r="I1036" i="26"/>
  <c r="I1035" i="26"/>
  <c r="I1034" i="26"/>
  <c r="I1033" i="26"/>
  <c r="I1032" i="26"/>
  <c r="I1031" i="26"/>
  <c r="I1030" i="26"/>
  <c r="I1029" i="26"/>
  <c r="I1028" i="26"/>
  <c r="I1027" i="26"/>
  <c r="I1026" i="26"/>
  <c r="I1025" i="26"/>
  <c r="I1024" i="26"/>
  <c r="I1023" i="26"/>
  <c r="I1022" i="26"/>
  <c r="I1021" i="26"/>
  <c r="I1020" i="26"/>
  <c r="I1019" i="26"/>
  <c r="I1018" i="26"/>
  <c r="I1017" i="26"/>
  <c r="I1016" i="26"/>
  <c r="I1015" i="26"/>
  <c r="I1014" i="26"/>
  <c r="I1013" i="26"/>
  <c r="I1012" i="26"/>
  <c r="I1011" i="26"/>
  <c r="I1010" i="26"/>
  <c r="I1009" i="26"/>
  <c r="I1008" i="26"/>
  <c r="I1007" i="26"/>
  <c r="I1006" i="26"/>
  <c r="I1005" i="26"/>
  <c r="I1004" i="26"/>
  <c r="I1003" i="26"/>
  <c r="I1002" i="26"/>
  <c r="I1001" i="26"/>
  <c r="I1000" i="26"/>
  <c r="I999" i="26"/>
  <c r="I998" i="26"/>
  <c r="I997" i="26"/>
  <c r="I996" i="26"/>
  <c r="I995" i="26"/>
  <c r="I994" i="26"/>
  <c r="I993" i="26"/>
  <c r="I992" i="26"/>
  <c r="I991" i="26"/>
  <c r="I990" i="26"/>
  <c r="I989" i="26"/>
  <c r="I988" i="26"/>
  <c r="I987" i="26"/>
  <c r="I986" i="26"/>
  <c r="I985" i="26"/>
  <c r="I984" i="26"/>
  <c r="I983" i="26"/>
  <c r="I982" i="26"/>
  <c r="I981" i="26"/>
  <c r="I980" i="26"/>
  <c r="I979" i="26"/>
  <c r="I978" i="26"/>
  <c r="I977" i="26"/>
  <c r="I976" i="26"/>
  <c r="I975" i="26"/>
  <c r="I974" i="26"/>
  <c r="I973" i="26"/>
  <c r="I972" i="26"/>
  <c r="I971" i="26"/>
  <c r="I970" i="26"/>
  <c r="I969" i="26"/>
  <c r="I968" i="26"/>
  <c r="I967" i="26"/>
  <c r="I966" i="26"/>
  <c r="I965" i="26"/>
  <c r="I964" i="26"/>
  <c r="I963" i="26"/>
  <c r="I962" i="26"/>
  <c r="I961" i="26"/>
  <c r="I960" i="26"/>
  <c r="I959" i="26"/>
  <c r="I958" i="26"/>
  <c r="I957" i="26"/>
  <c r="I956" i="26"/>
  <c r="I955" i="26"/>
  <c r="I954" i="26"/>
  <c r="I953" i="26"/>
  <c r="I952" i="26"/>
  <c r="I951" i="26"/>
  <c r="I950" i="26"/>
  <c r="I949" i="26"/>
  <c r="I948" i="26"/>
  <c r="I947" i="26"/>
  <c r="I946" i="26"/>
  <c r="I945" i="26"/>
  <c r="I944" i="26"/>
  <c r="I943" i="26"/>
  <c r="I942" i="26"/>
  <c r="I941" i="26"/>
  <c r="I940" i="26"/>
  <c r="I939" i="26"/>
  <c r="I938" i="26"/>
  <c r="I937" i="26"/>
  <c r="I936" i="26"/>
  <c r="I935" i="26"/>
  <c r="I934" i="26"/>
  <c r="I933" i="26"/>
  <c r="I932" i="26"/>
  <c r="I931" i="26"/>
  <c r="I930" i="26"/>
  <c r="I929" i="26"/>
  <c r="I928" i="26"/>
  <c r="I927" i="26"/>
  <c r="I926" i="26"/>
  <c r="I925" i="26"/>
  <c r="I924" i="26"/>
  <c r="I923" i="26"/>
  <c r="I922" i="26"/>
  <c r="I921" i="26"/>
  <c r="I920" i="26"/>
  <c r="I919" i="26"/>
  <c r="I918" i="26"/>
  <c r="I917" i="26"/>
  <c r="I916" i="26"/>
  <c r="I915" i="26"/>
  <c r="I914" i="26"/>
  <c r="I913" i="26"/>
  <c r="I912" i="26"/>
  <c r="I911" i="26"/>
  <c r="I910" i="26"/>
  <c r="I909" i="26"/>
  <c r="I908" i="26"/>
  <c r="I907" i="26"/>
  <c r="I906" i="26"/>
  <c r="I905" i="26"/>
  <c r="I904" i="26"/>
  <c r="I903" i="26"/>
  <c r="I902" i="26"/>
  <c r="I901" i="26"/>
  <c r="I900" i="26"/>
  <c r="I899" i="26"/>
  <c r="I898" i="26"/>
  <c r="I897" i="26"/>
  <c r="I896" i="26"/>
  <c r="I895" i="26"/>
  <c r="I894" i="26"/>
  <c r="I893" i="26"/>
  <c r="I892" i="26"/>
  <c r="I891" i="26"/>
  <c r="I890" i="26"/>
  <c r="I889" i="26"/>
  <c r="I888" i="26"/>
  <c r="I887" i="26"/>
  <c r="I886" i="26"/>
  <c r="I885" i="26"/>
  <c r="I884" i="26"/>
  <c r="I883" i="26"/>
  <c r="I882" i="26"/>
  <c r="I881" i="26"/>
  <c r="I880" i="26"/>
  <c r="I879" i="26"/>
  <c r="I878" i="26"/>
  <c r="I877" i="26"/>
  <c r="I876" i="26"/>
  <c r="I875" i="26"/>
  <c r="I874" i="26"/>
  <c r="I873" i="26"/>
  <c r="I872" i="26"/>
  <c r="I871" i="26"/>
  <c r="I870" i="26"/>
  <c r="I869" i="26"/>
  <c r="I868" i="26"/>
  <c r="I867" i="26"/>
  <c r="I866" i="26"/>
  <c r="I865" i="26"/>
  <c r="I864" i="26"/>
  <c r="I863" i="26"/>
  <c r="I862" i="26"/>
  <c r="I861" i="26"/>
  <c r="I860" i="26"/>
  <c r="I859" i="26"/>
  <c r="I858" i="26"/>
  <c r="I857" i="26"/>
  <c r="I856" i="26"/>
  <c r="I855" i="26"/>
  <c r="I854" i="26"/>
  <c r="I853" i="26"/>
  <c r="I852" i="26"/>
  <c r="I851" i="26"/>
  <c r="I850" i="26"/>
  <c r="I849" i="26"/>
  <c r="I848" i="26"/>
  <c r="I847" i="26"/>
  <c r="I846" i="26"/>
  <c r="I845" i="26"/>
  <c r="I844" i="26"/>
  <c r="I843" i="26"/>
  <c r="I842" i="26"/>
  <c r="I841" i="26"/>
  <c r="I840" i="26"/>
  <c r="I839" i="26"/>
  <c r="I838" i="26"/>
  <c r="I837" i="26"/>
  <c r="I836" i="26"/>
  <c r="I835" i="26"/>
  <c r="I834" i="26"/>
  <c r="I833" i="26"/>
  <c r="I832" i="26"/>
  <c r="I831" i="26"/>
  <c r="I830" i="26"/>
  <c r="I829" i="26"/>
  <c r="I828" i="26"/>
  <c r="I827" i="26"/>
  <c r="I826" i="26"/>
  <c r="I825" i="26"/>
  <c r="I824" i="26"/>
  <c r="I823" i="26"/>
  <c r="I822" i="26"/>
  <c r="I821" i="26"/>
  <c r="I820" i="26"/>
  <c r="I819" i="26"/>
  <c r="I818" i="26"/>
  <c r="I817" i="26"/>
  <c r="I816" i="26"/>
  <c r="I815" i="26"/>
  <c r="I814" i="26"/>
  <c r="I813" i="26"/>
  <c r="I812" i="26"/>
  <c r="I811" i="26"/>
  <c r="I810" i="26"/>
  <c r="I809" i="26"/>
  <c r="I808" i="26"/>
  <c r="I807" i="26"/>
  <c r="I806" i="26"/>
  <c r="I805" i="26"/>
  <c r="I804" i="26"/>
  <c r="I803" i="26"/>
  <c r="I802" i="26"/>
  <c r="I801" i="26"/>
  <c r="I800" i="26"/>
  <c r="I799" i="26"/>
  <c r="I798" i="26"/>
  <c r="I797" i="26"/>
  <c r="I796" i="26"/>
  <c r="I795" i="26"/>
  <c r="I794" i="26"/>
  <c r="I793" i="26"/>
  <c r="I792" i="26"/>
  <c r="I791" i="26"/>
  <c r="I790" i="26"/>
  <c r="I789" i="26"/>
  <c r="I788" i="26"/>
  <c r="I787" i="26"/>
  <c r="I786" i="26"/>
  <c r="I785" i="26"/>
  <c r="I784" i="26"/>
  <c r="I783" i="26"/>
  <c r="I782" i="26"/>
  <c r="I781" i="26"/>
  <c r="I780" i="26"/>
  <c r="I779" i="26"/>
  <c r="I778" i="26"/>
  <c r="I777" i="26"/>
  <c r="I776" i="26"/>
  <c r="I775" i="26"/>
  <c r="I774" i="26"/>
  <c r="I773" i="26"/>
  <c r="I772" i="26"/>
  <c r="I771" i="26"/>
  <c r="I770" i="26"/>
  <c r="I769" i="26"/>
  <c r="I768" i="26"/>
  <c r="I767" i="26"/>
  <c r="I766" i="26"/>
  <c r="I765" i="26"/>
  <c r="I764" i="26"/>
  <c r="I763" i="26"/>
  <c r="I762" i="26"/>
  <c r="I761" i="26"/>
  <c r="I760" i="26"/>
  <c r="I759" i="26"/>
  <c r="I758" i="26"/>
  <c r="I757" i="26"/>
  <c r="I756" i="26"/>
  <c r="I755" i="26"/>
  <c r="I754" i="26"/>
  <c r="I753" i="26"/>
  <c r="I752" i="26"/>
  <c r="I751" i="26"/>
  <c r="I750" i="26"/>
  <c r="I749" i="26"/>
  <c r="I748" i="26"/>
  <c r="I747" i="26"/>
  <c r="I746" i="26"/>
  <c r="I745" i="26"/>
  <c r="I744" i="26"/>
  <c r="I743" i="26"/>
  <c r="I742" i="26"/>
  <c r="I741" i="26"/>
  <c r="I740" i="26"/>
  <c r="I739" i="26"/>
  <c r="I738" i="26"/>
  <c r="I737" i="26"/>
  <c r="I736" i="26"/>
  <c r="I735" i="26"/>
  <c r="I734" i="26"/>
  <c r="I733" i="26"/>
  <c r="I732" i="26"/>
  <c r="I731" i="26"/>
  <c r="I730" i="26"/>
  <c r="I729" i="26"/>
  <c r="I728" i="26"/>
  <c r="I727" i="26"/>
  <c r="I726" i="26"/>
  <c r="I725" i="26"/>
  <c r="I724" i="26"/>
  <c r="I723" i="26"/>
  <c r="I722" i="26"/>
  <c r="I721" i="26"/>
  <c r="I720" i="26"/>
  <c r="I719" i="26"/>
  <c r="I718" i="26"/>
  <c r="I717" i="26"/>
  <c r="I716" i="26"/>
  <c r="I715" i="26"/>
  <c r="I714" i="26"/>
  <c r="I713" i="26"/>
  <c r="I712" i="26"/>
  <c r="I711" i="26"/>
  <c r="I710" i="26"/>
  <c r="I709" i="26"/>
  <c r="I708" i="26"/>
  <c r="I707" i="26"/>
  <c r="I706" i="26"/>
  <c r="I705" i="26"/>
  <c r="I704" i="26"/>
  <c r="I703" i="26"/>
  <c r="I702" i="26"/>
  <c r="I701" i="26"/>
  <c r="I700" i="26"/>
  <c r="I699" i="26"/>
  <c r="I698" i="26"/>
  <c r="I697" i="26"/>
  <c r="I696" i="26"/>
  <c r="I695" i="26"/>
  <c r="I694" i="26"/>
  <c r="I693" i="26"/>
  <c r="I692" i="26"/>
  <c r="I691" i="26"/>
  <c r="I690" i="26"/>
  <c r="I689" i="26"/>
  <c r="I688" i="26"/>
  <c r="I687" i="26"/>
  <c r="I686" i="26"/>
  <c r="I685" i="26"/>
  <c r="I684" i="26"/>
  <c r="I683" i="26"/>
  <c r="I682" i="26"/>
  <c r="I681" i="26"/>
  <c r="I680" i="26"/>
  <c r="I679" i="26"/>
  <c r="I678" i="26"/>
  <c r="I677" i="26"/>
  <c r="I676" i="26"/>
  <c r="I675" i="26"/>
  <c r="I674" i="26"/>
  <c r="I673" i="26"/>
  <c r="I672" i="26"/>
  <c r="I671" i="26"/>
  <c r="I670" i="26"/>
  <c r="I669" i="26"/>
  <c r="I668" i="26"/>
  <c r="I667" i="26"/>
  <c r="I666" i="26"/>
  <c r="I665" i="26"/>
  <c r="I664" i="26"/>
  <c r="I663" i="26"/>
  <c r="I662" i="26"/>
  <c r="I661" i="26"/>
  <c r="I660" i="26"/>
  <c r="I659" i="26"/>
  <c r="I658" i="26"/>
  <c r="I657" i="26"/>
  <c r="I656" i="26"/>
  <c r="I655" i="26"/>
  <c r="I654" i="26"/>
  <c r="I653" i="26"/>
  <c r="I652" i="26"/>
  <c r="I651" i="26"/>
  <c r="I650" i="26"/>
  <c r="I649" i="26"/>
  <c r="I648" i="26"/>
  <c r="I647" i="26"/>
  <c r="I646" i="26"/>
  <c r="I645" i="26"/>
  <c r="I644" i="26"/>
  <c r="I643" i="26"/>
  <c r="I642" i="26"/>
  <c r="I641" i="26"/>
  <c r="I640" i="26"/>
  <c r="I639" i="26"/>
  <c r="I638" i="26"/>
  <c r="I637" i="26"/>
  <c r="I636" i="26"/>
  <c r="I635" i="26"/>
  <c r="I634" i="26"/>
  <c r="I633" i="26"/>
  <c r="I632" i="26"/>
  <c r="I631" i="26"/>
  <c r="I630" i="26"/>
  <c r="I629" i="26"/>
  <c r="I628" i="26"/>
  <c r="I627" i="26"/>
  <c r="I626" i="26"/>
  <c r="I625" i="26"/>
  <c r="I624" i="26"/>
  <c r="I623" i="26"/>
  <c r="I622" i="26"/>
  <c r="I621" i="26"/>
  <c r="I620" i="26"/>
  <c r="I619" i="26"/>
  <c r="I618" i="26"/>
  <c r="I617" i="26"/>
  <c r="I616" i="26"/>
  <c r="I615" i="26"/>
  <c r="I614" i="26"/>
  <c r="I613" i="26"/>
  <c r="I612" i="26"/>
  <c r="I611" i="26"/>
  <c r="I610" i="26"/>
  <c r="I609" i="26"/>
  <c r="I608" i="26"/>
  <c r="I607" i="26"/>
  <c r="I606" i="26"/>
  <c r="I605" i="26"/>
  <c r="I604" i="26"/>
  <c r="I603" i="26"/>
  <c r="I602" i="26"/>
  <c r="I601" i="26"/>
  <c r="I600" i="26"/>
  <c r="I599" i="26"/>
  <c r="I598" i="26"/>
  <c r="I597" i="26"/>
  <c r="I596" i="26"/>
  <c r="I595" i="26"/>
  <c r="I594" i="26"/>
  <c r="I593" i="26"/>
  <c r="I592" i="26"/>
  <c r="I591" i="26"/>
  <c r="I590" i="26"/>
  <c r="I589" i="26"/>
  <c r="I588" i="26"/>
  <c r="I587" i="26"/>
  <c r="I586" i="26"/>
  <c r="I585" i="26"/>
  <c r="I584" i="26"/>
  <c r="I583" i="26"/>
  <c r="I582" i="26"/>
  <c r="I581" i="26"/>
  <c r="I580" i="26"/>
  <c r="I579" i="26"/>
  <c r="I578" i="26"/>
  <c r="I577" i="26"/>
  <c r="I576" i="26"/>
  <c r="I575" i="26"/>
  <c r="I574" i="26"/>
  <c r="I573" i="26"/>
  <c r="I572" i="26"/>
  <c r="I571" i="26"/>
  <c r="I570" i="26"/>
  <c r="I569" i="26"/>
  <c r="I568" i="26"/>
  <c r="I567" i="26"/>
  <c r="I566" i="26"/>
  <c r="I565" i="26"/>
  <c r="I564" i="26"/>
  <c r="I563" i="26"/>
  <c r="I562" i="26"/>
  <c r="I561" i="26"/>
  <c r="I560" i="26"/>
  <c r="I559" i="26"/>
  <c r="I558" i="26"/>
  <c r="I557" i="26"/>
  <c r="I556" i="26"/>
  <c r="I555" i="26"/>
  <c r="I554" i="26"/>
  <c r="I553" i="26"/>
  <c r="I552" i="26"/>
  <c r="I551" i="26"/>
  <c r="I550" i="26"/>
  <c r="I549" i="26"/>
  <c r="I548" i="26"/>
  <c r="I547" i="26"/>
  <c r="I546" i="26"/>
  <c r="I545" i="26"/>
  <c r="I544" i="26"/>
  <c r="I543" i="26"/>
  <c r="I542" i="26"/>
  <c r="I541" i="26"/>
  <c r="I540" i="26"/>
  <c r="I539" i="26"/>
  <c r="I538" i="26"/>
  <c r="I537" i="26"/>
  <c r="I536" i="26"/>
  <c r="I535" i="26"/>
  <c r="I534" i="26"/>
  <c r="I533" i="26"/>
  <c r="I532" i="26"/>
  <c r="I531" i="26"/>
  <c r="I530" i="26"/>
  <c r="I529" i="26"/>
  <c r="I528" i="26"/>
  <c r="I527" i="26"/>
  <c r="I526" i="26"/>
  <c r="I525" i="26"/>
  <c r="I524" i="26"/>
  <c r="I523" i="26"/>
  <c r="I522" i="26"/>
  <c r="I521" i="26"/>
  <c r="I520" i="26"/>
  <c r="I519" i="26"/>
  <c r="I518" i="26"/>
  <c r="I517" i="26"/>
  <c r="I516" i="26"/>
  <c r="I515" i="26"/>
  <c r="I514" i="26"/>
  <c r="I513" i="26"/>
  <c r="I512" i="26"/>
  <c r="I511" i="26"/>
  <c r="I510" i="26"/>
  <c r="I509" i="26"/>
  <c r="I508" i="26"/>
  <c r="I507" i="26"/>
  <c r="I506" i="26"/>
  <c r="I505" i="26"/>
  <c r="I504" i="26"/>
  <c r="I503" i="26"/>
  <c r="I502" i="26"/>
  <c r="I501" i="26"/>
  <c r="I500" i="26"/>
  <c r="I499" i="26"/>
  <c r="I498" i="26"/>
  <c r="I497" i="26"/>
  <c r="I496" i="26"/>
  <c r="I495" i="26"/>
  <c r="I494" i="26"/>
  <c r="I493" i="26"/>
  <c r="I492" i="26"/>
  <c r="I491" i="26"/>
  <c r="I490" i="26"/>
  <c r="I489" i="26"/>
  <c r="I488" i="26"/>
  <c r="I487" i="26"/>
  <c r="I486" i="26"/>
  <c r="I485" i="26"/>
  <c r="I484" i="26"/>
  <c r="I483" i="26"/>
  <c r="I482" i="26"/>
  <c r="I481" i="26"/>
  <c r="I480" i="26"/>
  <c r="I479" i="26"/>
  <c r="I478" i="26"/>
  <c r="I477" i="26"/>
  <c r="I476" i="26"/>
  <c r="I475" i="26"/>
  <c r="I474" i="26"/>
  <c r="I473" i="26"/>
  <c r="I472" i="26"/>
  <c r="I471" i="26"/>
  <c r="I470" i="26"/>
  <c r="I469" i="26"/>
  <c r="I468" i="26"/>
  <c r="I467" i="26"/>
  <c r="I466" i="26"/>
  <c r="I465" i="26"/>
  <c r="I464" i="26"/>
  <c r="I463" i="26"/>
  <c r="I462" i="26"/>
  <c r="I461" i="26"/>
  <c r="I460" i="26"/>
  <c r="I459" i="26"/>
  <c r="I458" i="26"/>
  <c r="I457" i="26"/>
  <c r="I456" i="26"/>
  <c r="I455" i="26"/>
  <c r="I454" i="26"/>
  <c r="I453" i="26"/>
  <c r="I452" i="26"/>
  <c r="I451" i="26"/>
  <c r="I450" i="26"/>
  <c r="I449" i="26"/>
  <c r="I448" i="26"/>
  <c r="I447" i="26"/>
  <c r="I446" i="26"/>
  <c r="I445" i="26"/>
  <c r="I444" i="26"/>
  <c r="I443" i="26"/>
  <c r="I442" i="26"/>
  <c r="I441" i="26"/>
  <c r="I440" i="26"/>
  <c r="I439" i="26"/>
  <c r="I438" i="26"/>
  <c r="I437" i="26"/>
  <c r="I436" i="26"/>
  <c r="I435" i="26"/>
  <c r="I434" i="26"/>
  <c r="I433" i="26"/>
  <c r="I432" i="26"/>
  <c r="I431" i="26"/>
  <c r="I430" i="26"/>
  <c r="I429" i="26"/>
  <c r="I428" i="26"/>
  <c r="I427" i="26"/>
  <c r="I426" i="26"/>
  <c r="I425" i="26"/>
  <c r="I424" i="26"/>
  <c r="I423" i="26"/>
  <c r="I422" i="26"/>
  <c r="I421" i="26"/>
  <c r="I420" i="26"/>
  <c r="I419" i="26"/>
  <c r="I418" i="26"/>
  <c r="I417" i="26"/>
  <c r="I416" i="26"/>
  <c r="I415" i="26"/>
  <c r="I414" i="26"/>
  <c r="I413" i="26"/>
  <c r="I412" i="26"/>
  <c r="I411" i="26"/>
  <c r="I410" i="26"/>
  <c r="I409" i="26"/>
  <c r="I408" i="26"/>
  <c r="I407" i="26"/>
  <c r="I406" i="26"/>
  <c r="I405" i="26"/>
  <c r="I404" i="26"/>
  <c r="I403" i="26"/>
  <c r="I402" i="26"/>
  <c r="I401" i="26"/>
  <c r="I400" i="26"/>
  <c r="I399" i="26"/>
  <c r="I398" i="26"/>
  <c r="I397" i="26"/>
  <c r="I396" i="26"/>
  <c r="I395" i="26"/>
  <c r="I394" i="26"/>
  <c r="I393" i="26"/>
  <c r="I392" i="26"/>
  <c r="I391" i="26"/>
  <c r="I390" i="26"/>
  <c r="I389" i="26"/>
  <c r="I388" i="26"/>
  <c r="I387" i="26"/>
  <c r="I386" i="26"/>
  <c r="I385" i="26"/>
  <c r="I384" i="26"/>
  <c r="I383" i="26"/>
  <c r="I382" i="26"/>
  <c r="I381" i="26"/>
  <c r="I380" i="26"/>
  <c r="I379" i="26"/>
  <c r="I378" i="26"/>
  <c r="I377" i="26"/>
  <c r="I376" i="26"/>
  <c r="I375" i="26"/>
  <c r="I374" i="26"/>
  <c r="I373" i="26"/>
  <c r="I372" i="26"/>
  <c r="I371" i="26"/>
  <c r="I370" i="26"/>
  <c r="I369" i="26"/>
  <c r="I368" i="26"/>
  <c r="I367" i="26"/>
  <c r="I366" i="26"/>
  <c r="I365" i="26"/>
  <c r="I364" i="26"/>
  <c r="I363" i="26"/>
  <c r="I362" i="26"/>
  <c r="I361" i="26"/>
  <c r="I360" i="26"/>
  <c r="I359" i="26"/>
  <c r="I358" i="26"/>
  <c r="I357" i="26"/>
  <c r="I356" i="26"/>
  <c r="I355" i="26"/>
  <c r="I354" i="26"/>
  <c r="I353" i="26"/>
  <c r="I352" i="26"/>
  <c r="I351" i="26"/>
  <c r="I350" i="26"/>
  <c r="I349" i="26"/>
  <c r="I348" i="26"/>
  <c r="I347" i="26"/>
  <c r="I346" i="26"/>
  <c r="I345" i="26"/>
  <c r="I344" i="26"/>
  <c r="I343" i="26"/>
  <c r="I342" i="26"/>
  <c r="I341" i="26"/>
  <c r="I340" i="26"/>
  <c r="I339" i="26"/>
  <c r="I338" i="26"/>
  <c r="I337" i="26"/>
  <c r="I336" i="26"/>
  <c r="I335" i="26"/>
  <c r="I334" i="26"/>
  <c r="I333" i="26"/>
  <c r="I332" i="26"/>
  <c r="I331" i="26"/>
  <c r="I330" i="26"/>
  <c r="I329" i="26"/>
  <c r="I328" i="26"/>
  <c r="I327" i="26"/>
  <c r="I326" i="26"/>
  <c r="I325" i="26"/>
  <c r="I324" i="26"/>
  <c r="I323" i="26"/>
  <c r="I322" i="26"/>
  <c r="I321" i="26"/>
  <c r="I320" i="26"/>
  <c r="I319" i="26"/>
  <c r="I318" i="26"/>
  <c r="I317" i="26"/>
  <c r="I316" i="26"/>
  <c r="I315" i="26"/>
  <c r="I314" i="26"/>
  <c r="I313" i="26"/>
  <c r="I312" i="26"/>
  <c r="I311" i="26"/>
  <c r="I310" i="26"/>
  <c r="I309" i="26"/>
  <c r="I308" i="26"/>
  <c r="I307" i="26"/>
  <c r="I306" i="26"/>
  <c r="I305" i="26"/>
  <c r="I304" i="26"/>
  <c r="I303" i="26"/>
  <c r="I302" i="26"/>
  <c r="I301" i="26"/>
  <c r="I300" i="26"/>
  <c r="I299" i="26"/>
  <c r="I298" i="26"/>
  <c r="I297" i="26"/>
  <c r="I296" i="26"/>
  <c r="I295" i="26"/>
  <c r="I294" i="26"/>
  <c r="I293" i="26"/>
  <c r="I292" i="26"/>
  <c r="I291" i="26"/>
  <c r="I290" i="26"/>
  <c r="I289" i="26"/>
  <c r="I288" i="26"/>
  <c r="I287" i="26"/>
  <c r="I286" i="26"/>
  <c r="I285" i="26"/>
  <c r="I284" i="26"/>
  <c r="I283" i="26"/>
  <c r="I282" i="26"/>
  <c r="I281" i="26"/>
  <c r="I280" i="26"/>
  <c r="I279" i="26"/>
  <c r="I278" i="26"/>
  <c r="I277" i="26"/>
  <c r="I276" i="26"/>
  <c r="I275" i="26"/>
  <c r="I274" i="26"/>
  <c r="I273" i="26"/>
  <c r="I272" i="26"/>
  <c r="I271" i="26"/>
  <c r="I270" i="26"/>
  <c r="I269" i="26"/>
  <c r="I268" i="26"/>
  <c r="I267" i="26"/>
  <c r="I266" i="26"/>
  <c r="I265" i="26"/>
  <c r="I264" i="26"/>
  <c r="I263" i="26"/>
  <c r="I262" i="26"/>
  <c r="I261" i="26"/>
  <c r="I260" i="26"/>
  <c r="I259" i="26"/>
  <c r="I258" i="26"/>
  <c r="I257" i="26"/>
  <c r="I256" i="26"/>
  <c r="I255" i="26"/>
  <c r="I254" i="26"/>
  <c r="I253" i="26"/>
  <c r="I252" i="26"/>
  <c r="I251" i="26"/>
  <c r="I250" i="26"/>
  <c r="I249" i="26"/>
  <c r="I248" i="26"/>
  <c r="I247" i="26"/>
  <c r="I246" i="26"/>
  <c r="I245" i="26"/>
  <c r="I244" i="26"/>
  <c r="I243" i="26"/>
  <c r="I242" i="26"/>
  <c r="I241" i="26"/>
  <c r="I240" i="26"/>
  <c r="I239" i="26"/>
  <c r="I238" i="26"/>
  <c r="I237" i="26"/>
  <c r="I236" i="26"/>
  <c r="I235" i="26"/>
  <c r="I234" i="26"/>
  <c r="I233" i="26"/>
  <c r="I232" i="26"/>
  <c r="I231" i="26"/>
  <c r="I230" i="26"/>
  <c r="I229" i="26"/>
  <c r="I228" i="26"/>
  <c r="I227" i="26"/>
  <c r="I226" i="26"/>
  <c r="I225" i="26"/>
  <c r="I224" i="26"/>
  <c r="I223" i="26"/>
  <c r="I222" i="26"/>
  <c r="I221" i="26"/>
  <c r="I220" i="26"/>
  <c r="I219" i="26"/>
  <c r="I218" i="26"/>
  <c r="I217" i="26"/>
  <c r="I216" i="26"/>
  <c r="I215" i="26"/>
  <c r="I214" i="26"/>
  <c r="I213" i="26"/>
  <c r="I212" i="26"/>
  <c r="I211" i="26"/>
  <c r="I210" i="26"/>
  <c r="I209" i="26"/>
  <c r="I208" i="26"/>
  <c r="I207" i="26"/>
  <c r="I206" i="26"/>
  <c r="I205" i="26"/>
  <c r="I204" i="26"/>
  <c r="I203" i="26"/>
  <c r="I202" i="26"/>
  <c r="I201" i="26"/>
  <c r="I200" i="26"/>
  <c r="I199" i="26"/>
  <c r="I198" i="26"/>
  <c r="I197" i="26"/>
  <c r="I196" i="26"/>
  <c r="I195" i="26"/>
  <c r="I194" i="26"/>
  <c r="I193" i="26"/>
  <c r="I192" i="26"/>
  <c r="I191" i="26"/>
  <c r="I190" i="26"/>
  <c r="I189" i="26"/>
  <c r="I188" i="26"/>
  <c r="I187" i="26"/>
  <c r="I186" i="26"/>
  <c r="I185" i="26"/>
  <c r="I184" i="26"/>
  <c r="I183" i="26"/>
  <c r="I182" i="26"/>
  <c r="I181" i="26"/>
  <c r="I180" i="26"/>
  <c r="I179" i="26"/>
  <c r="I178" i="26"/>
  <c r="I177" i="26"/>
  <c r="I176" i="26"/>
  <c r="I175" i="26"/>
  <c r="I174" i="26"/>
  <c r="I173" i="26"/>
  <c r="I172" i="26"/>
  <c r="I171" i="26"/>
  <c r="I170" i="26"/>
  <c r="I169" i="26"/>
  <c r="I168" i="26"/>
  <c r="I167" i="26"/>
  <c r="I166" i="26"/>
  <c r="I165" i="26"/>
  <c r="I164" i="26"/>
  <c r="I163" i="26"/>
  <c r="I162" i="26"/>
  <c r="I161" i="26"/>
  <c r="I160" i="26"/>
  <c r="I159" i="26"/>
  <c r="I158" i="26"/>
  <c r="I157" i="26"/>
  <c r="I156" i="26"/>
  <c r="I155" i="26"/>
  <c r="I154" i="26"/>
  <c r="I153" i="26"/>
  <c r="I152" i="26"/>
  <c r="I151" i="26"/>
  <c r="I150" i="26"/>
  <c r="I149" i="26"/>
  <c r="I148" i="26"/>
  <c r="I147" i="26"/>
  <c r="I146" i="26"/>
  <c r="I145" i="26"/>
  <c r="I144" i="26"/>
  <c r="I143" i="26"/>
  <c r="I142" i="26"/>
  <c r="I141" i="26"/>
  <c r="I140" i="26"/>
  <c r="I139" i="26"/>
  <c r="I138" i="26"/>
  <c r="I137" i="26"/>
  <c r="I136" i="26"/>
  <c r="I135" i="26"/>
  <c r="I134" i="26"/>
  <c r="I133" i="26"/>
  <c r="I132" i="26"/>
  <c r="I131" i="26"/>
  <c r="I130" i="26"/>
  <c r="I129" i="26"/>
  <c r="I128" i="26"/>
  <c r="I127" i="26"/>
  <c r="I126" i="26"/>
  <c r="I125" i="26"/>
  <c r="I124" i="26"/>
  <c r="I123" i="26"/>
  <c r="I122" i="26"/>
  <c r="I121" i="26"/>
  <c r="I120" i="26"/>
  <c r="I119" i="26"/>
  <c r="I118" i="26"/>
  <c r="I117" i="26"/>
  <c r="I116" i="26"/>
  <c r="I115" i="26"/>
  <c r="I114" i="26"/>
  <c r="I113" i="26"/>
  <c r="I112" i="26"/>
  <c r="I111" i="26"/>
  <c r="I110" i="26"/>
  <c r="I109" i="26"/>
  <c r="I108" i="26"/>
  <c r="I107" i="26"/>
  <c r="I106" i="26"/>
  <c r="I105" i="26"/>
  <c r="I104" i="26"/>
  <c r="I103" i="26"/>
  <c r="I102" i="26"/>
  <c r="I101" i="26"/>
  <c r="I100" i="26"/>
  <c r="I99" i="26"/>
  <c r="I98" i="26"/>
  <c r="I97" i="26"/>
  <c r="I96" i="26"/>
  <c r="I95" i="26"/>
  <c r="I94" i="26"/>
  <c r="I93" i="26"/>
  <c r="I92" i="26"/>
  <c r="I91" i="26"/>
  <c r="I90" i="26"/>
  <c r="I89" i="26"/>
  <c r="I88" i="26"/>
  <c r="I87" i="26"/>
  <c r="I86" i="26"/>
  <c r="I85" i="26"/>
  <c r="I84" i="26"/>
  <c r="I83" i="26"/>
  <c r="I82" i="26"/>
  <c r="I81" i="26"/>
  <c r="I80" i="26"/>
  <c r="I79" i="26"/>
  <c r="I78" i="26"/>
  <c r="I77" i="26"/>
  <c r="I76" i="26"/>
  <c r="I75" i="26"/>
  <c r="I74" i="26"/>
  <c r="I73" i="26"/>
  <c r="I72" i="26"/>
  <c r="I71" i="26"/>
  <c r="I70" i="26"/>
  <c r="I69" i="26"/>
  <c r="I68" i="26"/>
  <c r="I67" i="26"/>
  <c r="I66" i="26"/>
  <c r="I65" i="26"/>
  <c r="I64" i="26"/>
  <c r="I63" i="26"/>
  <c r="I62" i="26"/>
  <c r="I61" i="26"/>
  <c r="I60" i="26"/>
  <c r="I59" i="26"/>
  <c r="I58" i="26"/>
  <c r="I57" i="26"/>
  <c r="I56" i="26"/>
  <c r="I55" i="26"/>
  <c r="I54" i="26"/>
  <c r="I53" i="26"/>
  <c r="I52" i="26"/>
  <c r="I51" i="26"/>
  <c r="I50" i="26"/>
  <c r="I49" i="26"/>
  <c r="I48" i="26"/>
  <c r="I47" i="26"/>
  <c r="I46" i="26"/>
  <c r="I45" i="26"/>
  <c r="I44" i="26"/>
  <c r="I43" i="26"/>
  <c r="I42" i="26"/>
  <c r="I41" i="26"/>
  <c r="I40" i="26"/>
  <c r="I39" i="26"/>
  <c r="I38" i="26"/>
  <c r="I37" i="26"/>
  <c r="I36" i="26"/>
  <c r="I35" i="26"/>
  <c r="I34" i="26"/>
  <c r="I33" i="26"/>
  <c r="I32" i="26"/>
  <c r="I31" i="26"/>
  <c r="I30" i="26"/>
  <c r="I29" i="26"/>
  <c r="I28" i="26"/>
  <c r="I27" i="26"/>
  <c r="I26" i="26"/>
  <c r="I25" i="26"/>
  <c r="I24" i="26"/>
  <c r="I23" i="26"/>
  <c r="I22" i="26"/>
  <c r="I21" i="26"/>
  <c r="I20" i="26"/>
  <c r="I19" i="26"/>
  <c r="I18" i="26"/>
  <c r="I17" i="26"/>
  <c r="C1273" i="26"/>
  <c r="C1272" i="26"/>
  <c r="C1271" i="26"/>
  <c r="C1270" i="26"/>
  <c r="C1269" i="26"/>
  <c r="C1268" i="26"/>
  <c r="C1267" i="26"/>
  <c r="C1266" i="26"/>
  <c r="C1265" i="26"/>
  <c r="C1264" i="26"/>
  <c r="C1263" i="26"/>
  <c r="C1262" i="26"/>
  <c r="C1261" i="26"/>
  <c r="C1260" i="26"/>
  <c r="C1259" i="26"/>
  <c r="C1258" i="26"/>
  <c r="C1257" i="26"/>
  <c r="C1256" i="26"/>
  <c r="C1255" i="26"/>
  <c r="C1254" i="26"/>
  <c r="C1253" i="26"/>
  <c r="C1252" i="26"/>
  <c r="C1251" i="26"/>
  <c r="C1250" i="26"/>
  <c r="C1249" i="26"/>
  <c r="C1248" i="26"/>
  <c r="C1247" i="26"/>
  <c r="C1246" i="26"/>
  <c r="C1245" i="26"/>
  <c r="C1244" i="26"/>
  <c r="C1243" i="26"/>
  <c r="C1242" i="26"/>
  <c r="C1241" i="26"/>
  <c r="C1240" i="26"/>
  <c r="C1239" i="26"/>
  <c r="C1238" i="26"/>
  <c r="C1237" i="26"/>
  <c r="C1236" i="26"/>
  <c r="C1235" i="26"/>
  <c r="C1234" i="26"/>
  <c r="C1233" i="26"/>
  <c r="C1232" i="26"/>
  <c r="C1231" i="26"/>
  <c r="C1230" i="26"/>
  <c r="C1229" i="26"/>
  <c r="C1228" i="26"/>
  <c r="C1227" i="26"/>
  <c r="C1226" i="26"/>
  <c r="C1225" i="26"/>
  <c r="C1224" i="26"/>
  <c r="C1223" i="26"/>
  <c r="C1222" i="26"/>
  <c r="C1221" i="26"/>
  <c r="C1220" i="26"/>
  <c r="C1219" i="26"/>
  <c r="C1218" i="26"/>
  <c r="C1217" i="26"/>
  <c r="C1216" i="26"/>
  <c r="C1215" i="26"/>
  <c r="C1214" i="26"/>
  <c r="C1213" i="26"/>
  <c r="C1212" i="26"/>
  <c r="C1211" i="26"/>
  <c r="C1210" i="26"/>
  <c r="C1209" i="26"/>
  <c r="C1208" i="26"/>
  <c r="C1207" i="26"/>
  <c r="C1206" i="26"/>
  <c r="C1205" i="26"/>
  <c r="C1204" i="26"/>
  <c r="C1203" i="26"/>
  <c r="C1202" i="26"/>
  <c r="C1201" i="26"/>
  <c r="C1200" i="26"/>
  <c r="C1199" i="26"/>
  <c r="C1198" i="26"/>
  <c r="C1197" i="26"/>
  <c r="C1196" i="26"/>
  <c r="C1195" i="26"/>
  <c r="C1194" i="26"/>
  <c r="C1193" i="26"/>
  <c r="C1192" i="26"/>
  <c r="C1191" i="26"/>
  <c r="C1190" i="26"/>
  <c r="C1189" i="26"/>
  <c r="C1188" i="26"/>
  <c r="C1187" i="26"/>
  <c r="C1186" i="26"/>
  <c r="C1185" i="26"/>
  <c r="C1184" i="26"/>
  <c r="C1183" i="26"/>
  <c r="C1182" i="26"/>
  <c r="C1181" i="26"/>
  <c r="C1180" i="26"/>
  <c r="C1179" i="26"/>
  <c r="C1178" i="26"/>
  <c r="C1177" i="26"/>
  <c r="C1176" i="26"/>
  <c r="C1175" i="26"/>
  <c r="C1174" i="26"/>
  <c r="C1173" i="26"/>
  <c r="C1172" i="26"/>
  <c r="C1171" i="26"/>
  <c r="C1170" i="26"/>
  <c r="C1169" i="26"/>
  <c r="C1168" i="26"/>
  <c r="C1167" i="26"/>
  <c r="C1166" i="26"/>
  <c r="C1165" i="26"/>
  <c r="C1164" i="26"/>
  <c r="C1163" i="26"/>
  <c r="C1162" i="26"/>
  <c r="C1161" i="26"/>
  <c r="C1160" i="26"/>
  <c r="C1159" i="26"/>
  <c r="C1158" i="26"/>
  <c r="C1157" i="26"/>
  <c r="C1156" i="26"/>
  <c r="C1155" i="26"/>
  <c r="C1154" i="26"/>
  <c r="C1153" i="26"/>
  <c r="C1152" i="26"/>
  <c r="C1151" i="26"/>
  <c r="C1150" i="26"/>
  <c r="C1149" i="26"/>
  <c r="C1148" i="26"/>
  <c r="C1147" i="26"/>
  <c r="C1146" i="26"/>
  <c r="C1145" i="26"/>
  <c r="C1144" i="26"/>
  <c r="C1143" i="26"/>
  <c r="C1142" i="26"/>
  <c r="C1141" i="26"/>
  <c r="C1140" i="26"/>
  <c r="C1139" i="26"/>
  <c r="C1138" i="26"/>
  <c r="C1137" i="26"/>
  <c r="C1136" i="26"/>
  <c r="C1135" i="26"/>
  <c r="C1134" i="26"/>
  <c r="C1133" i="26"/>
  <c r="C1132" i="26"/>
  <c r="C1131" i="26"/>
  <c r="C1130" i="26"/>
  <c r="C1129" i="26"/>
  <c r="C1128" i="26"/>
  <c r="C1127" i="26"/>
  <c r="C1126" i="26"/>
  <c r="C1125" i="26"/>
  <c r="C1124" i="26"/>
  <c r="C1123" i="26"/>
  <c r="C1122" i="26"/>
  <c r="C1121" i="26"/>
  <c r="C1120" i="26"/>
  <c r="C1119" i="26"/>
  <c r="C1118" i="26"/>
  <c r="C1117" i="26"/>
  <c r="C1116" i="26"/>
  <c r="C1115" i="26"/>
  <c r="C1114" i="26"/>
  <c r="C1113" i="26"/>
  <c r="C1112" i="26"/>
  <c r="C1111" i="26"/>
  <c r="C1110" i="26"/>
  <c r="C1109" i="26"/>
  <c r="C1108" i="26"/>
  <c r="C1107" i="26"/>
  <c r="C1106" i="26"/>
  <c r="C1105" i="26"/>
  <c r="C1104" i="26"/>
  <c r="C1103" i="26"/>
  <c r="C1102" i="26"/>
  <c r="C1101" i="26"/>
  <c r="C1100" i="26"/>
  <c r="C1099" i="26"/>
  <c r="C1098" i="26"/>
  <c r="C1097" i="26"/>
  <c r="C1096" i="26"/>
  <c r="C1095" i="26"/>
  <c r="C1094" i="26"/>
  <c r="C1093" i="26"/>
  <c r="C1092" i="26"/>
  <c r="C1091" i="26"/>
  <c r="C1090" i="26"/>
  <c r="C1089" i="26"/>
  <c r="C1088" i="26"/>
  <c r="C1087" i="26"/>
  <c r="C1086" i="26"/>
  <c r="C1085" i="26"/>
  <c r="C1084" i="26"/>
  <c r="C1083" i="26"/>
  <c r="C1082" i="26"/>
  <c r="C1081" i="26"/>
  <c r="C1080" i="26"/>
  <c r="C1079" i="26"/>
  <c r="C1078" i="26"/>
  <c r="C1077" i="26"/>
  <c r="C1076" i="26"/>
  <c r="C1075" i="26"/>
  <c r="C1074" i="26"/>
  <c r="C1073" i="26"/>
  <c r="C1072" i="26"/>
  <c r="C1071" i="26"/>
  <c r="C1070" i="26"/>
  <c r="C1069" i="26"/>
  <c r="C1068" i="26"/>
  <c r="C1067" i="26"/>
  <c r="C1066" i="26"/>
  <c r="C1065" i="26"/>
  <c r="C1064" i="26"/>
  <c r="C1063" i="26"/>
  <c r="C1062" i="26"/>
  <c r="C1061" i="26"/>
  <c r="C1060" i="26"/>
  <c r="C1059" i="26"/>
  <c r="C1058" i="26"/>
  <c r="C1057" i="26"/>
  <c r="C1056" i="26"/>
  <c r="C1055" i="26"/>
  <c r="C1054" i="26"/>
  <c r="C1053" i="26"/>
  <c r="C1052" i="26"/>
  <c r="C1051" i="26"/>
  <c r="C1050" i="26"/>
  <c r="C1049" i="26"/>
  <c r="C1048" i="26"/>
  <c r="C1047" i="26"/>
  <c r="C1046" i="26"/>
  <c r="C1045" i="26"/>
  <c r="C1044" i="26"/>
  <c r="C1043" i="26"/>
  <c r="C1042" i="26"/>
  <c r="C1041" i="26"/>
  <c r="C1040" i="26"/>
  <c r="C1039" i="26"/>
  <c r="C1038" i="26"/>
  <c r="C1037" i="26"/>
  <c r="C1036" i="26"/>
  <c r="C1035" i="26"/>
  <c r="C1034" i="26"/>
  <c r="C1033" i="26"/>
  <c r="C1032" i="26"/>
  <c r="C1031" i="26"/>
  <c r="C1030" i="26"/>
  <c r="C1029" i="26"/>
  <c r="C1028" i="26"/>
  <c r="C1027" i="26"/>
  <c r="C1026" i="26"/>
  <c r="C1025" i="26"/>
  <c r="C1024" i="26"/>
  <c r="C1023" i="26"/>
  <c r="C1022" i="26"/>
  <c r="C1021" i="26"/>
  <c r="C1020" i="26"/>
  <c r="C1019" i="26"/>
  <c r="C1018" i="26"/>
  <c r="C1017" i="26"/>
  <c r="C1016" i="26"/>
  <c r="C1015" i="26"/>
  <c r="C1014" i="26"/>
  <c r="C1013" i="26"/>
  <c r="C1012" i="26"/>
  <c r="C1011" i="26"/>
  <c r="C1010" i="26"/>
  <c r="C1009" i="26"/>
  <c r="C1008" i="26"/>
  <c r="C1007" i="26"/>
  <c r="C1006" i="26"/>
  <c r="C1005" i="26"/>
  <c r="C1004" i="26"/>
  <c r="C1003" i="26"/>
  <c r="C1002" i="26"/>
  <c r="C1001" i="26"/>
  <c r="C1000" i="26"/>
  <c r="C999" i="26"/>
  <c r="C998" i="26"/>
  <c r="C997" i="26"/>
  <c r="C996" i="26"/>
  <c r="C995" i="26"/>
  <c r="C994" i="26"/>
  <c r="C993" i="26"/>
  <c r="C992" i="26"/>
  <c r="C991" i="26"/>
  <c r="C990" i="26"/>
  <c r="C989" i="26"/>
  <c r="C988" i="26"/>
  <c r="C987" i="26"/>
  <c r="C986" i="26"/>
  <c r="C985" i="26"/>
  <c r="C984" i="26"/>
  <c r="C983" i="26"/>
  <c r="C982" i="26"/>
  <c r="C981" i="26"/>
  <c r="C980" i="26"/>
  <c r="C979" i="26"/>
  <c r="C978" i="26"/>
  <c r="C977" i="26"/>
  <c r="C976" i="26"/>
  <c r="C975" i="26"/>
  <c r="C974" i="26"/>
  <c r="C973" i="26"/>
  <c r="C972" i="26"/>
  <c r="C971" i="26"/>
  <c r="C970" i="26"/>
  <c r="C969" i="26"/>
  <c r="C968" i="26"/>
  <c r="C967" i="26"/>
  <c r="C966" i="26"/>
  <c r="C965" i="26"/>
  <c r="C964" i="26"/>
  <c r="C963" i="26"/>
  <c r="C962" i="26"/>
  <c r="C961" i="26"/>
  <c r="C960" i="26"/>
  <c r="C959" i="26"/>
  <c r="C958" i="26"/>
  <c r="C957" i="26"/>
  <c r="C956" i="26"/>
  <c r="C955" i="26"/>
  <c r="C954" i="26"/>
  <c r="C953" i="26"/>
  <c r="C952" i="26"/>
  <c r="C951" i="26"/>
  <c r="C950" i="26"/>
  <c r="C949" i="26"/>
  <c r="C948" i="26"/>
  <c r="C947" i="26"/>
  <c r="C946" i="26"/>
  <c r="C945" i="26"/>
  <c r="C944" i="26"/>
  <c r="C943" i="26"/>
  <c r="C942" i="26"/>
  <c r="C941" i="26"/>
  <c r="C940" i="26"/>
  <c r="C939" i="26"/>
  <c r="C938" i="26"/>
  <c r="C937" i="26"/>
  <c r="C936" i="26"/>
  <c r="C935" i="26"/>
  <c r="C934" i="26"/>
  <c r="C933" i="26"/>
  <c r="C932" i="26"/>
  <c r="C931" i="26"/>
  <c r="C930" i="26"/>
  <c r="C929" i="26"/>
  <c r="C928" i="26"/>
  <c r="C927" i="26"/>
  <c r="C926" i="26"/>
  <c r="C925" i="26"/>
  <c r="C924" i="26"/>
  <c r="C923" i="26"/>
  <c r="C922" i="26"/>
  <c r="C921" i="26"/>
  <c r="C920" i="26"/>
  <c r="C919" i="26"/>
  <c r="C918" i="26"/>
  <c r="C917" i="26"/>
  <c r="C916" i="26"/>
  <c r="C915" i="26"/>
  <c r="C914" i="26"/>
  <c r="C913" i="26"/>
  <c r="C912" i="26"/>
  <c r="C911" i="26"/>
  <c r="C910" i="26"/>
  <c r="C909" i="26"/>
  <c r="C908" i="26"/>
  <c r="C907" i="26"/>
  <c r="C906" i="26"/>
  <c r="C905" i="26"/>
  <c r="C904" i="26"/>
  <c r="C903" i="26"/>
  <c r="C902" i="26"/>
  <c r="C901" i="26"/>
  <c r="C900" i="26"/>
  <c r="C899" i="26"/>
  <c r="C898" i="26"/>
  <c r="C897" i="26"/>
  <c r="C896" i="26"/>
  <c r="C895" i="26"/>
  <c r="C894" i="26"/>
  <c r="C893" i="26"/>
  <c r="C892" i="26"/>
  <c r="C891" i="26"/>
  <c r="C890" i="26"/>
  <c r="C889" i="26"/>
  <c r="C888" i="26"/>
  <c r="C887" i="26"/>
  <c r="C886" i="26"/>
  <c r="C885" i="26"/>
  <c r="C884" i="26"/>
  <c r="C883" i="26"/>
  <c r="C882" i="26"/>
  <c r="C881" i="26"/>
  <c r="C880" i="26"/>
  <c r="C879" i="26"/>
  <c r="C878" i="26"/>
  <c r="C877" i="26"/>
  <c r="C876" i="26"/>
  <c r="C875" i="26"/>
  <c r="C874" i="26"/>
  <c r="C873" i="26"/>
  <c r="C872" i="26"/>
  <c r="C871" i="26"/>
  <c r="C870" i="26"/>
  <c r="C869" i="26"/>
  <c r="C868" i="26"/>
  <c r="C867" i="26"/>
  <c r="C866" i="26"/>
  <c r="C865" i="26"/>
  <c r="C864" i="26"/>
  <c r="C863" i="26"/>
  <c r="C862" i="26"/>
  <c r="C861" i="26"/>
  <c r="C860" i="26"/>
  <c r="C859" i="26"/>
  <c r="C858" i="26"/>
  <c r="C857" i="26"/>
  <c r="C856" i="26"/>
  <c r="C855" i="26"/>
  <c r="C854" i="26"/>
  <c r="C853" i="26"/>
  <c r="C852" i="26"/>
  <c r="C851" i="26"/>
  <c r="C850" i="26"/>
  <c r="C849" i="26"/>
  <c r="C848" i="26"/>
  <c r="C847" i="26"/>
  <c r="C846" i="26"/>
  <c r="C845" i="26"/>
  <c r="C844" i="26"/>
  <c r="C843" i="26"/>
  <c r="C842" i="26"/>
  <c r="C841" i="26"/>
  <c r="C840" i="26"/>
  <c r="C839" i="26"/>
  <c r="C838" i="26"/>
  <c r="C837" i="26"/>
  <c r="C836" i="26"/>
  <c r="C835" i="26"/>
  <c r="C834" i="26"/>
  <c r="C833" i="26"/>
  <c r="C832" i="26"/>
  <c r="C831" i="26"/>
  <c r="C830" i="26"/>
  <c r="C829" i="26"/>
  <c r="C828" i="26"/>
  <c r="C827" i="26"/>
  <c r="C826" i="26"/>
  <c r="C825" i="26"/>
  <c r="C824" i="26"/>
  <c r="C823" i="26"/>
  <c r="C822" i="26"/>
  <c r="C821" i="26"/>
  <c r="C820" i="26"/>
  <c r="C819" i="26"/>
  <c r="C818" i="26"/>
  <c r="C817" i="26"/>
  <c r="C816" i="26"/>
  <c r="C815" i="26"/>
  <c r="C814" i="26"/>
  <c r="C813" i="26"/>
  <c r="C812" i="26"/>
  <c r="C811" i="26"/>
  <c r="C810" i="26"/>
  <c r="C809" i="26"/>
  <c r="C808" i="26"/>
  <c r="C807" i="26"/>
  <c r="C806" i="26"/>
  <c r="C805" i="26"/>
  <c r="C804" i="26"/>
  <c r="C803" i="26"/>
  <c r="C802" i="26"/>
  <c r="C801" i="26"/>
  <c r="C800" i="26"/>
  <c r="C799" i="26"/>
  <c r="C798" i="26"/>
  <c r="C797" i="26"/>
  <c r="C796" i="26"/>
  <c r="C795" i="26"/>
  <c r="C794" i="26"/>
  <c r="C793" i="26"/>
  <c r="C792" i="26"/>
  <c r="C791" i="26"/>
  <c r="C790" i="26"/>
  <c r="C789" i="26"/>
  <c r="C788" i="26"/>
  <c r="C787" i="26"/>
  <c r="C786" i="26"/>
  <c r="C785" i="26"/>
  <c r="C784" i="26"/>
  <c r="C783" i="26"/>
  <c r="C782" i="26"/>
  <c r="C781" i="26"/>
  <c r="C780" i="26"/>
  <c r="C779" i="26"/>
  <c r="C778" i="26"/>
  <c r="C777" i="26"/>
  <c r="C776" i="26"/>
  <c r="C775" i="26"/>
  <c r="C774" i="26"/>
  <c r="C773" i="26"/>
  <c r="C772" i="26"/>
  <c r="C771" i="26"/>
  <c r="C770" i="26"/>
  <c r="C769" i="26"/>
  <c r="C768" i="26"/>
  <c r="C767" i="26"/>
  <c r="C766" i="26"/>
  <c r="C765" i="26"/>
  <c r="C764" i="26"/>
  <c r="C763" i="26"/>
  <c r="C762" i="26"/>
  <c r="C761" i="26"/>
  <c r="C760" i="26"/>
  <c r="C759" i="26"/>
  <c r="C758" i="26"/>
  <c r="C757" i="26"/>
  <c r="C756" i="26"/>
  <c r="C755" i="26"/>
  <c r="C754" i="26"/>
  <c r="C753" i="26"/>
  <c r="C752" i="26"/>
  <c r="C751" i="26"/>
  <c r="C750" i="26"/>
  <c r="C749" i="26"/>
  <c r="C748" i="26"/>
  <c r="C747" i="26"/>
  <c r="C746" i="26"/>
  <c r="C745" i="26"/>
  <c r="C744" i="26"/>
  <c r="C743" i="26"/>
  <c r="C742" i="26"/>
  <c r="C741" i="26"/>
  <c r="C740" i="26"/>
  <c r="C739" i="26"/>
  <c r="C738" i="26"/>
  <c r="C737" i="26"/>
  <c r="C736" i="26"/>
  <c r="C735" i="26"/>
  <c r="C734" i="26"/>
  <c r="C733" i="26"/>
  <c r="C732" i="26"/>
  <c r="C731" i="26"/>
  <c r="C730" i="26"/>
  <c r="C729" i="26"/>
  <c r="C728" i="26"/>
  <c r="C727" i="26"/>
  <c r="C726" i="26"/>
  <c r="C725" i="26"/>
  <c r="C724" i="26"/>
  <c r="C723" i="26"/>
  <c r="C722" i="26"/>
  <c r="C721" i="26"/>
  <c r="C720" i="26"/>
  <c r="C719" i="26"/>
  <c r="C718" i="26"/>
  <c r="C717" i="26"/>
  <c r="C716" i="26"/>
  <c r="C715" i="26"/>
  <c r="C714" i="26"/>
  <c r="C713" i="26"/>
  <c r="C712" i="26"/>
  <c r="C711" i="26"/>
  <c r="C710" i="26"/>
  <c r="C709" i="26"/>
  <c r="C708" i="26"/>
  <c r="C707" i="26"/>
  <c r="C706" i="26"/>
  <c r="C705" i="26"/>
  <c r="C704" i="26"/>
  <c r="C703" i="26"/>
  <c r="C702" i="26"/>
  <c r="C701" i="26"/>
  <c r="C700" i="26"/>
  <c r="C699" i="26"/>
  <c r="C698" i="26"/>
  <c r="C697" i="26"/>
  <c r="C696" i="26"/>
  <c r="C695" i="26"/>
  <c r="C694" i="26"/>
  <c r="C693" i="26"/>
  <c r="C692" i="26"/>
  <c r="C691" i="26"/>
  <c r="C690" i="26"/>
  <c r="C689" i="26"/>
  <c r="C688" i="26"/>
  <c r="C687" i="26"/>
  <c r="C686" i="26"/>
  <c r="C685" i="26"/>
  <c r="C684" i="26"/>
  <c r="C683" i="26"/>
  <c r="C682" i="26"/>
  <c r="C681" i="26"/>
  <c r="C680" i="26"/>
  <c r="C679" i="26"/>
  <c r="C678" i="26"/>
  <c r="C677" i="26"/>
  <c r="C676" i="26"/>
  <c r="C675" i="26"/>
  <c r="C674" i="26"/>
  <c r="C673" i="26"/>
  <c r="C672" i="26"/>
  <c r="C671" i="26"/>
  <c r="C670" i="26"/>
  <c r="C669" i="26"/>
  <c r="C668" i="26"/>
  <c r="C667" i="26"/>
  <c r="C666" i="26"/>
  <c r="C665" i="26"/>
  <c r="C664" i="26"/>
  <c r="C663" i="26"/>
  <c r="C662" i="26"/>
  <c r="C661" i="26"/>
  <c r="C660" i="26"/>
  <c r="C659" i="26"/>
  <c r="C658" i="26"/>
  <c r="C657" i="26"/>
  <c r="C656" i="26"/>
  <c r="C655" i="26"/>
  <c r="C654" i="26"/>
  <c r="C653" i="26"/>
  <c r="C652" i="26"/>
  <c r="C651" i="26"/>
  <c r="C650" i="26"/>
  <c r="C649" i="26"/>
  <c r="C648" i="26"/>
  <c r="C647" i="26"/>
  <c r="C646" i="26"/>
  <c r="C645" i="26"/>
  <c r="C644" i="26"/>
  <c r="C643" i="26"/>
  <c r="C642" i="26"/>
  <c r="C641" i="26"/>
  <c r="C640" i="26"/>
  <c r="C639" i="26"/>
  <c r="C638" i="26"/>
  <c r="C637" i="26"/>
  <c r="C636" i="26"/>
  <c r="C635" i="26"/>
  <c r="C634" i="26"/>
  <c r="C633" i="26"/>
  <c r="C632" i="26"/>
  <c r="C631" i="26"/>
  <c r="C630" i="26"/>
  <c r="C629" i="26"/>
  <c r="C628" i="26"/>
  <c r="C627" i="26"/>
  <c r="C626" i="26"/>
  <c r="C625" i="26"/>
  <c r="C624" i="26"/>
  <c r="C623" i="26"/>
  <c r="C622" i="26"/>
  <c r="C621" i="26"/>
  <c r="C620" i="26"/>
  <c r="C619" i="26"/>
  <c r="C618" i="26"/>
  <c r="C617" i="26"/>
  <c r="C616" i="26"/>
  <c r="C615" i="26"/>
  <c r="C614" i="26"/>
  <c r="C613" i="26"/>
  <c r="C612" i="26"/>
  <c r="C611" i="26"/>
  <c r="C610" i="26"/>
  <c r="C609" i="26"/>
  <c r="C608" i="26"/>
  <c r="C607" i="26"/>
  <c r="C606" i="26"/>
  <c r="C605" i="26"/>
  <c r="C604" i="26"/>
  <c r="C603" i="26"/>
  <c r="C602" i="26"/>
  <c r="C601" i="26"/>
  <c r="C600" i="26"/>
  <c r="C599" i="26"/>
  <c r="C598" i="26"/>
  <c r="C597" i="26"/>
  <c r="C596" i="26"/>
  <c r="C595" i="26"/>
  <c r="C594" i="26"/>
  <c r="C593" i="26"/>
  <c r="C592" i="26"/>
  <c r="C591" i="26"/>
  <c r="C590" i="26"/>
  <c r="C589" i="26"/>
  <c r="C588" i="26"/>
  <c r="C587" i="26"/>
  <c r="C586" i="26"/>
  <c r="C585" i="26"/>
  <c r="C584" i="26"/>
  <c r="C583" i="26"/>
  <c r="C582" i="26"/>
  <c r="C581" i="26"/>
  <c r="C580" i="26"/>
  <c r="C579" i="26"/>
  <c r="C578" i="26"/>
  <c r="C577" i="26"/>
  <c r="C576" i="26"/>
  <c r="C575" i="26"/>
  <c r="C574" i="26"/>
  <c r="C573" i="26"/>
  <c r="C572" i="26"/>
  <c r="C571" i="26"/>
  <c r="C570" i="26"/>
  <c r="C569" i="26"/>
  <c r="C568" i="26"/>
  <c r="C567" i="26"/>
  <c r="C566" i="26"/>
  <c r="C565" i="26"/>
  <c r="C564" i="26"/>
  <c r="C563" i="26"/>
  <c r="C562" i="26"/>
  <c r="C561" i="26"/>
  <c r="C560" i="26"/>
  <c r="C559" i="26"/>
  <c r="C558" i="26"/>
  <c r="C557" i="26"/>
  <c r="C556" i="26"/>
  <c r="C555" i="26"/>
  <c r="C554" i="26"/>
  <c r="C553" i="26"/>
  <c r="C552" i="26"/>
  <c r="C551" i="26"/>
  <c r="C550" i="26"/>
  <c r="C549" i="26"/>
  <c r="C548" i="26"/>
  <c r="C547" i="26"/>
  <c r="C546" i="26"/>
  <c r="C545" i="26"/>
  <c r="C544" i="26"/>
  <c r="C543" i="26"/>
  <c r="C542" i="26"/>
  <c r="C541" i="26"/>
  <c r="C540" i="26"/>
  <c r="C539" i="26"/>
  <c r="C538" i="26"/>
  <c r="C537" i="26"/>
  <c r="C536" i="26"/>
  <c r="C535" i="26"/>
  <c r="C534" i="26"/>
  <c r="C533" i="26"/>
  <c r="C532" i="26"/>
  <c r="C531" i="26"/>
  <c r="C530" i="26"/>
  <c r="C529" i="26"/>
  <c r="C528" i="26"/>
  <c r="C527" i="26"/>
  <c r="C526" i="26"/>
  <c r="C525" i="26"/>
  <c r="C524" i="26"/>
  <c r="C523" i="26"/>
  <c r="C522" i="26"/>
  <c r="C521" i="26"/>
  <c r="C520" i="26"/>
  <c r="C519" i="26"/>
  <c r="C518" i="26"/>
  <c r="C517" i="26"/>
  <c r="C516" i="26"/>
  <c r="C515" i="26"/>
  <c r="C514" i="26"/>
  <c r="C513" i="26"/>
  <c r="C512" i="26"/>
  <c r="C511" i="26"/>
  <c r="C510" i="26"/>
  <c r="C509" i="26"/>
  <c r="C508" i="26"/>
  <c r="C507" i="26"/>
  <c r="C506" i="26"/>
  <c r="C505" i="26"/>
  <c r="C504" i="26"/>
  <c r="C503" i="26"/>
  <c r="C502" i="26"/>
  <c r="C501" i="26"/>
  <c r="C500" i="26"/>
  <c r="C499" i="26"/>
  <c r="C498" i="26"/>
  <c r="C497" i="26"/>
  <c r="C496" i="26"/>
  <c r="C495" i="26"/>
  <c r="C494" i="26"/>
  <c r="C493" i="26"/>
  <c r="C492" i="26"/>
  <c r="C491" i="26"/>
  <c r="C490" i="26"/>
  <c r="C489" i="26"/>
  <c r="C488" i="26"/>
  <c r="C487" i="26"/>
  <c r="C486" i="26"/>
  <c r="C485" i="26"/>
  <c r="C484" i="26"/>
  <c r="C483" i="26"/>
  <c r="C482" i="26"/>
  <c r="C481" i="26"/>
  <c r="C480" i="26"/>
  <c r="C479" i="26"/>
  <c r="C478" i="26"/>
  <c r="C477" i="26"/>
  <c r="C476" i="26"/>
  <c r="C475" i="26"/>
  <c r="C474" i="26"/>
  <c r="C473" i="26"/>
  <c r="C472" i="26"/>
  <c r="C471" i="26"/>
  <c r="C470" i="26"/>
  <c r="C469" i="26"/>
  <c r="C468" i="26"/>
  <c r="C467" i="26"/>
  <c r="C466" i="26"/>
  <c r="C465" i="26"/>
  <c r="C464" i="26"/>
  <c r="C463" i="26"/>
  <c r="C462" i="26"/>
  <c r="C461" i="26"/>
  <c r="C460" i="26"/>
  <c r="C459" i="26"/>
  <c r="C458" i="26"/>
  <c r="C457" i="26"/>
  <c r="C456" i="26"/>
  <c r="C455" i="26"/>
  <c r="C454" i="26"/>
  <c r="C453" i="26"/>
  <c r="C452" i="26"/>
  <c r="C451" i="26"/>
  <c r="C450" i="26"/>
  <c r="C449" i="26"/>
  <c r="C448" i="26"/>
  <c r="C447" i="26"/>
  <c r="C446" i="26"/>
  <c r="C445" i="26"/>
  <c r="C444" i="26"/>
  <c r="C443" i="26"/>
  <c r="C442" i="26"/>
  <c r="C441" i="26"/>
  <c r="C440" i="26"/>
  <c r="C439" i="26"/>
  <c r="C438" i="26"/>
  <c r="C437" i="26"/>
  <c r="C436" i="26"/>
  <c r="C435" i="26"/>
  <c r="C434" i="26"/>
  <c r="C433" i="26"/>
  <c r="C432" i="26"/>
  <c r="C431" i="26"/>
  <c r="C430" i="26"/>
  <c r="C429" i="26"/>
  <c r="C428" i="26"/>
  <c r="C427" i="26"/>
  <c r="C426" i="26"/>
  <c r="C425" i="26"/>
  <c r="C424" i="26"/>
  <c r="C423" i="26"/>
  <c r="C422" i="26"/>
  <c r="C421" i="26"/>
  <c r="C420" i="26"/>
  <c r="C419" i="26"/>
  <c r="C418" i="26"/>
  <c r="C417" i="26"/>
  <c r="C416" i="26"/>
  <c r="C415" i="26"/>
  <c r="C414" i="26"/>
  <c r="C413" i="26"/>
  <c r="C412" i="26"/>
  <c r="C411" i="26"/>
  <c r="C410" i="26"/>
  <c r="C409" i="26"/>
  <c r="C408" i="26"/>
  <c r="C407" i="26"/>
  <c r="C406" i="26"/>
  <c r="C405" i="26"/>
  <c r="C404" i="26"/>
  <c r="C403" i="26"/>
  <c r="C402" i="26"/>
  <c r="C401" i="26"/>
  <c r="C400" i="26"/>
  <c r="C399" i="26"/>
  <c r="C398" i="26"/>
  <c r="C397" i="26"/>
  <c r="C396" i="26"/>
  <c r="C395" i="26"/>
  <c r="C394" i="26"/>
  <c r="C393" i="26"/>
  <c r="C392" i="26"/>
  <c r="C391" i="26"/>
  <c r="C390" i="26"/>
  <c r="C389" i="26"/>
  <c r="C388" i="26"/>
  <c r="C387" i="26"/>
  <c r="C386" i="26"/>
  <c r="C385" i="26"/>
  <c r="C384" i="26"/>
  <c r="C383" i="26"/>
  <c r="C382" i="26"/>
  <c r="C381" i="26"/>
  <c r="C380" i="26"/>
  <c r="C379" i="26"/>
  <c r="C378" i="26"/>
  <c r="C377" i="26"/>
  <c r="C376" i="26"/>
  <c r="C375" i="26"/>
  <c r="C374" i="26"/>
  <c r="C373" i="26"/>
  <c r="C372" i="26"/>
  <c r="C371" i="26"/>
  <c r="C370" i="26"/>
  <c r="C369" i="26"/>
  <c r="C368" i="26"/>
  <c r="C367" i="26"/>
  <c r="C366" i="26"/>
  <c r="C365" i="26"/>
  <c r="C364" i="26"/>
  <c r="C363" i="26"/>
  <c r="C362" i="26"/>
  <c r="C361" i="26"/>
  <c r="C360" i="26"/>
  <c r="C359" i="26"/>
  <c r="C358" i="26"/>
  <c r="C357" i="26"/>
  <c r="C356" i="26"/>
  <c r="C355" i="26"/>
  <c r="C354" i="26"/>
  <c r="C353" i="26"/>
  <c r="C352" i="26"/>
  <c r="C351" i="26"/>
  <c r="C350" i="26"/>
  <c r="C349" i="26"/>
  <c r="C348" i="26"/>
  <c r="C347" i="26"/>
  <c r="C346" i="26"/>
  <c r="C345" i="26"/>
  <c r="C344" i="26"/>
  <c r="C343" i="26"/>
  <c r="C342" i="26"/>
  <c r="C341" i="26"/>
  <c r="C340" i="26"/>
  <c r="C339" i="26"/>
  <c r="C338" i="26"/>
  <c r="C337" i="26"/>
  <c r="C336" i="26"/>
  <c r="C335" i="26"/>
  <c r="C334" i="26"/>
  <c r="C333" i="26"/>
  <c r="C332" i="26"/>
  <c r="C331" i="26"/>
  <c r="C330" i="26"/>
  <c r="C329" i="26"/>
  <c r="C328" i="26"/>
  <c r="C327" i="26"/>
  <c r="C326" i="26"/>
  <c r="C325" i="26"/>
  <c r="C324" i="26"/>
  <c r="C323" i="26"/>
  <c r="C322" i="26"/>
  <c r="C321" i="26"/>
  <c r="C320" i="26"/>
  <c r="C319" i="26"/>
  <c r="C318" i="26"/>
  <c r="C317" i="26"/>
  <c r="C316" i="26"/>
  <c r="C315" i="26"/>
  <c r="C314" i="26"/>
  <c r="C313" i="26"/>
  <c r="C312" i="26"/>
  <c r="C311" i="26"/>
  <c r="C310" i="26"/>
  <c r="C309" i="26"/>
  <c r="C308" i="26"/>
  <c r="C307" i="26"/>
  <c r="C306" i="26"/>
  <c r="C305" i="26"/>
  <c r="C304" i="26"/>
  <c r="C303" i="26"/>
  <c r="C302" i="26"/>
  <c r="C301" i="26"/>
  <c r="C300" i="26"/>
  <c r="C299" i="26"/>
  <c r="C298" i="26"/>
  <c r="C297" i="26"/>
  <c r="C296" i="26"/>
  <c r="C295" i="26"/>
  <c r="C294" i="26"/>
  <c r="C293" i="26"/>
  <c r="C292" i="26"/>
  <c r="C291" i="26"/>
  <c r="C290" i="26"/>
  <c r="C289" i="26"/>
  <c r="C288" i="26"/>
  <c r="C287" i="26"/>
  <c r="C286" i="26"/>
  <c r="C285" i="26"/>
  <c r="C284" i="26"/>
  <c r="C283" i="26"/>
  <c r="C282" i="26"/>
  <c r="C281" i="26"/>
  <c r="C280" i="26"/>
  <c r="C279" i="26"/>
  <c r="C278" i="26"/>
  <c r="C277" i="26"/>
  <c r="C276" i="26"/>
  <c r="C275" i="26"/>
  <c r="C274" i="26"/>
  <c r="C273" i="26"/>
  <c r="C272" i="26"/>
  <c r="C271" i="26"/>
  <c r="C270" i="26"/>
  <c r="C269" i="26"/>
  <c r="C268" i="26"/>
  <c r="C267" i="26"/>
  <c r="C266" i="26"/>
  <c r="C265" i="26"/>
  <c r="C264" i="26"/>
  <c r="C263" i="26"/>
  <c r="C262" i="26"/>
  <c r="C261" i="26"/>
  <c r="C260" i="26"/>
  <c r="C259" i="26"/>
  <c r="C258" i="26"/>
  <c r="C257" i="26"/>
  <c r="C256" i="26"/>
  <c r="C255" i="26"/>
  <c r="C254" i="26"/>
  <c r="C253" i="26"/>
  <c r="C252" i="26"/>
  <c r="C251" i="26"/>
  <c r="C250" i="26"/>
  <c r="C249" i="26"/>
  <c r="C248" i="26"/>
  <c r="C247" i="26"/>
  <c r="C246" i="26"/>
  <c r="C245" i="26"/>
  <c r="C244" i="26"/>
  <c r="C243" i="26"/>
  <c r="C242" i="26"/>
  <c r="C241" i="26"/>
  <c r="C240" i="26"/>
  <c r="C239" i="26"/>
  <c r="C238" i="26"/>
  <c r="C237" i="26"/>
  <c r="C236" i="26"/>
  <c r="C235" i="26"/>
  <c r="C234" i="26"/>
  <c r="C233" i="26"/>
  <c r="C232" i="26"/>
  <c r="C231" i="26"/>
  <c r="C230" i="26"/>
  <c r="C229" i="26"/>
  <c r="C228" i="26"/>
  <c r="C227" i="26"/>
  <c r="C226" i="26"/>
  <c r="C225" i="26"/>
  <c r="C224" i="26"/>
  <c r="C223" i="26"/>
  <c r="C222" i="26"/>
  <c r="C221" i="26"/>
  <c r="C220" i="26"/>
  <c r="C219" i="26"/>
  <c r="C218" i="26"/>
  <c r="C217" i="26"/>
  <c r="C216" i="26"/>
  <c r="C215" i="26"/>
  <c r="C214" i="26"/>
  <c r="C213" i="26"/>
  <c r="C212" i="26"/>
  <c r="C211" i="26"/>
  <c r="C210" i="26"/>
  <c r="C209" i="26"/>
  <c r="C208" i="26"/>
  <c r="C207" i="26"/>
  <c r="C206" i="26"/>
  <c r="C205" i="26"/>
  <c r="C204" i="26"/>
  <c r="C203" i="26"/>
  <c r="C202" i="26"/>
  <c r="C201" i="26"/>
  <c r="C200" i="26"/>
  <c r="C199" i="26"/>
  <c r="C198" i="26"/>
  <c r="C197" i="26"/>
  <c r="C196" i="26"/>
  <c r="C195" i="26"/>
  <c r="C194" i="26"/>
  <c r="C193" i="26"/>
  <c r="C192" i="26"/>
  <c r="C191" i="26"/>
  <c r="C190" i="26"/>
  <c r="C189" i="26"/>
  <c r="C188" i="26"/>
  <c r="C187" i="26"/>
  <c r="C186" i="26"/>
  <c r="C185" i="26"/>
  <c r="C184" i="26"/>
  <c r="C183" i="26"/>
  <c r="C182" i="26"/>
  <c r="C181" i="26"/>
  <c r="C180" i="26"/>
  <c r="C179" i="26"/>
  <c r="C178" i="26"/>
  <c r="C177" i="26"/>
  <c r="C176" i="26"/>
  <c r="C175" i="26"/>
  <c r="C174" i="26"/>
  <c r="C173" i="26"/>
  <c r="C172" i="26"/>
  <c r="C171" i="26"/>
  <c r="C170" i="26"/>
  <c r="C169" i="26"/>
  <c r="C168" i="26"/>
  <c r="C167" i="26"/>
  <c r="C166" i="26"/>
  <c r="C165" i="26"/>
  <c r="C164" i="26"/>
  <c r="C163" i="26"/>
  <c r="C162" i="26"/>
  <c r="C161" i="26"/>
  <c r="C160" i="26"/>
  <c r="C159" i="26"/>
  <c r="C158" i="26"/>
  <c r="C157" i="26"/>
  <c r="C156" i="26"/>
  <c r="C155" i="26"/>
  <c r="C154" i="26"/>
  <c r="C153" i="26"/>
  <c r="C152" i="26"/>
  <c r="C151" i="26"/>
  <c r="C150" i="26"/>
  <c r="C149" i="26"/>
  <c r="C148" i="26"/>
  <c r="C147" i="26"/>
  <c r="C146" i="26"/>
  <c r="C145" i="26"/>
  <c r="C144" i="26"/>
  <c r="C143" i="26"/>
  <c r="C142" i="26"/>
  <c r="C141" i="26"/>
  <c r="C140" i="26"/>
  <c r="C139" i="26"/>
  <c r="C138" i="26"/>
  <c r="C137" i="26"/>
  <c r="C136" i="26"/>
  <c r="C135" i="26"/>
  <c r="C134" i="26"/>
  <c r="C133" i="26"/>
  <c r="C132" i="26"/>
  <c r="C131" i="26"/>
  <c r="C130" i="26"/>
  <c r="C129" i="26"/>
  <c r="C128" i="26"/>
  <c r="C127" i="26"/>
  <c r="C126" i="26"/>
  <c r="C125" i="26"/>
  <c r="C124" i="26"/>
  <c r="C123" i="26"/>
  <c r="C122" i="26"/>
  <c r="C121" i="26"/>
  <c r="C120" i="26"/>
  <c r="C119" i="26"/>
  <c r="C118" i="26"/>
  <c r="C117" i="26"/>
  <c r="C116" i="26"/>
  <c r="C115" i="26"/>
  <c r="C114" i="26"/>
  <c r="C113" i="26"/>
  <c r="C112" i="26"/>
  <c r="C111" i="26"/>
  <c r="C110" i="26"/>
  <c r="C109" i="26"/>
  <c r="C108" i="26"/>
  <c r="C107" i="26"/>
  <c r="C106" i="26"/>
  <c r="C105" i="26"/>
  <c r="C104" i="26"/>
  <c r="C103" i="26"/>
  <c r="C102" i="26"/>
  <c r="C101" i="26"/>
  <c r="C100" i="26"/>
  <c r="C99" i="26"/>
  <c r="C98" i="26"/>
  <c r="C97" i="26"/>
  <c r="C96" i="26"/>
  <c r="C95" i="26"/>
  <c r="C94" i="26"/>
  <c r="C93" i="26"/>
  <c r="C92" i="26"/>
  <c r="C91" i="26"/>
  <c r="C90" i="26"/>
  <c r="C89" i="26"/>
  <c r="C88" i="26"/>
  <c r="C87" i="26"/>
  <c r="C86" i="26"/>
  <c r="C85" i="26"/>
  <c r="C84" i="26"/>
  <c r="C83" i="26"/>
  <c r="C82" i="26"/>
  <c r="C81" i="26"/>
  <c r="C80" i="26"/>
  <c r="C79" i="26"/>
  <c r="C78" i="26"/>
  <c r="C77" i="26"/>
  <c r="C76" i="26"/>
  <c r="C75" i="26"/>
  <c r="C74" i="26"/>
  <c r="C73" i="26"/>
  <c r="C72" i="26"/>
  <c r="C71" i="26"/>
  <c r="C70" i="26"/>
  <c r="C69" i="26"/>
  <c r="C68" i="26"/>
  <c r="C67" i="26"/>
  <c r="C66" i="26"/>
  <c r="C65" i="26"/>
  <c r="C64" i="26"/>
  <c r="C63" i="26"/>
  <c r="C62" i="26"/>
  <c r="C61" i="26"/>
  <c r="C60" i="26"/>
  <c r="C59" i="26"/>
  <c r="C58" i="26"/>
  <c r="C57" i="26"/>
  <c r="C56" i="26"/>
  <c r="C55" i="26"/>
  <c r="C54" i="26"/>
  <c r="C53" i="26"/>
  <c r="C52" i="26"/>
  <c r="C51" i="26"/>
  <c r="C50" i="26"/>
  <c r="C49" i="26"/>
  <c r="C48" i="26"/>
  <c r="C47" i="26"/>
  <c r="C46" i="26"/>
  <c r="C45" i="26"/>
  <c r="C44" i="26"/>
  <c r="C43" i="26"/>
  <c r="C42" i="26"/>
  <c r="C41" i="26"/>
  <c r="C40" i="26"/>
  <c r="C39" i="26"/>
  <c r="C38" i="26"/>
  <c r="C37" i="26"/>
  <c r="C36" i="26"/>
  <c r="C35" i="26"/>
  <c r="C34" i="26"/>
  <c r="C33" i="26"/>
  <c r="C32" i="26"/>
  <c r="C31" i="26"/>
  <c r="C30" i="26"/>
  <c r="C29" i="26"/>
  <c r="C28" i="26"/>
  <c r="C27" i="26"/>
  <c r="C26" i="26"/>
  <c r="C25" i="26"/>
  <c r="C24" i="26"/>
  <c r="C23" i="26"/>
  <c r="C22" i="26"/>
  <c r="C21" i="26"/>
  <c r="C20" i="26"/>
  <c r="C19" i="26"/>
  <c r="C18" i="26"/>
  <c r="C17" i="26"/>
  <c r="C192" i="10" l="1"/>
  <c r="B193" i="10"/>
  <c r="B192" i="10"/>
  <c r="D193" i="10"/>
  <c r="D192" i="10"/>
  <c r="B57" i="10"/>
  <c r="I33" i="10" s="1"/>
  <c r="C193" i="10"/>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B32" i="10"/>
  <c r="I103" i="3"/>
  <c r="H103" i="3"/>
  <c r="E103" i="3"/>
  <c r="D103" i="3"/>
  <c r="C103" i="3"/>
  <c r="B103" i="3"/>
  <c r="A103" i="3"/>
  <c r="F82" i="25"/>
  <c r="F81" i="25"/>
  <c r="F80" i="25"/>
  <c r="F79" i="25"/>
  <c r="F78" i="25"/>
  <c r="F77" i="25"/>
  <c r="F76" i="25"/>
  <c r="F75" i="25"/>
  <c r="F74" i="25"/>
  <c r="F73" i="25"/>
  <c r="F72" i="25"/>
  <c r="F71" i="25"/>
  <c r="F70" i="25"/>
  <c r="F69" i="25"/>
  <c r="F68" i="25"/>
  <c r="F67" i="25"/>
  <c r="F66" i="25"/>
  <c r="F65" i="25"/>
  <c r="F64" i="25"/>
  <c r="F63" i="25"/>
  <c r="F62" i="25"/>
  <c r="F61" i="25"/>
  <c r="F60" i="25"/>
  <c r="F59" i="25"/>
  <c r="F58" i="25"/>
  <c r="F57" i="25"/>
  <c r="F56" i="25"/>
  <c r="F55" i="25"/>
  <c r="F54" i="25"/>
  <c r="F53" i="25"/>
  <c r="F52" i="25"/>
  <c r="F51" i="25"/>
  <c r="F50" i="25"/>
  <c r="F49" i="25"/>
  <c r="F48" i="25"/>
  <c r="F47" i="25"/>
  <c r="F46" i="25"/>
  <c r="F45" i="25"/>
  <c r="F44" i="25"/>
  <c r="F43" i="25"/>
  <c r="F42" i="25"/>
  <c r="F41" i="25"/>
  <c r="F40" i="25"/>
  <c r="F39" i="25"/>
  <c r="F38" i="25"/>
  <c r="F37" i="25"/>
  <c r="F36" i="25"/>
  <c r="F35" i="25"/>
  <c r="F34" i="25"/>
  <c r="F33" i="25"/>
  <c r="F32" i="25"/>
  <c r="F31" i="25"/>
  <c r="F30" i="25"/>
  <c r="F29" i="25"/>
  <c r="F28" i="25"/>
  <c r="F27" i="25"/>
  <c r="F26" i="25"/>
  <c r="F25" i="25"/>
  <c r="F24" i="25"/>
  <c r="F23" i="25"/>
  <c r="F22" i="25"/>
  <c r="F21" i="25"/>
  <c r="F20" i="25"/>
  <c r="F19" i="25"/>
  <c r="F18" i="25"/>
  <c r="F17" i="25"/>
  <c r="F16" i="25"/>
  <c r="F15" i="25"/>
  <c r="F14" i="25"/>
  <c r="F13" i="25"/>
  <c r="F12" i="25"/>
  <c r="F11" i="25"/>
  <c r="F10" i="25"/>
  <c r="F9" i="25"/>
  <c r="F8" i="25"/>
  <c r="F7" i="25"/>
  <c r="F6" i="25"/>
  <c r="F5" i="25"/>
  <c r="F4" i="25"/>
  <c r="F3" i="25"/>
  <c r="F2" i="25"/>
  <c r="F158" i="23"/>
  <c r="F157" i="23"/>
  <c r="F156" i="23"/>
  <c r="F155" i="23"/>
  <c r="F154" i="23"/>
  <c r="F153" i="23"/>
  <c r="F152" i="23"/>
  <c r="F151" i="23"/>
  <c r="F150" i="23"/>
  <c r="F149" i="23"/>
  <c r="F148" i="23"/>
  <c r="F147" i="23"/>
  <c r="F146" i="23"/>
  <c r="F145" i="23"/>
  <c r="F144" i="23"/>
  <c r="F143" i="23"/>
  <c r="F142" i="23"/>
  <c r="F141" i="23"/>
  <c r="F140" i="23"/>
  <c r="F139" i="23"/>
  <c r="F138" i="23"/>
  <c r="F137" i="23"/>
  <c r="F136" i="23"/>
  <c r="F135" i="23"/>
  <c r="F134" i="23"/>
  <c r="F133" i="23"/>
  <c r="F132" i="23"/>
  <c r="F131" i="23"/>
  <c r="F130" i="23"/>
  <c r="F129" i="23"/>
  <c r="F128" i="23"/>
  <c r="F127" i="23"/>
  <c r="F126" i="23"/>
  <c r="F125" i="23"/>
  <c r="F124" i="23"/>
  <c r="F123" i="23"/>
  <c r="F122" i="23"/>
  <c r="F121" i="23"/>
  <c r="F120" i="23"/>
  <c r="F119" i="23"/>
  <c r="F118" i="23"/>
  <c r="F117" i="23"/>
  <c r="F116" i="23"/>
  <c r="F115" i="23"/>
  <c r="F114" i="23"/>
  <c r="F113" i="23"/>
  <c r="F112" i="23"/>
  <c r="F111" i="23"/>
  <c r="F110" i="23"/>
  <c r="F109" i="23"/>
  <c r="F108" i="23"/>
  <c r="F107" i="23"/>
  <c r="F106" i="23"/>
  <c r="F105" i="23"/>
  <c r="F104" i="23"/>
  <c r="F103" i="23"/>
  <c r="F102" i="23"/>
  <c r="F101" i="23"/>
  <c r="F100" i="23"/>
  <c r="F99" i="23"/>
  <c r="F98" i="23"/>
  <c r="F97" i="23"/>
  <c r="F96" i="23"/>
  <c r="F95" i="23"/>
  <c r="F94" i="23"/>
  <c r="F93" i="23"/>
  <c r="F92" i="23"/>
  <c r="F91" i="23"/>
  <c r="F90" i="23"/>
  <c r="F89" i="23"/>
  <c r="F88" i="23"/>
  <c r="F87" i="23"/>
  <c r="F86" i="23"/>
  <c r="F85" i="23"/>
  <c r="F84" i="23"/>
  <c r="F83" i="23"/>
  <c r="F82" i="23"/>
  <c r="F81" i="23"/>
  <c r="F80" i="23"/>
  <c r="F79" i="23"/>
  <c r="F78" i="23"/>
  <c r="F77" i="23"/>
  <c r="F76" i="23"/>
  <c r="F75" i="23"/>
  <c r="F74" i="23"/>
  <c r="F73" i="23"/>
  <c r="F72" i="23"/>
  <c r="F71" i="23"/>
  <c r="F70" i="23"/>
  <c r="F69" i="23"/>
  <c r="F68" i="23"/>
  <c r="F67" i="23"/>
  <c r="F66" i="23"/>
  <c r="F65" i="23"/>
  <c r="F64" i="23"/>
  <c r="F63" i="23"/>
  <c r="F62" i="23"/>
  <c r="F61" i="23"/>
  <c r="F60" i="23"/>
  <c r="F59" i="23"/>
  <c r="F58" i="23"/>
  <c r="F57" i="23"/>
  <c r="F56" i="23"/>
  <c r="F55" i="23"/>
  <c r="F54" i="23"/>
  <c r="F53" i="23"/>
  <c r="F52" i="23"/>
  <c r="F51" i="23"/>
  <c r="F50" i="23"/>
  <c r="F49" i="23"/>
  <c r="F48" i="23"/>
  <c r="F47" i="23"/>
  <c r="F46" i="23"/>
  <c r="F45" i="23"/>
  <c r="F44" i="23"/>
  <c r="F43" i="23"/>
  <c r="F42" i="23"/>
  <c r="F41" i="23"/>
  <c r="F40" i="23"/>
  <c r="F39" i="23"/>
  <c r="F38" i="23"/>
  <c r="F37" i="23"/>
  <c r="F36" i="23"/>
  <c r="F35" i="23"/>
  <c r="F34" i="23"/>
  <c r="F33" i="23"/>
  <c r="F32" i="23"/>
  <c r="F31" i="23"/>
  <c r="F30" i="23"/>
  <c r="F29" i="23"/>
  <c r="F28" i="23"/>
  <c r="F27" i="23"/>
  <c r="F26" i="23"/>
  <c r="F25" i="23"/>
  <c r="F24" i="23"/>
  <c r="F23" i="23"/>
  <c r="F22" i="23"/>
  <c r="F21" i="23"/>
  <c r="F20" i="23"/>
  <c r="F19" i="23"/>
  <c r="F18" i="23"/>
  <c r="F17" i="23"/>
  <c r="F16" i="23"/>
  <c r="F15" i="23"/>
  <c r="F14" i="23"/>
  <c r="F13" i="23"/>
  <c r="F12" i="23"/>
  <c r="F11" i="23"/>
  <c r="F10" i="23"/>
  <c r="F9" i="23"/>
  <c r="F8" i="23"/>
  <c r="F7" i="23"/>
  <c r="F6" i="23"/>
  <c r="F5" i="23"/>
  <c r="F4" i="23"/>
  <c r="F3" i="23"/>
  <c r="F2" i="23"/>
  <c r="A158" i="23"/>
  <c r="A157" i="23"/>
  <c r="A156" i="23"/>
  <c r="A155" i="23"/>
  <c r="C103" i="24"/>
  <c r="B103" i="24" s="1"/>
  <c r="B103" i="9"/>
  <c r="B103" i="5"/>
  <c r="A109" i="1"/>
  <c r="B103" i="23"/>
  <c r="D103"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103" i="19"/>
  <c r="B103" i="19"/>
  <c r="A103" i="2"/>
  <c r="H103" i="19"/>
  <c r="G66" i="19"/>
  <c r="F75" i="19"/>
  <c r="F61" i="19"/>
  <c r="I2" i="10" l="1"/>
  <c r="I14" i="10"/>
  <c r="I26" i="10"/>
  <c r="I8" i="10"/>
  <c r="I10" i="10"/>
  <c r="I23" i="10"/>
  <c r="I3" i="10"/>
  <c r="I15" i="10"/>
  <c r="I27" i="10"/>
  <c r="I20" i="10"/>
  <c r="I4" i="10"/>
  <c r="I16" i="10"/>
  <c r="I28" i="10"/>
  <c r="I7" i="10"/>
  <c r="I5" i="10"/>
  <c r="I17" i="10"/>
  <c r="I29" i="10"/>
  <c r="I31" i="10"/>
  <c r="I6" i="10"/>
  <c r="I18" i="10"/>
  <c r="I30" i="10"/>
  <c r="I19" i="10"/>
  <c r="I12" i="10"/>
  <c r="I13" i="10"/>
  <c r="I9" i="10"/>
  <c r="I21" i="10"/>
  <c r="I22" i="10"/>
  <c r="I11" i="10"/>
  <c r="I24" i="10"/>
  <c r="I25" i="10"/>
  <c r="B109" i="1"/>
  <c r="C109" i="1"/>
  <c r="F148" i="19" l="1"/>
  <c r="C16" i="26"/>
  <c r="H159" i="19"/>
  <c r="H158" i="19"/>
  <c r="H157" i="19"/>
  <c r="H156" i="19"/>
  <c r="H155" i="19"/>
  <c r="H154" i="19"/>
  <c r="H153" i="19"/>
  <c r="H152" i="19"/>
  <c r="H151" i="19"/>
  <c r="H150" i="19"/>
  <c r="H149" i="19"/>
  <c r="H148" i="19"/>
  <c r="H147" i="19"/>
  <c r="H146" i="19"/>
  <c r="H145" i="19"/>
  <c r="H144" i="19"/>
  <c r="H143" i="19"/>
  <c r="H142" i="19"/>
  <c r="H141" i="19"/>
  <c r="H140" i="19"/>
  <c r="H139" i="19"/>
  <c r="H138" i="19"/>
  <c r="H137" i="19"/>
  <c r="H136" i="19"/>
  <c r="H135" i="19"/>
  <c r="H134" i="19"/>
  <c r="H133" i="19"/>
  <c r="H132" i="19"/>
  <c r="H131" i="19"/>
  <c r="H130" i="19"/>
  <c r="H129" i="19"/>
  <c r="H128" i="19"/>
  <c r="H127" i="19"/>
  <c r="H126" i="19"/>
  <c r="H125" i="19"/>
  <c r="H124" i="19"/>
  <c r="H123" i="19"/>
  <c r="H122" i="19"/>
  <c r="H121" i="19"/>
  <c r="H120" i="19"/>
  <c r="H119" i="19"/>
  <c r="H118" i="19"/>
  <c r="H117" i="19"/>
  <c r="H116" i="19"/>
  <c r="H115" i="19"/>
  <c r="H114" i="19"/>
  <c r="H113" i="19"/>
  <c r="H112" i="19"/>
  <c r="H111" i="19"/>
  <c r="H110" i="19"/>
  <c r="H109" i="19"/>
  <c r="H108" i="19"/>
  <c r="H107" i="19"/>
  <c r="H106" i="19"/>
  <c r="H105" i="19"/>
  <c r="H104" i="19"/>
  <c r="H102" i="19"/>
  <c r="H101" i="19"/>
  <c r="H100" i="19"/>
  <c r="H99" i="19"/>
  <c r="H98" i="19"/>
  <c r="H97" i="19"/>
  <c r="H96" i="19"/>
  <c r="H95" i="19"/>
  <c r="H94" i="19"/>
  <c r="H93" i="19"/>
  <c r="H92" i="19"/>
  <c r="H91" i="19"/>
  <c r="H90" i="19"/>
  <c r="H89" i="19"/>
  <c r="H88" i="19"/>
  <c r="H87" i="19"/>
  <c r="H86" i="19"/>
  <c r="H85" i="19"/>
  <c r="H84" i="19"/>
  <c r="H83" i="19"/>
  <c r="H82" i="19"/>
  <c r="H81" i="19"/>
  <c r="H80" i="19"/>
  <c r="H79" i="19"/>
  <c r="H78" i="19"/>
  <c r="H77" i="19"/>
  <c r="H76" i="19"/>
  <c r="H75" i="19"/>
  <c r="H74" i="19"/>
  <c r="H73" i="19"/>
  <c r="H72" i="19"/>
  <c r="H71" i="19"/>
  <c r="H70" i="19"/>
  <c r="H69" i="19"/>
  <c r="H68" i="19"/>
  <c r="H67" i="19"/>
  <c r="H66" i="19"/>
  <c r="H65" i="19"/>
  <c r="H64" i="19"/>
  <c r="H63" i="19"/>
  <c r="H62" i="19"/>
  <c r="H61" i="19"/>
  <c r="H60" i="19"/>
  <c r="H59" i="19"/>
  <c r="H58" i="19"/>
  <c r="H57" i="19"/>
  <c r="H56" i="19"/>
  <c r="H55" i="19"/>
  <c r="H54" i="19"/>
  <c r="H53" i="19"/>
  <c r="H52" i="19"/>
  <c r="H51" i="19"/>
  <c r="H50" i="19"/>
  <c r="H49" i="19"/>
  <c r="H48" i="19"/>
  <c r="H47" i="19"/>
  <c r="H46" i="19"/>
  <c r="H45" i="19"/>
  <c r="H44" i="19"/>
  <c r="H43" i="19"/>
  <c r="H42" i="19"/>
  <c r="H41" i="19"/>
  <c r="H40" i="19"/>
  <c r="H39" i="19"/>
  <c r="H38" i="19"/>
  <c r="H37" i="19"/>
  <c r="H36" i="19"/>
  <c r="H35" i="19"/>
  <c r="H34" i="19"/>
  <c r="H33" i="19"/>
  <c r="H32" i="19"/>
  <c r="H31" i="19"/>
  <c r="H30" i="19"/>
  <c r="H29" i="19"/>
  <c r="H28" i="19"/>
  <c r="H27" i="19"/>
  <c r="H26" i="19"/>
  <c r="H25" i="19"/>
  <c r="H24" i="19"/>
  <c r="H23" i="19"/>
  <c r="H22" i="19"/>
  <c r="H21" i="19"/>
  <c r="H20" i="19"/>
  <c r="H19" i="19"/>
  <c r="H18" i="19"/>
  <c r="H17" i="19"/>
  <c r="H16" i="19"/>
  <c r="H15" i="19"/>
  <c r="H14" i="19"/>
  <c r="H13" i="19"/>
  <c r="H12" i="19"/>
  <c r="H11" i="19"/>
  <c r="H10" i="19"/>
  <c r="H9" i="19"/>
  <c r="H8" i="19"/>
  <c r="H7" i="19"/>
  <c r="H6" i="19"/>
  <c r="H5" i="19"/>
  <c r="H4" i="19"/>
  <c r="H3" i="19"/>
  <c r="H2" i="19"/>
  <c r="G158" i="19"/>
  <c r="G157" i="19"/>
  <c r="G156" i="19"/>
  <c r="G155" i="19"/>
  <c r="G153" i="19"/>
  <c r="G152" i="19"/>
  <c r="G151" i="19"/>
  <c r="G150" i="19"/>
  <c r="G148" i="19"/>
  <c r="G147" i="19"/>
  <c r="G146" i="19"/>
  <c r="G145" i="19"/>
  <c r="G144" i="19"/>
  <c r="G143" i="19"/>
  <c r="G142" i="19"/>
  <c r="G141" i="19"/>
  <c r="G140" i="19"/>
  <c r="G139" i="19"/>
  <c r="G138" i="19"/>
  <c r="G137" i="19"/>
  <c r="G136" i="19"/>
  <c r="G135" i="19"/>
  <c r="G134" i="19"/>
  <c r="G133" i="19"/>
  <c r="G132" i="19"/>
  <c r="G131" i="19"/>
  <c r="G130" i="19"/>
  <c r="G129" i="19"/>
  <c r="G128" i="19"/>
  <c r="G127" i="19"/>
  <c r="G126" i="19"/>
  <c r="G125" i="19"/>
  <c r="G124" i="19"/>
  <c r="G123" i="19"/>
  <c r="G122" i="19"/>
  <c r="G121" i="19"/>
  <c r="G119" i="19"/>
  <c r="G118" i="19"/>
  <c r="G117" i="19"/>
  <c r="G116" i="19"/>
  <c r="G115" i="19"/>
  <c r="G114" i="19"/>
  <c r="G113" i="19"/>
  <c r="G112" i="19"/>
  <c r="G111" i="19"/>
  <c r="G110" i="19"/>
  <c r="G109" i="19"/>
  <c r="G108" i="19"/>
  <c r="G107" i="19"/>
  <c r="G106" i="19"/>
  <c r="G105" i="19"/>
  <c r="G104" i="19"/>
  <c r="G102" i="19"/>
  <c r="G101" i="19"/>
  <c r="G100" i="19"/>
  <c r="G99" i="19"/>
  <c r="G98" i="19"/>
  <c r="G97" i="19"/>
  <c r="G96" i="19"/>
  <c r="G95" i="19"/>
  <c r="G94" i="19"/>
  <c r="G93" i="19"/>
  <c r="G92" i="19"/>
  <c r="G91" i="19"/>
  <c r="G90" i="19"/>
  <c r="G89" i="19"/>
  <c r="G88" i="19"/>
  <c r="G87" i="19"/>
  <c r="G86" i="19"/>
  <c r="G85" i="19"/>
  <c r="G84" i="19"/>
  <c r="G83" i="19"/>
  <c r="G82" i="19"/>
  <c r="G81" i="19"/>
  <c r="G80" i="19"/>
  <c r="G79" i="19"/>
  <c r="G78" i="19"/>
  <c r="G77" i="19"/>
  <c r="G76" i="19"/>
  <c r="G74" i="19"/>
  <c r="G73" i="19"/>
  <c r="G72" i="19"/>
  <c r="G71" i="19"/>
  <c r="G70" i="19"/>
  <c r="G69" i="19"/>
  <c r="G68" i="19"/>
  <c r="G67" i="19"/>
  <c r="G65" i="19"/>
  <c r="G64" i="19"/>
  <c r="G63" i="19"/>
  <c r="G62" i="19"/>
  <c r="G61" i="19"/>
  <c r="G60" i="19"/>
  <c r="G59" i="19"/>
  <c r="G58" i="19"/>
  <c r="G57" i="19"/>
  <c r="G56" i="19"/>
  <c r="G55" i="19"/>
  <c r="G54" i="19"/>
  <c r="G53" i="19"/>
  <c r="G52" i="19"/>
  <c r="G51" i="19"/>
  <c r="G50" i="19"/>
  <c r="G49" i="19"/>
  <c r="G48" i="19"/>
  <c r="G47" i="19"/>
  <c r="G46" i="19"/>
  <c r="G45" i="19"/>
  <c r="G44" i="19"/>
  <c r="G43" i="19"/>
  <c r="G41" i="19"/>
  <c r="G40" i="19"/>
  <c r="G39" i="19"/>
  <c r="G38" i="19"/>
  <c r="G34" i="19"/>
  <c r="G33" i="19"/>
  <c r="G32" i="19"/>
  <c r="G31" i="19"/>
  <c r="G30" i="19"/>
  <c r="G29" i="19"/>
  <c r="G28" i="19"/>
  <c r="G27" i="19"/>
  <c r="G26" i="19"/>
  <c r="G25" i="19"/>
  <c r="G24" i="19"/>
  <c r="G23" i="19"/>
  <c r="G22" i="19"/>
  <c r="G21" i="19"/>
  <c r="G20" i="19"/>
  <c r="G19" i="19"/>
  <c r="G18" i="19"/>
  <c r="G17" i="19"/>
  <c r="G16" i="19"/>
  <c r="G15" i="19"/>
  <c r="G14" i="19"/>
  <c r="G13" i="19"/>
  <c r="G12" i="19"/>
  <c r="G11" i="19"/>
  <c r="G10" i="19"/>
  <c r="G9" i="19"/>
  <c r="G8" i="19"/>
  <c r="G7" i="19"/>
  <c r="G6" i="19"/>
  <c r="G5" i="19"/>
  <c r="G4" i="19"/>
  <c r="G3" i="19"/>
  <c r="G2" i="19"/>
  <c r="G159" i="19"/>
  <c r="F2" i="19"/>
  <c r="F3" i="19"/>
  <c r="F4" i="19"/>
  <c r="F5" i="19"/>
  <c r="F6" i="19"/>
  <c r="F7" i="19"/>
  <c r="F8" i="19"/>
  <c r="F9" i="19"/>
  <c r="F10" i="19"/>
  <c r="F11" i="19"/>
  <c r="F12" i="19"/>
  <c r="F13" i="19"/>
  <c r="F14" i="19"/>
  <c r="F15" i="19"/>
  <c r="F16" i="19"/>
  <c r="F17" i="19"/>
  <c r="F18" i="19"/>
  <c r="F19" i="19"/>
  <c r="F20" i="19"/>
  <c r="F21" i="19"/>
  <c r="F22" i="19"/>
  <c r="F23" i="19"/>
  <c r="F24" i="19"/>
  <c r="F25" i="19"/>
  <c r="F27" i="19"/>
  <c r="F28" i="19"/>
  <c r="F29" i="19"/>
  <c r="F31" i="19"/>
  <c r="F32" i="19"/>
  <c r="F33" i="19"/>
  <c r="F34" i="19"/>
  <c r="F38" i="19"/>
  <c r="F39" i="19"/>
  <c r="F40" i="19"/>
  <c r="F43" i="19"/>
  <c r="F44" i="19"/>
  <c r="F45" i="19"/>
  <c r="F46" i="19"/>
  <c r="F48" i="19"/>
  <c r="F49" i="19"/>
  <c r="F50" i="19"/>
  <c r="F51" i="19"/>
  <c r="F52" i="19"/>
  <c r="F53" i="19"/>
  <c r="F54" i="19"/>
  <c r="F55" i="19"/>
  <c r="F56" i="19"/>
  <c r="F57" i="19"/>
  <c r="F58" i="19"/>
  <c r="F59" i="19"/>
  <c r="F60" i="19"/>
  <c r="F62" i="19"/>
  <c r="F64" i="19"/>
  <c r="F65" i="19"/>
  <c r="F66" i="19"/>
  <c r="F67" i="19"/>
  <c r="F68" i="19"/>
  <c r="F69" i="19"/>
  <c r="F70" i="19"/>
  <c r="F71" i="19"/>
  <c r="F72" i="19"/>
  <c r="F73" i="19"/>
  <c r="F74" i="19"/>
  <c r="F76" i="19"/>
  <c r="F77" i="19"/>
  <c r="F78" i="19"/>
  <c r="F79" i="19"/>
  <c r="F80" i="19"/>
  <c r="F81" i="19"/>
  <c r="F82" i="19"/>
  <c r="F83" i="19"/>
  <c r="F84" i="19"/>
  <c r="F86" i="19"/>
  <c r="F87" i="19"/>
  <c r="F90" i="19"/>
  <c r="F91" i="19"/>
  <c r="F92" i="19"/>
  <c r="F93" i="19"/>
  <c r="F94" i="19"/>
  <c r="F95" i="19"/>
  <c r="F96" i="19"/>
  <c r="F97" i="19"/>
  <c r="F100" i="19"/>
  <c r="F101" i="19"/>
  <c r="F102" i="19"/>
  <c r="F104" i="19"/>
  <c r="F105" i="19"/>
  <c r="F106" i="19"/>
  <c r="F107" i="19"/>
  <c r="F108" i="19"/>
  <c r="F109" i="19"/>
  <c r="F110" i="19"/>
  <c r="F111" i="19"/>
  <c r="F113" i="19"/>
  <c r="F114" i="19"/>
  <c r="F115" i="19"/>
  <c r="F116" i="19"/>
  <c r="F117" i="19"/>
  <c r="F118" i="19"/>
  <c r="F119" i="19"/>
  <c r="F121" i="19"/>
  <c r="F123" i="19"/>
  <c r="F124" i="19"/>
  <c r="F125" i="19"/>
  <c r="F126" i="19"/>
  <c r="F127" i="19"/>
  <c r="F128" i="19"/>
  <c r="F129" i="19"/>
  <c r="F130" i="19"/>
  <c r="F131" i="19"/>
  <c r="F132" i="19"/>
  <c r="F133" i="19"/>
  <c r="F135" i="19"/>
  <c r="F136" i="19"/>
  <c r="F137" i="19"/>
  <c r="F138" i="19"/>
  <c r="F139" i="19"/>
  <c r="F140" i="19"/>
  <c r="F142" i="19"/>
  <c r="F143" i="19"/>
  <c r="F144" i="19"/>
  <c r="F145" i="19"/>
  <c r="F146" i="19"/>
  <c r="F147" i="19"/>
  <c r="F150" i="19"/>
  <c r="F151" i="19"/>
  <c r="F152" i="19"/>
  <c r="F153" i="19"/>
  <c r="F154" i="19"/>
  <c r="F155" i="19"/>
  <c r="G28" i="6" l="1"/>
  <c r="D28" i="6"/>
  <c r="G27" i="6"/>
  <c r="D27" i="6"/>
  <c r="G26" i="6"/>
  <c r="D26" i="6"/>
  <c r="G25" i="6"/>
  <c r="D25" i="6"/>
  <c r="G24" i="6"/>
  <c r="H24" i="6" s="1"/>
  <c r="D24" i="6"/>
  <c r="G23" i="6"/>
  <c r="D23" i="6"/>
  <c r="G22" i="6"/>
  <c r="H22" i="6" s="1"/>
  <c r="D22" i="6"/>
  <c r="G21" i="6"/>
  <c r="D21" i="6"/>
  <c r="G20" i="6"/>
  <c r="H20" i="6" s="1"/>
  <c r="D20" i="6"/>
  <c r="G19" i="6"/>
  <c r="D19" i="6"/>
  <c r="G18" i="6"/>
  <c r="D18" i="6"/>
  <c r="G17" i="6"/>
  <c r="D17" i="6"/>
  <c r="G16" i="6"/>
  <c r="H16" i="6" s="1"/>
  <c r="D16" i="6"/>
  <c r="G15" i="6"/>
  <c r="H15" i="6" s="1"/>
  <c r="D15" i="6"/>
  <c r="G14" i="6"/>
  <c r="D14" i="6"/>
  <c r="G13" i="6"/>
  <c r="H13" i="6" s="1"/>
  <c r="D13" i="6"/>
  <c r="G12" i="6"/>
  <c r="D12" i="6"/>
  <c r="G11" i="6"/>
  <c r="D11" i="6"/>
  <c r="G10" i="6"/>
  <c r="H10" i="6"/>
  <c r="G9" i="6"/>
  <c r="D9" i="6"/>
  <c r="G8" i="6"/>
  <c r="D8" i="6"/>
  <c r="G7" i="6"/>
  <c r="D7" i="6"/>
  <c r="H7" i="6"/>
  <c r="G6" i="6"/>
  <c r="D6" i="6"/>
  <c r="G5" i="6"/>
  <c r="H5" i="6" s="1"/>
  <c r="D5" i="6"/>
  <c r="H4" i="6"/>
  <c r="G4" i="6"/>
  <c r="D4" i="6"/>
  <c r="D10" i="6" l="1"/>
  <c r="D30" i="6" s="1"/>
  <c r="H6" i="6"/>
  <c r="H19" i="6"/>
  <c r="H25" i="6"/>
  <c r="H21" i="6"/>
  <c r="H26" i="6"/>
  <c r="H8" i="6"/>
  <c r="H12" i="6"/>
  <c r="H17" i="6"/>
  <c r="H27" i="6"/>
  <c r="H9" i="6"/>
  <c r="H29" i="6" s="1"/>
  <c r="H14" i="6"/>
  <c r="H18" i="6"/>
  <c r="H23" i="6"/>
  <c r="H28" i="6"/>
  <c r="H11" i="6"/>
  <c r="D32" i="6"/>
  <c r="H32" i="6"/>
  <c r="D29" i="6"/>
  <c r="D31" i="6"/>
  <c r="H31" i="6"/>
  <c r="H30" i="6" l="1"/>
  <c r="K180" i="9"/>
  <c r="K179" i="9"/>
  <c r="K178" i="9"/>
  <c r="K177" i="9"/>
  <c r="K176" i="9"/>
  <c r="K175" i="9"/>
  <c r="K174" i="9"/>
  <c r="K173" i="9"/>
  <c r="K172" i="9"/>
  <c r="K171" i="9"/>
  <c r="K170" i="9"/>
  <c r="K168" i="9"/>
  <c r="K167" i="9"/>
  <c r="K166" i="9"/>
  <c r="K165" i="9"/>
  <c r="K164" i="9"/>
  <c r="K161" i="9"/>
  <c r="K158" i="9"/>
  <c r="K155" i="9"/>
  <c r="K154" i="9"/>
  <c r="K153" i="9"/>
  <c r="K152" i="9"/>
  <c r="K151" i="9"/>
  <c r="K150" i="9"/>
  <c r="K149" i="9"/>
  <c r="K148" i="9"/>
  <c r="K147" i="9"/>
  <c r="K146" i="9"/>
  <c r="K145" i="9"/>
  <c r="K144" i="9"/>
  <c r="K143" i="9"/>
  <c r="K142" i="9"/>
  <c r="K141" i="9"/>
  <c r="K140" i="9"/>
  <c r="K139" i="9"/>
  <c r="K138" i="9"/>
  <c r="K137" i="9"/>
  <c r="K136" i="9"/>
  <c r="K133" i="9"/>
  <c r="K132" i="9"/>
  <c r="K131" i="9"/>
  <c r="K130" i="9"/>
  <c r="K129" i="9"/>
  <c r="K128" i="9"/>
  <c r="K127" i="9"/>
  <c r="K125" i="9"/>
  <c r="K124" i="9"/>
  <c r="K123" i="9"/>
  <c r="K122" i="9"/>
  <c r="K121" i="9"/>
  <c r="K120" i="9"/>
  <c r="K118" i="9"/>
  <c r="K117" i="9"/>
  <c r="K116" i="9"/>
  <c r="K115" i="9"/>
  <c r="K114" i="9"/>
  <c r="K113" i="9"/>
  <c r="K112" i="9"/>
  <c r="K111" i="9"/>
  <c r="K110" i="9"/>
  <c r="K109" i="9"/>
  <c r="K108" i="9"/>
  <c r="K107" i="9"/>
  <c r="K106" i="9"/>
  <c r="K105" i="9"/>
  <c r="K104" i="9"/>
  <c r="K103" i="9"/>
  <c r="K102" i="9"/>
  <c r="K101" i="9"/>
  <c r="K100" i="9"/>
  <c r="K98" i="9"/>
  <c r="K97" i="9"/>
  <c r="K96" i="9"/>
  <c r="K95" i="9"/>
  <c r="K94" i="9"/>
  <c r="K93" i="9"/>
  <c r="K92" i="9"/>
  <c r="K91" i="9"/>
  <c r="K90" i="9"/>
  <c r="K89" i="9"/>
  <c r="K88" i="9"/>
  <c r="K87" i="9"/>
  <c r="K86" i="9"/>
  <c r="K85" i="9"/>
  <c r="K84" i="9"/>
  <c r="K83" i="9"/>
  <c r="K82" i="9"/>
  <c r="K81" i="9"/>
  <c r="K80" i="9"/>
  <c r="K79" i="9"/>
  <c r="K78" i="9"/>
  <c r="K77" i="9"/>
  <c r="K76" i="9"/>
  <c r="K74" i="9"/>
  <c r="K73" i="9"/>
  <c r="K72" i="9"/>
  <c r="K71" i="9"/>
  <c r="K70" i="9"/>
  <c r="K69" i="9"/>
  <c r="K68" i="9"/>
  <c r="K67" i="9"/>
  <c r="K66" i="9"/>
  <c r="K65" i="9"/>
  <c r="K64" i="9"/>
  <c r="K63" i="9"/>
  <c r="K62" i="9"/>
  <c r="K60" i="9"/>
  <c r="K59" i="9"/>
  <c r="K58" i="9"/>
  <c r="K57" i="9"/>
  <c r="K56" i="9"/>
  <c r="K55" i="9"/>
  <c r="K54" i="9"/>
  <c r="K53" i="9"/>
  <c r="K52" i="9"/>
  <c r="K51" i="9"/>
  <c r="K50" i="9"/>
  <c r="K49" i="9"/>
  <c r="K48" i="9"/>
  <c r="K47" i="9"/>
  <c r="K46" i="9"/>
  <c r="K45" i="9"/>
  <c r="K44" i="9"/>
  <c r="K43" i="9"/>
  <c r="K42" i="9"/>
  <c r="K41" i="9"/>
  <c r="K40" i="9"/>
  <c r="K38" i="9"/>
  <c r="K35" i="9"/>
  <c r="K34" i="9"/>
  <c r="K33" i="9"/>
  <c r="K32" i="9"/>
  <c r="K31" i="9"/>
  <c r="K29" i="9"/>
  <c r="K28" i="9"/>
  <c r="K27" i="9"/>
  <c r="K26" i="9"/>
  <c r="K25" i="9"/>
  <c r="K24" i="9"/>
  <c r="K23" i="9"/>
  <c r="K22" i="9"/>
  <c r="K21" i="9"/>
  <c r="K20" i="9"/>
  <c r="K19" i="9"/>
  <c r="K18" i="9"/>
  <c r="K17" i="9"/>
  <c r="K16" i="9"/>
  <c r="K15" i="9"/>
  <c r="K14" i="9"/>
  <c r="K13" i="9"/>
  <c r="K11" i="9"/>
  <c r="K10" i="9"/>
  <c r="K9" i="9"/>
  <c r="K8" i="9"/>
  <c r="K7" i="9"/>
  <c r="K6" i="9"/>
  <c r="K5" i="9"/>
  <c r="K3" i="9"/>
  <c r="B180" i="9" l="1"/>
  <c r="B179" i="9"/>
  <c r="B170" i="9"/>
  <c r="B169" i="9"/>
  <c r="B164" i="9"/>
  <c r="B163" i="9"/>
  <c r="B158" i="9"/>
  <c r="B157" i="9"/>
  <c r="B154" i="9"/>
  <c r="B148" i="9"/>
  <c r="B138" i="9"/>
  <c r="B136" i="9"/>
  <c r="B135" i="9"/>
  <c r="B129" i="9"/>
  <c r="B127" i="9"/>
  <c r="B122" i="9"/>
  <c r="B120" i="9"/>
  <c r="B99" i="9"/>
  <c r="B89" i="9"/>
  <c r="B88" i="9"/>
  <c r="B82" i="9"/>
  <c r="B81" i="9"/>
  <c r="B70" i="9"/>
  <c r="B80" i="9"/>
  <c r="B79" i="9"/>
  <c r="B75" i="9"/>
  <c r="B63" i="9"/>
  <c r="B61" i="9"/>
  <c r="B48" i="9"/>
  <c r="B44" i="9"/>
  <c r="B39" i="9"/>
  <c r="B37" i="9"/>
  <c r="B36" i="9"/>
  <c r="B35" i="9"/>
  <c r="B30" i="9"/>
  <c r="B12" i="9"/>
  <c r="B181" i="9"/>
  <c r="B178" i="9"/>
  <c r="B177" i="9"/>
  <c r="B176" i="9"/>
  <c r="B175" i="9"/>
  <c r="B174" i="9"/>
  <c r="B173" i="9"/>
  <c r="B172" i="9"/>
  <c r="B171" i="9"/>
  <c r="B168" i="9"/>
  <c r="B167" i="9"/>
  <c r="B166" i="9"/>
  <c r="B165" i="9"/>
  <c r="B162" i="9"/>
  <c r="B159" i="9"/>
  <c r="B156" i="9"/>
  <c r="B155" i="9"/>
  <c r="B153" i="9"/>
  <c r="B152" i="9"/>
  <c r="B151" i="9"/>
  <c r="B150" i="9"/>
  <c r="B149" i="9"/>
  <c r="B147" i="9"/>
  <c r="B146" i="9"/>
  <c r="B145" i="9"/>
  <c r="B144" i="9"/>
  <c r="B143" i="9"/>
  <c r="B142" i="9"/>
  <c r="B140" i="9"/>
  <c r="B139" i="9"/>
  <c r="B137" i="9"/>
  <c r="B134" i="9"/>
  <c r="B133" i="9"/>
  <c r="B132" i="9"/>
  <c r="B131" i="9"/>
  <c r="B130" i="9"/>
  <c r="B128" i="9"/>
  <c r="B126" i="9"/>
  <c r="B125" i="9"/>
  <c r="B124" i="9"/>
  <c r="B123" i="9"/>
  <c r="B121" i="9"/>
  <c r="B119" i="9"/>
  <c r="B118" i="9"/>
  <c r="B117" i="9"/>
  <c r="B116" i="9"/>
  <c r="B115" i="9"/>
  <c r="B114" i="9"/>
  <c r="B113" i="9"/>
  <c r="B112" i="9"/>
  <c r="B111" i="9"/>
  <c r="B110" i="9"/>
  <c r="B109" i="9"/>
  <c r="B108" i="9"/>
  <c r="B107" i="9"/>
  <c r="B106" i="9"/>
  <c r="B105" i="9"/>
  <c r="B104" i="9"/>
  <c r="B102" i="9"/>
  <c r="B101" i="9"/>
  <c r="B100" i="9"/>
  <c r="B98" i="9"/>
  <c r="B97" i="9"/>
  <c r="B96" i="9"/>
  <c r="B95" i="9"/>
  <c r="B94" i="9"/>
  <c r="B93" i="9"/>
  <c r="B92" i="9"/>
  <c r="B91" i="9"/>
  <c r="B90" i="9"/>
  <c r="B87" i="9"/>
  <c r="B86" i="9"/>
  <c r="B85" i="9"/>
  <c r="B84" i="9"/>
  <c r="B83" i="9"/>
  <c r="B78" i="9"/>
  <c r="B77" i="9"/>
  <c r="B76" i="9"/>
  <c r="B74" i="9"/>
  <c r="B73" i="9"/>
  <c r="B72" i="9"/>
  <c r="B71" i="9"/>
  <c r="B69" i="9"/>
  <c r="B68" i="9"/>
  <c r="B67" i="9"/>
  <c r="B66" i="9"/>
  <c r="B65" i="9"/>
  <c r="B64" i="9"/>
  <c r="B62" i="9"/>
  <c r="B60" i="9"/>
  <c r="B59" i="9"/>
  <c r="B58" i="9"/>
  <c r="B57" i="9"/>
  <c r="B56" i="9"/>
  <c r="B55" i="9"/>
  <c r="B54" i="9"/>
  <c r="B53" i="9"/>
  <c r="B52" i="9"/>
  <c r="B51" i="9"/>
  <c r="B50" i="9"/>
  <c r="B49" i="9"/>
  <c r="B47" i="9"/>
  <c r="B46" i="9"/>
  <c r="B45" i="9"/>
  <c r="B43" i="9"/>
  <c r="B42" i="9"/>
  <c r="B40" i="9"/>
  <c r="B38" i="9"/>
  <c r="B34" i="9"/>
  <c r="B33" i="9"/>
  <c r="B32" i="9"/>
  <c r="B31" i="9"/>
  <c r="B29" i="9"/>
  <c r="B28" i="9"/>
  <c r="B27" i="9"/>
  <c r="B26" i="9"/>
  <c r="B25" i="9"/>
  <c r="B24" i="9"/>
  <c r="B23" i="9"/>
  <c r="B22" i="9"/>
  <c r="B21" i="9"/>
  <c r="B20" i="9"/>
  <c r="B19" i="9"/>
  <c r="B18" i="9"/>
  <c r="B17" i="9"/>
  <c r="B16" i="9"/>
  <c r="B15" i="9"/>
  <c r="B14" i="9"/>
  <c r="B13" i="9"/>
  <c r="B11" i="9"/>
  <c r="B10" i="9"/>
  <c r="B9" i="9"/>
  <c r="B8" i="9"/>
  <c r="B7" i="9"/>
  <c r="B6" i="9"/>
  <c r="B5" i="9"/>
  <c r="B3" i="9"/>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H83" i="25"/>
  <c r="F159" i="19" l="1"/>
  <c r="F158" i="19"/>
  <c r="F156" i="19"/>
  <c r="A181" i="1"/>
  <c r="H82" i="25" l="1"/>
  <c r="I82" i="25" s="1"/>
  <c r="H81" i="25"/>
  <c r="I81" i="25" s="1"/>
  <c r="H80" i="25"/>
  <c r="I80" i="25" s="1"/>
  <c r="H79" i="25"/>
  <c r="I79" i="25" s="1"/>
  <c r="H78" i="25"/>
  <c r="I78" i="25" s="1"/>
  <c r="H77" i="25"/>
  <c r="I77" i="25" s="1"/>
  <c r="H76" i="25"/>
  <c r="I76" i="25" s="1"/>
  <c r="H75" i="25"/>
  <c r="I75" i="25" s="1"/>
  <c r="H74" i="25"/>
  <c r="I74" i="25" s="1"/>
  <c r="H73" i="25"/>
  <c r="I73" i="25" s="1"/>
  <c r="H72" i="25"/>
  <c r="I72" i="25" s="1"/>
  <c r="H71" i="25"/>
  <c r="I71" i="25" s="1"/>
  <c r="H70" i="25"/>
  <c r="I70" i="25" s="1"/>
  <c r="H69" i="25"/>
  <c r="I69" i="25" s="1"/>
  <c r="H68" i="25"/>
  <c r="I68" i="25" s="1"/>
  <c r="H67" i="25"/>
  <c r="I67" i="25" s="1"/>
  <c r="H66" i="25"/>
  <c r="I66" i="25" s="1"/>
  <c r="H65" i="25"/>
  <c r="I65" i="25" s="1"/>
  <c r="H64" i="25"/>
  <c r="I64" i="25" s="1"/>
  <c r="H63" i="25"/>
  <c r="I63" i="25" s="1"/>
  <c r="H62" i="25"/>
  <c r="I62" i="25" s="1"/>
  <c r="H61" i="25"/>
  <c r="I61" i="25" s="1"/>
  <c r="H60" i="25"/>
  <c r="I60" i="25" s="1"/>
  <c r="H59" i="25"/>
  <c r="I59" i="25" s="1"/>
  <c r="H58" i="25"/>
  <c r="I58" i="25" s="1"/>
  <c r="H57" i="25"/>
  <c r="I57" i="25" s="1"/>
  <c r="H56" i="25"/>
  <c r="I56" i="25" s="1"/>
  <c r="H55" i="25"/>
  <c r="I55" i="25" s="1"/>
  <c r="H54" i="25"/>
  <c r="I54" i="25" s="1"/>
  <c r="H53" i="25"/>
  <c r="I53" i="25" s="1"/>
  <c r="H52" i="25"/>
  <c r="I52" i="25" s="1"/>
  <c r="H51" i="25"/>
  <c r="I51" i="25" s="1"/>
  <c r="H50" i="25"/>
  <c r="I50" i="25" s="1"/>
  <c r="H49" i="25"/>
  <c r="I49" i="25" s="1"/>
  <c r="H48" i="25"/>
  <c r="I48" i="25" s="1"/>
  <c r="H47" i="25"/>
  <c r="I47" i="25" s="1"/>
  <c r="H46" i="25"/>
  <c r="I46" i="25" s="1"/>
  <c r="H45" i="25"/>
  <c r="I45" i="25" s="1"/>
  <c r="H44" i="25"/>
  <c r="I44" i="25" s="1"/>
  <c r="H43" i="25"/>
  <c r="I43" i="25" s="1"/>
  <c r="H42" i="25"/>
  <c r="I42" i="25" s="1"/>
  <c r="H41" i="25"/>
  <c r="I41" i="25" s="1"/>
  <c r="H40" i="25"/>
  <c r="I40" i="25" s="1"/>
  <c r="H39" i="25"/>
  <c r="I39" i="25" s="1"/>
  <c r="H38" i="25"/>
  <c r="I38" i="25" s="1"/>
  <c r="H37" i="25"/>
  <c r="I37" i="25" s="1"/>
  <c r="H36" i="25"/>
  <c r="I36" i="25" s="1"/>
  <c r="H35" i="25"/>
  <c r="I35" i="25" s="1"/>
  <c r="H34" i="25"/>
  <c r="I34" i="25" s="1"/>
  <c r="H33" i="25"/>
  <c r="I33" i="25" s="1"/>
  <c r="H32" i="25"/>
  <c r="I32" i="25" s="1"/>
  <c r="H31" i="25"/>
  <c r="I31" i="25" s="1"/>
  <c r="H30" i="25"/>
  <c r="I30" i="25" s="1"/>
  <c r="H29" i="25"/>
  <c r="I29" i="25" s="1"/>
  <c r="H28" i="25"/>
  <c r="I28" i="25" s="1"/>
  <c r="H27" i="25"/>
  <c r="I27" i="25" s="1"/>
  <c r="H26" i="25"/>
  <c r="I26" i="25" s="1"/>
  <c r="H25" i="25"/>
  <c r="I25" i="25" s="1"/>
  <c r="H24" i="25"/>
  <c r="I24" i="25" s="1"/>
  <c r="H23" i="25"/>
  <c r="I23" i="25" s="1"/>
  <c r="H22" i="25"/>
  <c r="I22" i="25" s="1"/>
  <c r="H21" i="25"/>
  <c r="I21" i="25" s="1"/>
  <c r="H20" i="25"/>
  <c r="I20" i="25" s="1"/>
  <c r="H19" i="25"/>
  <c r="I19" i="25" s="1"/>
  <c r="H18" i="25"/>
  <c r="I18" i="25" s="1"/>
  <c r="H17" i="25"/>
  <c r="I17" i="25" s="1"/>
  <c r="H16" i="25"/>
  <c r="I16" i="25" s="1"/>
  <c r="H15" i="25"/>
  <c r="I15" i="25" s="1"/>
  <c r="H14" i="25"/>
  <c r="I14" i="25" s="1"/>
  <c r="H13" i="25"/>
  <c r="I13" i="25" s="1"/>
  <c r="H12" i="25"/>
  <c r="I12" i="25" s="1"/>
  <c r="H11" i="25"/>
  <c r="I11" i="25" s="1"/>
  <c r="H10" i="25"/>
  <c r="I10" i="25" s="1"/>
  <c r="H9" i="25"/>
  <c r="I9" i="25" s="1"/>
  <c r="H8" i="25"/>
  <c r="I8" i="25" s="1"/>
  <c r="H7" i="25"/>
  <c r="I7" i="25" s="1"/>
  <c r="H6" i="25"/>
  <c r="I6" i="25" s="1"/>
  <c r="H5" i="25"/>
  <c r="I5" i="25" s="1"/>
  <c r="H4" i="25"/>
  <c r="I4" i="25" s="1"/>
  <c r="H3" i="25"/>
  <c r="I3" i="25" s="1"/>
  <c r="H2" i="25"/>
  <c r="I2" i="25" s="1"/>
  <c r="B158" i="19" l="1"/>
  <c r="B153" i="19"/>
  <c r="B152" i="19"/>
  <c r="B150" i="19"/>
  <c r="B148" i="19"/>
  <c r="B146" i="19"/>
  <c r="B145" i="19"/>
  <c r="B144" i="19"/>
  <c r="B142" i="19"/>
  <c r="B141" i="19"/>
  <c r="B139" i="19"/>
  <c r="B138" i="19"/>
  <c r="B137" i="19"/>
  <c r="B136" i="19"/>
  <c r="B134" i="19"/>
  <c r="B133" i="19"/>
  <c r="B132" i="19"/>
  <c r="B131" i="19"/>
  <c r="B130" i="19"/>
  <c r="B129" i="19"/>
  <c r="B125" i="19"/>
  <c r="B124" i="19"/>
  <c r="B123" i="19"/>
  <c r="B122" i="19"/>
  <c r="B121" i="19"/>
  <c r="B119" i="19"/>
  <c r="B118" i="19"/>
  <c r="B117" i="19"/>
  <c r="B116" i="19"/>
  <c r="B115" i="19"/>
  <c r="B114" i="19"/>
  <c r="B113" i="19"/>
  <c r="B112" i="19"/>
  <c r="B109" i="19"/>
  <c r="B108" i="19"/>
  <c r="B106" i="19"/>
  <c r="B105" i="19"/>
  <c r="B104" i="19"/>
  <c r="B101" i="19"/>
  <c r="B100" i="19"/>
  <c r="B99" i="19"/>
  <c r="B97" i="19"/>
  <c r="B95" i="19"/>
  <c r="B93" i="19"/>
  <c r="B90" i="19"/>
  <c r="B89" i="19"/>
  <c r="B88" i="19"/>
  <c r="B87" i="19"/>
  <c r="B86" i="19"/>
  <c r="B85" i="19"/>
  <c r="B84" i="19"/>
  <c r="B83" i="19"/>
  <c r="B77" i="19"/>
  <c r="B76" i="19"/>
  <c r="B74" i="19"/>
  <c r="B73" i="19"/>
  <c r="B72" i="19"/>
  <c r="B71" i="19"/>
  <c r="B70" i="19"/>
  <c r="B69" i="19"/>
  <c r="B68" i="19"/>
  <c r="B67" i="19"/>
  <c r="B66" i="19"/>
  <c r="B65" i="19"/>
  <c r="B64" i="19"/>
  <c r="B63" i="19"/>
  <c r="B62" i="19"/>
  <c r="B60" i="19"/>
  <c r="B59" i="19"/>
  <c r="B58" i="19"/>
  <c r="B57" i="19"/>
  <c r="B56" i="19"/>
  <c r="B55" i="19"/>
  <c r="B54" i="19"/>
  <c r="B53" i="19"/>
  <c r="B52" i="19"/>
  <c r="B51" i="19"/>
  <c r="B50" i="19"/>
  <c r="B47" i="19"/>
  <c r="B46" i="19"/>
  <c r="B45" i="19"/>
  <c r="B44" i="19"/>
  <c r="B43" i="19"/>
  <c r="B41" i="19"/>
  <c r="B40" i="19"/>
  <c r="B39" i="19"/>
  <c r="B34" i="19"/>
  <c r="B32" i="19"/>
  <c r="B30" i="19"/>
  <c r="B29" i="19"/>
  <c r="B28" i="19"/>
  <c r="B27" i="19"/>
  <c r="B26" i="19"/>
  <c r="B25" i="19"/>
  <c r="B23" i="19"/>
  <c r="B22" i="19"/>
  <c r="B21" i="19"/>
  <c r="B20" i="19"/>
  <c r="B19" i="19"/>
  <c r="B18" i="19"/>
  <c r="B17" i="19"/>
  <c r="B15" i="19"/>
  <c r="B14" i="19"/>
  <c r="B13" i="19"/>
  <c r="B12" i="19"/>
  <c r="B11" i="19"/>
  <c r="B9" i="19"/>
  <c r="B8" i="19"/>
  <c r="B7" i="19"/>
  <c r="B6" i="19"/>
  <c r="B5" i="19"/>
  <c r="B4" i="19"/>
  <c r="B2" i="19"/>
  <c r="C159" i="19"/>
  <c r="C158" i="19"/>
  <c r="C155" i="19"/>
  <c r="C151" i="19"/>
  <c r="C150" i="19"/>
  <c r="C148" i="19"/>
  <c r="C146" i="19"/>
  <c r="C145" i="19"/>
  <c r="C140" i="19"/>
  <c r="C137" i="19"/>
  <c r="C136" i="19"/>
  <c r="C134" i="19"/>
  <c r="C133" i="19"/>
  <c r="C132" i="19"/>
  <c r="C131" i="19"/>
  <c r="C125" i="19"/>
  <c r="C124" i="19"/>
  <c r="C123" i="19"/>
  <c r="C121" i="19"/>
  <c r="C119" i="19"/>
  <c r="C118" i="19"/>
  <c r="C117" i="19"/>
  <c r="C115" i="19"/>
  <c r="C113" i="19"/>
  <c r="C112" i="19"/>
  <c r="C111" i="19"/>
  <c r="C110" i="19"/>
  <c r="C109" i="19"/>
  <c r="C108" i="19"/>
  <c r="C107" i="19"/>
  <c r="C106" i="19"/>
  <c r="C105" i="19"/>
  <c r="C102" i="19"/>
  <c r="C100" i="19"/>
  <c r="C99" i="19"/>
  <c r="C97" i="19"/>
  <c r="C96" i="19"/>
  <c r="C95" i="19"/>
  <c r="C94" i="19"/>
  <c r="C93" i="19"/>
  <c r="C92" i="19"/>
  <c r="C91" i="19"/>
  <c r="C90" i="19"/>
  <c r="C88" i="19"/>
  <c r="C87" i="19"/>
  <c r="C82" i="19"/>
  <c r="C81" i="19"/>
  <c r="C80" i="19"/>
  <c r="C79" i="19"/>
  <c r="C78" i="19"/>
  <c r="C77" i="19"/>
  <c r="C76" i="19"/>
  <c r="C75" i="19"/>
  <c r="C71" i="19"/>
  <c r="C70" i="19"/>
  <c r="C69" i="19"/>
  <c r="C68" i="19"/>
  <c r="C67" i="19"/>
  <c r="C66" i="19"/>
  <c r="C65" i="19"/>
  <c r="C64" i="19"/>
  <c r="C63" i="19"/>
  <c r="C62" i="19"/>
  <c r="C59" i="19"/>
  <c r="C58" i="19"/>
  <c r="C57" i="19"/>
  <c r="C56" i="19"/>
  <c r="C55" i="19"/>
  <c r="C54" i="19"/>
  <c r="C53" i="19"/>
  <c r="C52" i="19"/>
  <c r="C51" i="19"/>
  <c r="C47" i="19"/>
  <c r="C46" i="19"/>
  <c r="C45" i="19"/>
  <c r="C44" i="19"/>
  <c r="C43" i="19"/>
  <c r="C41" i="19"/>
  <c r="C40" i="19"/>
  <c r="C39" i="19"/>
  <c r="C38" i="19"/>
  <c r="C32" i="19"/>
  <c r="C31" i="19"/>
  <c r="C29" i="19"/>
  <c r="C28" i="19"/>
  <c r="C27" i="19"/>
  <c r="C25" i="19"/>
  <c r="C24" i="19"/>
  <c r="C23" i="19"/>
  <c r="C22" i="19"/>
  <c r="C21" i="19"/>
  <c r="C17" i="19"/>
  <c r="C16" i="19"/>
  <c r="C15" i="19"/>
  <c r="C14" i="19"/>
  <c r="C13" i="19"/>
  <c r="C12" i="19"/>
  <c r="C11" i="19"/>
  <c r="C10" i="19"/>
  <c r="C7" i="19"/>
  <c r="C6" i="19"/>
  <c r="C4" i="19"/>
  <c r="C3" i="19"/>
  <c r="A167" i="1"/>
  <c r="A168" i="1"/>
  <c r="A169" i="1"/>
  <c r="A170" i="1"/>
  <c r="A171" i="1"/>
  <c r="A172" i="1"/>
  <c r="A173" i="1"/>
  <c r="A174" i="1"/>
  <c r="A175" i="1"/>
  <c r="A176" i="1"/>
  <c r="A177" i="1"/>
  <c r="A178" i="1"/>
  <c r="A179" i="1"/>
  <c r="A180" i="1"/>
  <c r="A182" i="1"/>
  <c r="A183" i="1"/>
  <c r="A184" i="1"/>
  <c r="A185" i="1"/>
  <c r="A186" i="1"/>
  <c r="A187" i="1"/>
  <c r="B76" i="10"/>
  <c r="I62" i="10" s="1"/>
  <c r="I16" i="26"/>
  <c r="C142" i="24"/>
  <c r="B142" i="24" s="1"/>
  <c r="B176" i="23"/>
  <c r="B181" i="1" s="1"/>
  <c r="B182" i="23"/>
  <c r="B187" i="1" s="1"/>
  <c r="B181" i="23"/>
  <c r="B186" i="1" s="1"/>
  <c r="B180" i="23"/>
  <c r="B185" i="1" s="1"/>
  <c r="B179" i="23"/>
  <c r="B184" i="1" s="1"/>
  <c r="B178" i="23"/>
  <c r="B183" i="1" s="1"/>
  <c r="B177" i="23"/>
  <c r="B182" i="1" s="1"/>
  <c r="B175" i="23"/>
  <c r="B174" i="23"/>
  <c r="B173" i="23"/>
  <c r="B178" i="1" s="1"/>
  <c r="B172" i="23"/>
  <c r="B177" i="1" s="1"/>
  <c r="B171" i="23"/>
  <c r="B176" i="1" s="1"/>
  <c r="B170" i="23"/>
  <c r="B175" i="1" s="1"/>
  <c r="B169" i="23"/>
  <c r="B174" i="1" s="1"/>
  <c r="B168" i="23"/>
  <c r="B173" i="1" s="1"/>
  <c r="B167" i="23"/>
  <c r="B172" i="1" s="1"/>
  <c r="B166" i="23"/>
  <c r="B171" i="1" s="1"/>
  <c r="B165" i="23"/>
  <c r="B170" i="1" s="1"/>
  <c r="B164" i="23"/>
  <c r="B30" i="17" s="1"/>
  <c r="B163" i="23"/>
  <c r="B168" i="1" s="1"/>
  <c r="B162" i="23"/>
  <c r="B167" i="1" s="1"/>
  <c r="B156" i="19"/>
  <c r="B155" i="19"/>
  <c r="B151" i="19"/>
  <c r="B147" i="19"/>
  <c r="B107" i="19"/>
  <c r="B102" i="19"/>
  <c r="B96" i="19"/>
  <c r="B94" i="19"/>
  <c r="B91" i="19"/>
  <c r="B80" i="19"/>
  <c r="B78" i="19"/>
  <c r="B49" i="19"/>
  <c r="B48" i="19"/>
  <c r="B38" i="19"/>
  <c r="B16" i="19"/>
  <c r="C157" i="19"/>
  <c r="C152" i="19"/>
  <c r="C147" i="19"/>
  <c r="C139" i="19"/>
  <c r="C138" i="19"/>
  <c r="C126" i="19"/>
  <c r="C114" i="19"/>
  <c r="C98" i="19"/>
  <c r="C86" i="19"/>
  <c r="C84" i="19"/>
  <c r="C83" i="19"/>
  <c r="C73" i="19"/>
  <c r="B3" i="19"/>
  <c r="C2" i="19"/>
  <c r="B39" i="24"/>
  <c r="C159" i="24"/>
  <c r="B159" i="24" s="1"/>
  <c r="C158" i="24"/>
  <c r="B158" i="24" s="1"/>
  <c r="C156" i="24"/>
  <c r="B156" i="24" s="1"/>
  <c r="B145" i="24"/>
  <c r="B136" i="24"/>
  <c r="B135" i="24"/>
  <c r="B127" i="24"/>
  <c r="B120" i="24"/>
  <c r="B107" i="24"/>
  <c r="B99" i="24"/>
  <c r="B92" i="24"/>
  <c r="B91" i="24"/>
  <c r="B88" i="24"/>
  <c r="B82" i="24"/>
  <c r="B79" i="24"/>
  <c r="B75" i="24"/>
  <c r="B63" i="24"/>
  <c r="B61" i="24"/>
  <c r="B41" i="24"/>
  <c r="B37" i="24"/>
  <c r="B36" i="24"/>
  <c r="B35" i="24"/>
  <c r="B30" i="24"/>
  <c r="B18" i="24"/>
  <c r="B4" i="24"/>
  <c r="D188" i="10"/>
  <c r="B159" i="19"/>
  <c r="B140" i="19"/>
  <c r="B126" i="19"/>
  <c r="B110" i="19"/>
  <c r="B98" i="19"/>
  <c r="B92" i="19"/>
  <c r="B82" i="19"/>
  <c r="B31" i="19"/>
  <c r="C142" i="19"/>
  <c r="C130" i="19"/>
  <c r="C122" i="19"/>
  <c r="C104" i="19"/>
  <c r="C85" i="19"/>
  <c r="C72" i="19"/>
  <c r="C61" i="19"/>
  <c r="C50" i="19"/>
  <c r="C48" i="19"/>
  <c r="C34" i="19"/>
  <c r="C33" i="19"/>
  <c r="C20" i="19"/>
  <c r="C9" i="19"/>
  <c r="C5" i="19"/>
  <c r="B137" i="10"/>
  <c r="I124" i="10" s="1"/>
  <c r="M124" i="10" s="1"/>
  <c r="B157" i="19"/>
  <c r="C154" i="19"/>
  <c r="B154" i="19"/>
  <c r="C153" i="19"/>
  <c r="C144" i="19"/>
  <c r="C143" i="19"/>
  <c r="B143" i="19"/>
  <c r="C141" i="19"/>
  <c r="C129" i="19"/>
  <c r="C128" i="19"/>
  <c r="B128" i="19"/>
  <c r="C127" i="19"/>
  <c r="B127" i="19"/>
  <c r="C116" i="19"/>
  <c r="B111" i="19"/>
  <c r="C101" i="19"/>
  <c r="C89" i="19"/>
  <c r="B81" i="19"/>
  <c r="B79" i="19"/>
  <c r="B75" i="19"/>
  <c r="C74" i="19"/>
  <c r="B61" i="19"/>
  <c r="C60" i="19"/>
  <c r="C49" i="19"/>
  <c r="C42" i="19"/>
  <c r="B42" i="19"/>
  <c r="C37" i="19"/>
  <c r="B37" i="19"/>
  <c r="C36" i="19"/>
  <c r="B36" i="19"/>
  <c r="C35" i="19"/>
  <c r="B35" i="19"/>
  <c r="B33" i="19"/>
  <c r="C30" i="19"/>
  <c r="C26" i="19"/>
  <c r="B24" i="19"/>
  <c r="C19" i="19"/>
  <c r="C18" i="19"/>
  <c r="B10" i="19"/>
  <c r="C8" i="19"/>
  <c r="C156" i="19"/>
  <c r="C141" i="24"/>
  <c r="B141" i="24" s="1"/>
  <c r="C137" i="24"/>
  <c r="B137" i="24" s="1"/>
  <c r="C130" i="24"/>
  <c r="B130" i="24" s="1"/>
  <c r="C93" i="24"/>
  <c r="B93" i="24" s="1"/>
  <c r="C90" i="24"/>
  <c r="B90" i="24" s="1"/>
  <c r="C67" i="24"/>
  <c r="B67" i="24" s="1"/>
  <c r="J41" i="23"/>
  <c r="L3" i="23" s="1"/>
  <c r="A82" i="19"/>
  <c r="A79" i="24"/>
  <c r="K25" i="1"/>
  <c r="J27" i="1"/>
  <c r="J28" i="1"/>
  <c r="J29" i="1"/>
  <c r="B1" i="3"/>
  <c r="A107" i="2"/>
  <c r="B20" i="17"/>
  <c r="B19" i="17"/>
  <c r="B123" i="10"/>
  <c r="F176" i="10" s="1"/>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6" i="2"/>
  <c r="A105" i="2"/>
  <c r="A104" i="2"/>
  <c r="A102" i="2"/>
  <c r="A101" i="2"/>
  <c r="A100" i="2"/>
  <c r="A99" i="2"/>
  <c r="A98" i="2"/>
  <c r="A97" i="2"/>
  <c r="A96" i="2"/>
  <c r="A95" i="2"/>
  <c r="A94" i="2"/>
  <c r="A93" i="2"/>
  <c r="A92" i="2"/>
  <c r="A91" i="2"/>
  <c r="A90" i="2"/>
  <c r="A89" i="2"/>
  <c r="A88" i="2"/>
  <c r="A87" i="2"/>
  <c r="A86" i="2"/>
  <c r="A85" i="2"/>
  <c r="A84" i="2"/>
  <c r="A83"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B167" i="10"/>
  <c r="I141" i="10" s="1"/>
  <c r="B61" i="10"/>
  <c r="F173" i="10" s="1"/>
  <c r="B96" i="10"/>
  <c r="I94" i="10" s="1"/>
  <c r="L94" i="10" s="1"/>
  <c r="B140" i="10"/>
  <c r="F178" i="10" s="1"/>
  <c r="B180" i="1"/>
  <c r="B179" i="1"/>
  <c r="K18" i="23"/>
  <c r="A2" i="2"/>
  <c r="A74" i="24"/>
  <c r="C74" i="24" s="1"/>
  <c r="B74" i="24" s="1"/>
  <c r="A37" i="24"/>
  <c r="A19" i="24"/>
  <c r="C19" i="24" s="1"/>
  <c r="B19" i="24" s="1"/>
  <c r="A2" i="24"/>
  <c r="A3" i="24"/>
  <c r="A4" i="24"/>
  <c r="A5" i="24"/>
  <c r="C5" i="24" s="1"/>
  <c r="B5" i="24" s="1"/>
  <c r="A6" i="24"/>
  <c r="C6" i="24" s="1"/>
  <c r="B6" i="24" s="1"/>
  <c r="A7" i="24"/>
  <c r="C7" i="24" s="1"/>
  <c r="B7" i="24" s="1"/>
  <c r="A8" i="24"/>
  <c r="C8" i="24" s="1"/>
  <c r="B8" i="24" s="1"/>
  <c r="A9" i="24"/>
  <c r="C9" i="24" s="1"/>
  <c r="B9" i="24" s="1"/>
  <c r="A10" i="24"/>
  <c r="C10" i="24" s="1"/>
  <c r="B10" i="24" s="1"/>
  <c r="A11" i="24"/>
  <c r="C11" i="24" s="1"/>
  <c r="B11" i="24" s="1"/>
  <c r="A12" i="24"/>
  <c r="C12" i="24" s="1"/>
  <c r="B12" i="24" s="1"/>
  <c r="A13" i="24"/>
  <c r="C13" i="24" s="1"/>
  <c r="B13" i="24" s="1"/>
  <c r="A14" i="24"/>
  <c r="C14" i="24" s="1"/>
  <c r="B14" i="24" s="1"/>
  <c r="A15" i="24"/>
  <c r="C15" i="24" s="1"/>
  <c r="B15" i="24" s="1"/>
  <c r="A16" i="24"/>
  <c r="C16" i="24" s="1"/>
  <c r="B16" i="24" s="1"/>
  <c r="A17" i="24"/>
  <c r="C17" i="24" s="1"/>
  <c r="B17" i="24" s="1"/>
  <c r="A18" i="24"/>
  <c r="A20" i="24"/>
  <c r="C20" i="24" s="1"/>
  <c r="B20" i="24" s="1"/>
  <c r="A21" i="24"/>
  <c r="C21" i="24" s="1"/>
  <c r="B21" i="24" s="1"/>
  <c r="A22" i="24"/>
  <c r="C22" i="24" s="1"/>
  <c r="B22" i="24" s="1"/>
  <c r="A23" i="24"/>
  <c r="C23" i="24" s="1"/>
  <c r="B23" i="24" s="1"/>
  <c r="A24" i="24"/>
  <c r="C24" i="24" s="1"/>
  <c r="B24" i="24" s="1"/>
  <c r="A25" i="24"/>
  <c r="C25" i="24" s="1"/>
  <c r="B25" i="24" s="1"/>
  <c r="A26" i="24"/>
  <c r="C26" i="24" s="1"/>
  <c r="B26" i="24" s="1"/>
  <c r="A27" i="24"/>
  <c r="C27" i="24" s="1"/>
  <c r="B27" i="24" s="1"/>
  <c r="A28" i="24"/>
  <c r="C28" i="24" s="1"/>
  <c r="B28" i="24" s="1"/>
  <c r="A29" i="24"/>
  <c r="C29" i="24" s="1"/>
  <c r="B29" i="24" s="1"/>
  <c r="A30" i="24"/>
  <c r="A31" i="24"/>
  <c r="C31" i="24" s="1"/>
  <c r="B31" i="24" s="1"/>
  <c r="A32" i="24"/>
  <c r="C32" i="24" s="1"/>
  <c r="B32" i="24" s="1"/>
  <c r="A33" i="24"/>
  <c r="C33" i="24" s="1"/>
  <c r="B33" i="24" s="1"/>
  <c r="A34" i="24"/>
  <c r="C34" i="24" s="1"/>
  <c r="B34" i="24" s="1"/>
  <c r="A35" i="24"/>
  <c r="A36" i="24"/>
  <c r="A38" i="24"/>
  <c r="C38" i="24" s="1"/>
  <c r="B38" i="24" s="1"/>
  <c r="A39" i="24"/>
  <c r="A40" i="24"/>
  <c r="C40" i="24" s="1"/>
  <c r="B40" i="24" s="1"/>
  <c r="A41" i="24"/>
  <c r="A42" i="24"/>
  <c r="C42" i="24" s="1"/>
  <c r="B42" i="24" s="1"/>
  <c r="A43" i="24"/>
  <c r="C43" i="24" s="1"/>
  <c r="B43" i="24" s="1"/>
  <c r="A44" i="24"/>
  <c r="C44" i="24" s="1"/>
  <c r="B44" i="24" s="1"/>
  <c r="A45" i="24"/>
  <c r="C45" i="24" s="1"/>
  <c r="B45" i="24" s="1"/>
  <c r="A46" i="24"/>
  <c r="C46" i="24" s="1"/>
  <c r="B46" i="24" s="1"/>
  <c r="A47" i="24"/>
  <c r="C47" i="24" s="1"/>
  <c r="B47" i="24" s="1"/>
  <c r="A48" i="24"/>
  <c r="C48" i="24" s="1"/>
  <c r="B48" i="24" s="1"/>
  <c r="A49" i="24"/>
  <c r="C49" i="24" s="1"/>
  <c r="B49" i="24" s="1"/>
  <c r="A50" i="24"/>
  <c r="C50" i="24" s="1"/>
  <c r="B50" i="24" s="1"/>
  <c r="A51" i="24"/>
  <c r="C51" i="24" s="1"/>
  <c r="B51" i="24" s="1"/>
  <c r="A52" i="24"/>
  <c r="C52" i="24" s="1"/>
  <c r="B52" i="24" s="1"/>
  <c r="A53" i="24"/>
  <c r="C53" i="24" s="1"/>
  <c r="B53" i="24" s="1"/>
  <c r="A54" i="24"/>
  <c r="C54" i="24" s="1"/>
  <c r="B54" i="24" s="1"/>
  <c r="A55" i="24"/>
  <c r="C55" i="24" s="1"/>
  <c r="B55" i="24" s="1"/>
  <c r="A56" i="24"/>
  <c r="C56" i="24" s="1"/>
  <c r="B56" i="24" s="1"/>
  <c r="A57" i="24"/>
  <c r="C57" i="24" s="1"/>
  <c r="B57" i="24" s="1"/>
  <c r="A58" i="24"/>
  <c r="C58" i="24" s="1"/>
  <c r="B58" i="24" s="1"/>
  <c r="A59" i="24"/>
  <c r="C59" i="24" s="1"/>
  <c r="B59" i="24" s="1"/>
  <c r="A60" i="24"/>
  <c r="C60" i="24" s="1"/>
  <c r="B60" i="24" s="1"/>
  <c r="A61" i="24"/>
  <c r="A62" i="24"/>
  <c r="C62" i="24" s="1"/>
  <c r="B62" i="24" s="1"/>
  <c r="A63" i="24"/>
  <c r="A64" i="24"/>
  <c r="C64" i="24" s="1"/>
  <c r="B64" i="24" s="1"/>
  <c r="A65" i="24"/>
  <c r="C65" i="24" s="1"/>
  <c r="B65" i="24" s="1"/>
  <c r="A66" i="24"/>
  <c r="C66" i="24" s="1"/>
  <c r="B66" i="24" s="1"/>
  <c r="A68" i="24"/>
  <c r="C68" i="24" s="1"/>
  <c r="B68" i="24" s="1"/>
  <c r="A69" i="24"/>
  <c r="C69" i="24" s="1"/>
  <c r="B69" i="24" s="1"/>
  <c r="A70" i="24"/>
  <c r="C70" i="24" s="1"/>
  <c r="B70" i="24" s="1"/>
  <c r="A71" i="24"/>
  <c r="C71" i="24" s="1"/>
  <c r="B71" i="24" s="1"/>
  <c r="A72" i="24"/>
  <c r="C72" i="24" s="1"/>
  <c r="B72" i="24" s="1"/>
  <c r="A73" i="24"/>
  <c r="C73" i="24" s="1"/>
  <c r="B73" i="24" s="1"/>
  <c r="A75" i="24"/>
  <c r="A76" i="24"/>
  <c r="C76" i="24" s="1"/>
  <c r="B76" i="24" s="1"/>
  <c r="A77" i="24"/>
  <c r="C77" i="24" s="1"/>
  <c r="B77" i="24" s="1"/>
  <c r="A78" i="24"/>
  <c r="C78" i="24" s="1"/>
  <c r="B78" i="24" s="1"/>
  <c r="A80" i="24"/>
  <c r="C80" i="24" s="1"/>
  <c r="B80" i="24" s="1"/>
  <c r="A81" i="24"/>
  <c r="C81" i="24" s="1"/>
  <c r="B81" i="24" s="1"/>
  <c r="A83" i="24"/>
  <c r="C83" i="24" s="1"/>
  <c r="B83" i="24" s="1"/>
  <c r="A84" i="24"/>
  <c r="C84" i="24" s="1"/>
  <c r="B84" i="24" s="1"/>
  <c r="A85" i="24"/>
  <c r="C85" i="24" s="1"/>
  <c r="B85" i="24" s="1"/>
  <c r="A86" i="24"/>
  <c r="C86" i="24" s="1"/>
  <c r="B86" i="24" s="1"/>
  <c r="A87" i="24"/>
  <c r="C87" i="24" s="1"/>
  <c r="B87" i="24" s="1"/>
  <c r="A88" i="24"/>
  <c r="A89" i="24"/>
  <c r="C89" i="24" s="1"/>
  <c r="B89" i="24" s="1"/>
  <c r="A91" i="24"/>
  <c r="A94" i="24"/>
  <c r="C94" i="24" s="1"/>
  <c r="B94" i="24" s="1"/>
  <c r="A95" i="24"/>
  <c r="C95" i="24" s="1"/>
  <c r="B95" i="24" s="1"/>
  <c r="A96" i="24"/>
  <c r="C96" i="24" s="1"/>
  <c r="B96" i="24" s="1"/>
  <c r="A97" i="24"/>
  <c r="C97" i="24" s="1"/>
  <c r="B97" i="24" s="1"/>
  <c r="A98" i="24"/>
  <c r="C98" i="24" s="1"/>
  <c r="B98" i="24" s="1"/>
  <c r="A99" i="24"/>
  <c r="A100" i="24"/>
  <c r="C100" i="24" s="1"/>
  <c r="B100" i="24" s="1"/>
  <c r="A101" i="24"/>
  <c r="C101" i="24" s="1"/>
  <c r="B101" i="24" s="1"/>
  <c r="A102" i="24"/>
  <c r="C102" i="24" s="1"/>
  <c r="B102" i="24" s="1"/>
  <c r="A104" i="24"/>
  <c r="C104" i="24" s="1"/>
  <c r="B104" i="24" s="1"/>
  <c r="A105" i="24"/>
  <c r="C105" i="24" s="1"/>
  <c r="B105" i="24" s="1"/>
  <c r="A106" i="24"/>
  <c r="C106" i="24" s="1"/>
  <c r="B106" i="24" s="1"/>
  <c r="A108" i="24"/>
  <c r="C108" i="24" s="1"/>
  <c r="B108" i="24" s="1"/>
  <c r="A109" i="24"/>
  <c r="C109" i="24" s="1"/>
  <c r="B109" i="24" s="1"/>
  <c r="A110" i="24"/>
  <c r="C110" i="24" s="1"/>
  <c r="B110" i="24" s="1"/>
  <c r="A111" i="24"/>
  <c r="C111" i="24" s="1"/>
  <c r="B111" i="24" s="1"/>
  <c r="A112" i="24"/>
  <c r="C112" i="24" s="1"/>
  <c r="B112" i="24" s="1"/>
  <c r="A113" i="24"/>
  <c r="C113" i="24" s="1"/>
  <c r="B113" i="24" s="1"/>
  <c r="A114" i="24"/>
  <c r="C114" i="24" s="1"/>
  <c r="B114" i="24" s="1"/>
  <c r="A115" i="24"/>
  <c r="C115" i="24" s="1"/>
  <c r="B115" i="24" s="1"/>
  <c r="A116" i="24"/>
  <c r="C116" i="24" s="1"/>
  <c r="B116" i="24" s="1"/>
  <c r="A117" i="24"/>
  <c r="C117" i="24" s="1"/>
  <c r="B117" i="24" s="1"/>
  <c r="A118" i="24"/>
  <c r="C118" i="24" s="1"/>
  <c r="B118" i="24" s="1"/>
  <c r="A119" i="24"/>
  <c r="C119" i="24" s="1"/>
  <c r="B119" i="24" s="1"/>
  <c r="A120" i="24"/>
  <c r="A121" i="24"/>
  <c r="C121" i="24" s="1"/>
  <c r="B121" i="24" s="1"/>
  <c r="A122" i="24"/>
  <c r="B122" i="24" s="1"/>
  <c r="A123" i="24"/>
  <c r="C123" i="24" s="1"/>
  <c r="B123" i="24" s="1"/>
  <c r="A124" i="24"/>
  <c r="C124" i="24" s="1"/>
  <c r="B124" i="24" s="1"/>
  <c r="A125" i="24"/>
  <c r="C125" i="24" s="1"/>
  <c r="B125" i="24" s="1"/>
  <c r="A126" i="24"/>
  <c r="C126" i="24" s="1"/>
  <c r="B126" i="24" s="1"/>
  <c r="A127" i="24"/>
  <c r="A128" i="24"/>
  <c r="C128" i="24" s="1"/>
  <c r="B128" i="24" s="1"/>
  <c r="A129" i="24"/>
  <c r="C129" i="24" s="1"/>
  <c r="B129" i="24" s="1"/>
  <c r="A131" i="24"/>
  <c r="C131" i="24" s="1"/>
  <c r="B131" i="24" s="1"/>
  <c r="A132" i="24"/>
  <c r="C132" i="24" s="1"/>
  <c r="B132" i="24" s="1"/>
  <c r="A133" i="24"/>
  <c r="C133" i="24" s="1"/>
  <c r="B133" i="24" s="1"/>
  <c r="A134" i="24"/>
  <c r="C134" i="24" s="1"/>
  <c r="B134" i="24" s="1"/>
  <c r="A135" i="24"/>
  <c r="A136" i="24"/>
  <c r="A138" i="24"/>
  <c r="C138" i="24" s="1"/>
  <c r="B138" i="24" s="1"/>
  <c r="A139" i="24"/>
  <c r="C139" i="24" s="1"/>
  <c r="B139" i="24" s="1"/>
  <c r="A140" i="24"/>
  <c r="C140" i="24" s="1"/>
  <c r="B140" i="24" s="1"/>
  <c r="A143" i="24"/>
  <c r="C143" i="24" s="1"/>
  <c r="B143" i="24" s="1"/>
  <c r="A144" i="24"/>
  <c r="C144" i="24" s="1"/>
  <c r="B144" i="24" s="1"/>
  <c r="A146" i="24"/>
  <c r="C146" i="24" s="1"/>
  <c r="B146" i="24" s="1"/>
  <c r="A147" i="24"/>
  <c r="C147" i="24" s="1"/>
  <c r="B147" i="24" s="1"/>
  <c r="A148" i="24"/>
  <c r="C148" i="24" s="1"/>
  <c r="B148" i="24" s="1"/>
  <c r="A149" i="24"/>
  <c r="C149" i="24" s="1"/>
  <c r="B149" i="24" s="1"/>
  <c r="A150" i="24"/>
  <c r="C150" i="24" s="1"/>
  <c r="B150" i="24" s="1"/>
  <c r="A151" i="24"/>
  <c r="C151" i="24" s="1"/>
  <c r="B151" i="24" s="1"/>
  <c r="A152" i="24"/>
  <c r="C152" i="24" s="1"/>
  <c r="B152" i="24" s="1"/>
  <c r="A153" i="24"/>
  <c r="C153" i="24" s="1"/>
  <c r="B153" i="24" s="1"/>
  <c r="A154" i="24"/>
  <c r="C154" i="24" s="1"/>
  <c r="B154" i="24" s="1"/>
  <c r="A155" i="24"/>
  <c r="C155" i="24" s="1"/>
  <c r="B155" i="24" s="1"/>
  <c r="A157" i="24"/>
  <c r="C157" i="24" s="1"/>
  <c r="B157" i="24" s="1"/>
  <c r="A179" i="10"/>
  <c r="A178" i="10"/>
  <c r="A177" i="10"/>
  <c r="A176" i="10"/>
  <c r="A175" i="10"/>
  <c r="A174" i="10"/>
  <c r="A173" i="10"/>
  <c r="A172" i="10"/>
  <c r="A171" i="10"/>
  <c r="C1" i="3"/>
  <c r="K30" i="1"/>
  <c r="A87" i="5"/>
  <c r="A116" i="3"/>
  <c r="C116" i="3" s="1"/>
  <c r="A62" i="5"/>
  <c r="A61" i="5"/>
  <c r="A84" i="5"/>
  <c r="C84" i="5" s="1"/>
  <c r="A118" i="5"/>
  <c r="C118" i="5" s="1"/>
  <c r="A2" i="5"/>
  <c r="A2" i="3"/>
  <c r="C2" i="3" s="1"/>
  <c r="A86" i="5"/>
  <c r="A81" i="5"/>
  <c r="A5" i="3"/>
  <c r="C5" i="3" s="1"/>
  <c r="A108" i="5"/>
  <c r="C108" i="5" s="1"/>
  <c r="C188" i="10"/>
  <c r="B188" i="10"/>
  <c r="A40" i="5"/>
  <c r="C40" i="5" s="1"/>
  <c r="A36" i="5"/>
  <c r="A39" i="5"/>
  <c r="I43" i="10"/>
  <c r="M43" i="10" s="1"/>
  <c r="I148" i="10" l="1"/>
  <c r="K148" i="10" s="1"/>
  <c r="I129" i="10"/>
  <c r="K129" i="10" s="1"/>
  <c r="I126" i="10"/>
  <c r="K126" i="10" s="1"/>
  <c r="I72" i="10"/>
  <c r="I132" i="10"/>
  <c r="J132" i="10" s="1"/>
  <c r="I67" i="10"/>
  <c r="J67" i="10" s="1"/>
  <c r="F177" i="10"/>
  <c r="I135" i="10"/>
  <c r="L135" i="10" s="1"/>
  <c r="I133" i="10"/>
  <c r="L133" i="10" s="1"/>
  <c r="I131" i="10"/>
  <c r="L131" i="10" s="1"/>
  <c r="A82" i="2"/>
  <c r="E103" i="2"/>
  <c r="B103" i="2"/>
  <c r="B104" i="2"/>
  <c r="B2" i="2"/>
  <c r="A88" i="3"/>
  <c r="C88" i="3" s="1"/>
  <c r="A111" i="3"/>
  <c r="A101" i="5"/>
  <c r="A7" i="3"/>
  <c r="A21" i="5"/>
  <c r="A33" i="5"/>
  <c r="C33" i="5" s="1"/>
  <c r="A45" i="5"/>
  <c r="C45" i="5" s="1"/>
  <c r="A54" i="5"/>
  <c r="C54" i="5" s="1"/>
  <c r="A57" i="3"/>
  <c r="A69" i="3"/>
  <c r="A81" i="3"/>
  <c r="C81" i="3" s="1"/>
  <c r="A70" i="3"/>
  <c r="C70" i="3" s="1"/>
  <c r="A94" i="3"/>
  <c r="A117" i="5"/>
  <c r="C117" i="5" s="1"/>
  <c r="A25" i="5"/>
  <c r="C25" i="5" s="1"/>
  <c r="A49" i="5"/>
  <c r="C49" i="5" s="1"/>
  <c r="A60" i="3"/>
  <c r="A119" i="3"/>
  <c r="C119" i="3" s="1"/>
  <c r="A18" i="3"/>
  <c r="A77" i="5"/>
  <c r="C77" i="5" s="1"/>
  <c r="A86" i="3"/>
  <c r="A64" i="5"/>
  <c r="C64" i="5" s="1"/>
  <c r="A43" i="5"/>
  <c r="C43" i="5" s="1"/>
  <c r="A4" i="4"/>
  <c r="A98" i="5"/>
  <c r="A57" i="5"/>
  <c r="C57" i="5" s="1"/>
  <c r="A117" i="3"/>
  <c r="H57" i="3"/>
  <c r="H81" i="3"/>
  <c r="B81" i="3"/>
  <c r="I81" i="3"/>
  <c r="A122" i="5"/>
  <c r="C122" i="5" s="1"/>
  <c r="A128" i="1"/>
  <c r="A122" i="3"/>
  <c r="C122" i="3" s="1"/>
  <c r="A134" i="5"/>
  <c r="C134" i="5" s="1"/>
  <c r="A140" i="1"/>
  <c r="C140" i="1" s="1"/>
  <c r="A134" i="3"/>
  <c r="A146" i="5"/>
  <c r="C146" i="5" s="1"/>
  <c r="A152" i="1"/>
  <c r="C152" i="1" s="1"/>
  <c r="A146" i="3"/>
  <c r="A158" i="5"/>
  <c r="C158" i="5" s="1"/>
  <c r="A164" i="1"/>
  <c r="C164" i="1" s="1"/>
  <c r="A158" i="3"/>
  <c r="C158" i="3" s="1"/>
  <c r="B116" i="3"/>
  <c r="I116" i="3"/>
  <c r="H116" i="3"/>
  <c r="A123" i="5"/>
  <c r="C123" i="5" s="1"/>
  <c r="A123" i="3"/>
  <c r="C123" i="3" s="1"/>
  <c r="A129" i="1"/>
  <c r="C129" i="1" s="1"/>
  <c r="A135" i="5"/>
  <c r="C135" i="5" s="1"/>
  <c r="A141" i="1"/>
  <c r="A135" i="3"/>
  <c r="A147" i="5"/>
  <c r="C147" i="5" s="1"/>
  <c r="A153" i="1"/>
  <c r="C153" i="1" s="1"/>
  <c r="A147" i="3"/>
  <c r="A148" i="5"/>
  <c r="C148" i="5" s="1"/>
  <c r="A148" i="3"/>
  <c r="A154" i="1"/>
  <c r="C154" i="1" s="1"/>
  <c r="A126" i="5"/>
  <c r="C126" i="5" s="1"/>
  <c r="A132" i="1"/>
  <c r="C132" i="1" s="1"/>
  <c r="A126" i="3"/>
  <c r="C126" i="3" s="1"/>
  <c r="A127" i="5"/>
  <c r="C127" i="5" s="1"/>
  <c r="A133" i="1"/>
  <c r="C133" i="1" s="1"/>
  <c r="A127" i="3"/>
  <c r="A139" i="5"/>
  <c r="C139" i="5" s="1"/>
  <c r="A139" i="3"/>
  <c r="A145" i="1"/>
  <c r="C145" i="1" s="1"/>
  <c r="A151" i="5"/>
  <c r="C151" i="5" s="1"/>
  <c r="A157" i="1"/>
  <c r="A151" i="3"/>
  <c r="A124" i="5"/>
  <c r="C124" i="5" s="1"/>
  <c r="A124" i="3"/>
  <c r="C124" i="3" s="1"/>
  <c r="A130" i="1"/>
  <c r="C130" i="1" s="1"/>
  <c r="A128" i="3"/>
  <c r="A128" i="5"/>
  <c r="C128" i="5" s="1"/>
  <c r="A134" i="1"/>
  <c r="C134" i="1" s="1"/>
  <c r="A140" i="3"/>
  <c r="A140" i="5"/>
  <c r="C140" i="5" s="1"/>
  <c r="A146" i="1"/>
  <c r="C146" i="1" s="1"/>
  <c r="A152" i="3"/>
  <c r="A152" i="5"/>
  <c r="C152" i="5" s="1"/>
  <c r="A158" i="1"/>
  <c r="C158" i="1" s="1"/>
  <c r="A150" i="5"/>
  <c r="C150" i="5" s="1"/>
  <c r="A156" i="1"/>
  <c r="C156" i="1" s="1"/>
  <c r="A150" i="3"/>
  <c r="A135" i="1"/>
  <c r="C135" i="1" s="1"/>
  <c r="A129" i="3"/>
  <c r="C129" i="3" s="1"/>
  <c r="A129" i="5"/>
  <c r="C129" i="5" s="1"/>
  <c r="A147" i="1"/>
  <c r="C147" i="1" s="1"/>
  <c r="A141" i="3"/>
  <c r="A141" i="5"/>
  <c r="C141" i="5" s="1"/>
  <c r="A159" i="1"/>
  <c r="C159" i="1" s="1"/>
  <c r="A153" i="3"/>
  <c r="A153" i="5"/>
  <c r="C153" i="5" s="1"/>
  <c r="A136" i="5"/>
  <c r="C136" i="5" s="1"/>
  <c r="A142" i="1"/>
  <c r="C142" i="1" s="1"/>
  <c r="A136" i="3"/>
  <c r="C136" i="3" s="1"/>
  <c r="A149" i="5"/>
  <c r="C149" i="5" s="1"/>
  <c r="A149" i="3"/>
  <c r="A155" i="1"/>
  <c r="C155" i="1" s="1"/>
  <c r="H69" i="3"/>
  <c r="I69" i="3"/>
  <c r="H86" i="3"/>
  <c r="I86" i="3"/>
  <c r="A136" i="1"/>
  <c r="C136" i="1" s="1"/>
  <c r="A130" i="3"/>
  <c r="C130" i="3" s="1"/>
  <c r="A130" i="5"/>
  <c r="C130" i="5" s="1"/>
  <c r="A142" i="3"/>
  <c r="C142" i="3" s="1"/>
  <c r="A148" i="1"/>
  <c r="C148" i="1" s="1"/>
  <c r="A142" i="5"/>
  <c r="C142" i="5" s="1"/>
  <c r="A160" i="1"/>
  <c r="A154" i="3"/>
  <c r="A154" i="5"/>
  <c r="C154" i="5" s="1"/>
  <c r="H70" i="3"/>
  <c r="I70" i="3"/>
  <c r="B70" i="3"/>
  <c r="I2" i="3"/>
  <c r="H119" i="3"/>
  <c r="B119" i="3"/>
  <c r="I119" i="3"/>
  <c r="A131" i="3"/>
  <c r="A137" i="1"/>
  <c r="C137" i="1" s="1"/>
  <c r="A131" i="5"/>
  <c r="C131" i="5" s="1"/>
  <c r="A143" i="3"/>
  <c r="A149" i="1"/>
  <c r="C149" i="1" s="1"/>
  <c r="A143" i="5"/>
  <c r="C143" i="5" s="1"/>
  <c r="A155" i="3"/>
  <c r="C155" i="3" s="1"/>
  <c r="A161" i="1"/>
  <c r="C161" i="1" s="1"/>
  <c r="A155" i="5"/>
  <c r="C155" i="5" s="1"/>
  <c r="A125" i="5"/>
  <c r="C125" i="5" s="1"/>
  <c r="A125" i="3"/>
  <c r="C125" i="3" s="1"/>
  <c r="A131" i="1"/>
  <c r="C131" i="1" s="1"/>
  <c r="A138" i="5"/>
  <c r="C138" i="5" s="1"/>
  <c r="A144" i="1"/>
  <c r="A138" i="23" s="1"/>
  <c r="B138" i="23" s="1"/>
  <c r="A138" i="3"/>
  <c r="H5" i="3"/>
  <c r="B5" i="3"/>
  <c r="I5" i="3"/>
  <c r="I88" i="3"/>
  <c r="H88" i="3"/>
  <c r="B88" i="3"/>
  <c r="A132" i="3"/>
  <c r="C132" i="3" s="1"/>
  <c r="A138" i="1"/>
  <c r="C138" i="1" s="1"/>
  <c r="A132" i="5"/>
  <c r="C132" i="5" s="1"/>
  <c r="A144" i="3"/>
  <c r="A150" i="1"/>
  <c r="A144" i="5"/>
  <c r="C144" i="5" s="1"/>
  <c r="A156" i="3"/>
  <c r="A162" i="1"/>
  <c r="C162" i="1" s="1"/>
  <c r="A156" i="5"/>
  <c r="C156" i="5" s="1"/>
  <c r="A137" i="5"/>
  <c r="C137" i="5" s="1"/>
  <c r="A143" i="1"/>
  <c r="C143" i="1" s="1"/>
  <c r="A137" i="3"/>
  <c r="C137" i="3" s="1"/>
  <c r="A33" i="3"/>
  <c r="C33" i="3" s="1"/>
  <c r="A139" i="1"/>
  <c r="A133" i="3"/>
  <c r="C133" i="3" s="1"/>
  <c r="A133" i="5"/>
  <c r="C133" i="5" s="1"/>
  <c r="A151" i="1"/>
  <c r="C151" i="1" s="1"/>
  <c r="A145" i="3"/>
  <c r="A145" i="5"/>
  <c r="C145" i="5" s="1"/>
  <c r="A163" i="1"/>
  <c r="C163" i="1" s="1"/>
  <c r="A157" i="3"/>
  <c r="A157" i="5"/>
  <c r="C157" i="5" s="1"/>
  <c r="C2" i="5"/>
  <c r="D2" i="3" s="1"/>
  <c r="H132" i="3"/>
  <c r="H123" i="3"/>
  <c r="H142" i="3"/>
  <c r="A34" i="3"/>
  <c r="C34" i="3" s="1"/>
  <c r="B34" i="2"/>
  <c r="A40" i="1"/>
  <c r="C40" i="1" s="1"/>
  <c r="E34" i="2"/>
  <c r="D34" i="2" s="1"/>
  <c r="B23" i="2"/>
  <c r="A29" i="1"/>
  <c r="C29" i="1" s="1"/>
  <c r="E23" i="2"/>
  <c r="D23" i="2" s="1"/>
  <c r="B23" i="5" s="1"/>
  <c r="B152" i="2"/>
  <c r="E152" i="2"/>
  <c r="D152" i="2" s="1"/>
  <c r="A89" i="3"/>
  <c r="C89" i="3" s="1"/>
  <c r="E89" i="2"/>
  <c r="A95" i="1"/>
  <c r="C95" i="1" s="1"/>
  <c r="B89" i="2"/>
  <c r="A37" i="3"/>
  <c r="C37" i="3" s="1"/>
  <c r="E37" i="2"/>
  <c r="A43" i="1"/>
  <c r="C43" i="1" s="1"/>
  <c r="B37" i="2"/>
  <c r="A90" i="3"/>
  <c r="C90" i="3" s="1"/>
  <c r="E90" i="2"/>
  <c r="D90" i="2" s="1"/>
  <c r="A96" i="1"/>
  <c r="C96" i="1" s="1"/>
  <c r="B90" i="2"/>
  <c r="A11" i="3"/>
  <c r="C11" i="3" s="1"/>
  <c r="B11" i="2"/>
  <c r="A17" i="1"/>
  <c r="C17" i="1" s="1"/>
  <c r="E11" i="2"/>
  <c r="D11" i="2" s="1"/>
  <c r="B11" i="5" s="1"/>
  <c r="A21" i="3"/>
  <c r="C21" i="3" s="1"/>
  <c r="E21" i="2"/>
  <c r="D21" i="2" s="1"/>
  <c r="B21" i="2"/>
  <c r="A27" i="1"/>
  <c r="C27" i="1" s="1"/>
  <c r="B33" i="2"/>
  <c r="A39" i="1"/>
  <c r="E33" i="2"/>
  <c r="D33" i="2" s="1"/>
  <c r="A45" i="3"/>
  <c r="C45" i="3" s="1"/>
  <c r="E54" i="2"/>
  <c r="D54" i="2" s="1"/>
  <c r="B54" i="5" s="1"/>
  <c r="B54" i="2"/>
  <c r="A60" i="1"/>
  <c r="B64" i="2"/>
  <c r="E64" i="2"/>
  <c r="D64" i="2" s="1"/>
  <c r="A70" i="1"/>
  <c r="C70" i="1" s="1"/>
  <c r="E75" i="2"/>
  <c r="A81" i="1"/>
  <c r="B75" i="2"/>
  <c r="A87" i="3"/>
  <c r="C87" i="3" s="1"/>
  <c r="E87" i="2"/>
  <c r="D87" i="2" s="1"/>
  <c r="A93" i="1"/>
  <c r="B87" i="2"/>
  <c r="A97" i="5"/>
  <c r="B97" i="2"/>
  <c r="E97" i="2"/>
  <c r="D97" i="2" s="1"/>
  <c r="B97" i="5" s="1"/>
  <c r="A103" i="1"/>
  <c r="C103" i="1" s="1"/>
  <c r="E108" i="2"/>
  <c r="D108" i="2" s="1"/>
  <c r="A114" i="1"/>
  <c r="C114" i="1" s="1"/>
  <c r="B108" i="2"/>
  <c r="E127" i="2"/>
  <c r="D127" i="2" s="1"/>
  <c r="B127" i="2"/>
  <c r="E139" i="2"/>
  <c r="D139" i="2" s="1"/>
  <c r="B139" i="2"/>
  <c r="E150" i="2"/>
  <c r="D150" i="2" s="1"/>
  <c r="B150" i="2"/>
  <c r="B119" i="2"/>
  <c r="A125" i="1"/>
  <c r="E119" i="2"/>
  <c r="D119" i="2" s="1"/>
  <c r="B128" i="2"/>
  <c r="E128" i="2"/>
  <c r="D128" i="2" s="1"/>
  <c r="B140" i="2"/>
  <c r="E140" i="2"/>
  <c r="D140" i="2" s="1"/>
  <c r="E151" i="2"/>
  <c r="D151" i="2" s="1"/>
  <c r="B151" i="2"/>
  <c r="A82" i="3"/>
  <c r="C82" i="3" s="1"/>
  <c r="A88" i="1"/>
  <c r="C88" i="1" s="1"/>
  <c r="E82" i="2"/>
  <c r="D82" i="2" s="1"/>
  <c r="B82" i="5" s="1"/>
  <c r="B82" i="2"/>
  <c r="E98" i="2"/>
  <c r="D98" i="2" s="1"/>
  <c r="B98" i="2"/>
  <c r="A104" i="1"/>
  <c r="B107" i="2"/>
  <c r="E107" i="2"/>
  <c r="D107" i="2" s="1"/>
  <c r="A113" i="1"/>
  <c r="A46" i="3"/>
  <c r="C46" i="3" s="1"/>
  <c r="E46" i="2"/>
  <c r="D46" i="2" s="1"/>
  <c r="A52" i="1"/>
  <c r="C52" i="1" s="1"/>
  <c r="B46" i="2"/>
  <c r="B36" i="2"/>
  <c r="A42" i="1"/>
  <c r="C42" i="1" s="1"/>
  <c r="E36" i="2"/>
  <c r="D36" i="2" s="1"/>
  <c r="B36" i="5" s="1"/>
  <c r="A68" i="3"/>
  <c r="C68" i="3" s="1"/>
  <c r="A74" i="1"/>
  <c r="C74" i="1" s="1"/>
  <c r="E68" i="2"/>
  <c r="D68" i="2" s="1"/>
  <c r="B68" i="5" s="1"/>
  <c r="B68" i="2"/>
  <c r="A119" i="5"/>
  <c r="C119" i="5" s="1"/>
  <c r="A8" i="1"/>
  <c r="E2" i="2"/>
  <c r="D2" i="2" s="1"/>
  <c r="B2" i="5" s="1"/>
  <c r="E5" i="2"/>
  <c r="D5" i="2" s="1"/>
  <c r="A11" i="1"/>
  <c r="C11" i="1" s="1"/>
  <c r="B5" i="2"/>
  <c r="A15" i="3"/>
  <c r="C15" i="3" s="1"/>
  <c r="E15" i="2"/>
  <c r="D15" i="2" s="1"/>
  <c r="A21" i="1"/>
  <c r="C21" i="1" s="1"/>
  <c r="B15" i="2"/>
  <c r="E26" i="2"/>
  <c r="A32" i="1"/>
  <c r="C32" i="1" s="1"/>
  <c r="B26" i="2"/>
  <c r="E38" i="2"/>
  <c r="D38" i="2" s="1"/>
  <c r="B38" i="2"/>
  <c r="A44" i="1"/>
  <c r="E49" i="2"/>
  <c r="D49" i="2" s="1"/>
  <c r="B49" i="2"/>
  <c r="A55" i="1"/>
  <c r="B58" i="2"/>
  <c r="A64" i="1"/>
  <c r="C64" i="1" s="1"/>
  <c r="E58" i="2"/>
  <c r="D58" i="2" s="1"/>
  <c r="A80" i="3"/>
  <c r="C80" i="3" s="1"/>
  <c r="B80" i="2"/>
  <c r="E80" i="2"/>
  <c r="D80" i="2" s="1"/>
  <c r="A86" i="1"/>
  <c r="C86" i="1" s="1"/>
  <c r="A91" i="3"/>
  <c r="C91" i="3" s="1"/>
  <c r="A97" i="1"/>
  <c r="C97" i="1" s="1"/>
  <c r="B91" i="2"/>
  <c r="E91" i="2"/>
  <c r="D91" i="2" s="1"/>
  <c r="B91" i="5" s="1"/>
  <c r="B100" i="2"/>
  <c r="E100" i="2"/>
  <c r="D100" i="2" s="1"/>
  <c r="A106" i="1"/>
  <c r="C106" i="1" s="1"/>
  <c r="B122" i="2"/>
  <c r="E122" i="2"/>
  <c r="D122" i="2" s="1"/>
  <c r="E132" i="2"/>
  <c r="D132" i="2" s="1"/>
  <c r="B132" i="2"/>
  <c r="E144" i="2"/>
  <c r="D144" i="2" s="1"/>
  <c r="B144" i="2"/>
  <c r="E155" i="2"/>
  <c r="D155" i="2" s="1"/>
  <c r="B155" i="2"/>
  <c r="A61" i="1"/>
  <c r="C61" i="1" s="1"/>
  <c r="B55" i="2"/>
  <c r="E55" i="2"/>
  <c r="D55" i="2" s="1"/>
  <c r="B55" i="5" s="1"/>
  <c r="B35" i="2"/>
  <c r="E35" i="2"/>
  <c r="D35" i="2" s="1"/>
  <c r="A41" i="1"/>
  <c r="C41" i="1" s="1"/>
  <c r="B120" i="2"/>
  <c r="A126" i="1"/>
  <c r="C126" i="1" s="1"/>
  <c r="E120" i="2"/>
  <c r="D120" i="2" s="1"/>
  <c r="B120" i="5" s="1"/>
  <c r="A111" i="5"/>
  <c r="C111" i="5" s="1"/>
  <c r="E111" i="2"/>
  <c r="D111" i="2" s="1"/>
  <c r="B111" i="2"/>
  <c r="A117" i="1"/>
  <c r="C117" i="1" s="1"/>
  <c r="A25" i="3"/>
  <c r="C25" i="3" s="1"/>
  <c r="A31" i="1"/>
  <c r="C31" i="1" s="1"/>
  <c r="E25" i="2"/>
  <c r="D25" i="2" s="1"/>
  <c r="B25" i="2"/>
  <c r="A6" i="5"/>
  <c r="E6" i="2"/>
  <c r="D6" i="2" s="1"/>
  <c r="B6" i="2"/>
  <c r="A12" i="1"/>
  <c r="C12" i="1" s="1"/>
  <c r="A16" i="5"/>
  <c r="B16" i="2"/>
  <c r="E16" i="2"/>
  <c r="D16" i="2" s="1"/>
  <c r="B16" i="5" s="1"/>
  <c r="A22" i="1"/>
  <c r="C22" i="1" s="1"/>
  <c r="A27" i="3"/>
  <c r="C27" i="3" s="1"/>
  <c r="E27" i="2"/>
  <c r="D27" i="2" s="1"/>
  <c r="B27" i="5" s="1"/>
  <c r="A33" i="1"/>
  <c r="C33" i="1" s="1"/>
  <c r="B27" i="2"/>
  <c r="E39" i="2"/>
  <c r="D39" i="2" s="1"/>
  <c r="B39" i="2"/>
  <c r="A45" i="1"/>
  <c r="C45" i="1" s="1"/>
  <c r="A50" i="3"/>
  <c r="C50" i="3" s="1"/>
  <c r="E50" i="2"/>
  <c r="D50" i="2" s="1"/>
  <c r="B50" i="5" s="1"/>
  <c r="A56" i="1"/>
  <c r="C56" i="1" s="1"/>
  <c r="B50" i="2"/>
  <c r="B59" i="2"/>
  <c r="A65" i="1"/>
  <c r="C65" i="1" s="1"/>
  <c r="E59" i="2"/>
  <c r="D59" i="2" s="1"/>
  <c r="A69" i="5"/>
  <c r="C69" i="5" s="1"/>
  <c r="A75" i="1"/>
  <c r="E69" i="2"/>
  <c r="D69" i="2" s="1"/>
  <c r="B69" i="2"/>
  <c r="B81" i="2"/>
  <c r="A87" i="1"/>
  <c r="E81" i="2"/>
  <c r="D81" i="2" s="1"/>
  <c r="A98" i="1"/>
  <c r="C98" i="1" s="1"/>
  <c r="B92" i="2"/>
  <c r="E92" i="2"/>
  <c r="D92" i="2" s="1"/>
  <c r="B92" i="5" s="1"/>
  <c r="E101" i="2"/>
  <c r="D101" i="2" s="1"/>
  <c r="A107" i="1"/>
  <c r="C107" i="1" s="1"/>
  <c r="B101" i="2"/>
  <c r="A113" i="5"/>
  <c r="B113" i="2"/>
  <c r="E113" i="2"/>
  <c r="D113" i="2" s="1"/>
  <c r="A119" i="1"/>
  <c r="C119" i="1" s="1"/>
  <c r="E123" i="2"/>
  <c r="D123" i="2" s="1"/>
  <c r="B123" i="2"/>
  <c r="E133" i="2"/>
  <c r="D133" i="2" s="1"/>
  <c r="B133" i="5" s="1"/>
  <c r="B133" i="2"/>
  <c r="B145" i="2"/>
  <c r="E145" i="2"/>
  <c r="D145" i="2" s="1"/>
  <c r="B156" i="2"/>
  <c r="E156" i="2"/>
  <c r="D156" i="2" s="1"/>
  <c r="A18" i="1"/>
  <c r="B12" i="2"/>
  <c r="E12" i="2"/>
  <c r="D12" i="2" s="1"/>
  <c r="B45" i="2"/>
  <c r="A51" i="1"/>
  <c r="E45" i="2"/>
  <c r="D45" i="2" s="1"/>
  <c r="A56" i="5"/>
  <c r="B56" i="2"/>
  <c r="A62" i="1"/>
  <c r="C62" i="1" s="1"/>
  <c r="E56" i="2"/>
  <c r="D56" i="2" s="1"/>
  <c r="B56" i="5" s="1"/>
  <c r="B129" i="2"/>
  <c r="E129" i="2"/>
  <c r="D129" i="2" s="1"/>
  <c r="A53" i="1"/>
  <c r="B53" i="1" s="1"/>
  <c r="E47" i="2"/>
  <c r="D47" i="2" s="1"/>
  <c r="B47" i="2"/>
  <c r="E78" i="2"/>
  <c r="D78" i="2" s="1"/>
  <c r="B78" i="5" s="1"/>
  <c r="A84" i="1"/>
  <c r="C84" i="1" s="1"/>
  <c r="B78" i="2"/>
  <c r="E130" i="2"/>
  <c r="D130" i="2" s="1"/>
  <c r="B130" i="2"/>
  <c r="A112" i="5"/>
  <c r="C112" i="5" s="1"/>
  <c r="E112" i="2"/>
  <c r="D112" i="2" s="1"/>
  <c r="B112" i="5" s="1"/>
  <c r="A118" i="1"/>
  <c r="C118" i="1" s="1"/>
  <c r="B112" i="2"/>
  <c r="E17" i="2"/>
  <c r="D17" i="2" s="1"/>
  <c r="A23" i="1"/>
  <c r="B17" i="2"/>
  <c r="B28" i="2"/>
  <c r="E28" i="2"/>
  <c r="D28" i="2" s="1"/>
  <c r="B28" i="5" s="1"/>
  <c r="A34" i="1"/>
  <c r="C34" i="1" s="1"/>
  <c r="A40" i="3"/>
  <c r="C40" i="3" s="1"/>
  <c r="B40" i="2"/>
  <c r="E40" i="2"/>
  <c r="D40" i="2" s="1"/>
  <c r="A46" i="1"/>
  <c r="C46" i="1" s="1"/>
  <c r="E51" i="2"/>
  <c r="D51" i="2" s="1"/>
  <c r="A57" i="1"/>
  <c r="C57" i="1" s="1"/>
  <c r="B51" i="2"/>
  <c r="A70" i="5"/>
  <c r="A76" i="1"/>
  <c r="E70" i="2"/>
  <c r="D70" i="2" s="1"/>
  <c r="B70" i="2"/>
  <c r="A83" i="5"/>
  <c r="C83" i="5" s="1"/>
  <c r="B83" i="2"/>
  <c r="A89" i="1"/>
  <c r="C89" i="1" s="1"/>
  <c r="E83" i="2"/>
  <c r="D83" i="2" s="1"/>
  <c r="B83" i="5" s="1"/>
  <c r="A114" i="5"/>
  <c r="E114" i="2"/>
  <c r="D114" i="2" s="1"/>
  <c r="A120" i="1"/>
  <c r="B114" i="2"/>
  <c r="E124" i="2"/>
  <c r="D124" i="2" s="1"/>
  <c r="B124" i="2"/>
  <c r="B134" i="2"/>
  <c r="E134" i="2"/>
  <c r="D134" i="2" s="1"/>
  <c r="B134" i="5" s="1"/>
  <c r="B146" i="2"/>
  <c r="E146" i="2"/>
  <c r="D146" i="2" s="1"/>
  <c r="B157" i="2"/>
  <c r="E157" i="2"/>
  <c r="D157" i="2" s="1"/>
  <c r="B13" i="2"/>
  <c r="A19" i="1"/>
  <c r="E13" i="2"/>
  <c r="D13" i="2" s="1"/>
  <c r="A110" i="3"/>
  <c r="C110" i="3" s="1"/>
  <c r="A116" i="1"/>
  <c r="E110" i="2"/>
  <c r="D110" i="2" s="1"/>
  <c r="B110" i="2"/>
  <c r="E3" i="2"/>
  <c r="D3" i="2" s="1"/>
  <c r="A9" i="1"/>
  <c r="B3" i="2"/>
  <c r="A24" i="3"/>
  <c r="C24" i="3" s="1"/>
  <c r="A30" i="1"/>
  <c r="C30" i="1" s="1"/>
  <c r="E24" i="2"/>
  <c r="D24" i="2" s="1"/>
  <c r="B24" i="2"/>
  <c r="A67" i="3"/>
  <c r="C67" i="3" s="1"/>
  <c r="A73" i="1"/>
  <c r="B67" i="2"/>
  <c r="E67" i="2"/>
  <c r="D67" i="2" s="1"/>
  <c r="A121" i="5"/>
  <c r="C121" i="5" s="1"/>
  <c r="B121" i="2"/>
  <c r="E121" i="2"/>
  <c r="D121" i="2" s="1"/>
  <c r="A127" i="1"/>
  <c r="C127" i="1" s="1"/>
  <c r="A79" i="3"/>
  <c r="C79" i="3" s="1"/>
  <c r="A85" i="1"/>
  <c r="C85" i="1" s="1"/>
  <c r="B79" i="2"/>
  <c r="E79" i="2"/>
  <c r="D79" i="2" s="1"/>
  <c r="B79" i="5" s="1"/>
  <c r="A7" i="5"/>
  <c r="A13" i="1"/>
  <c r="B7" i="2"/>
  <c r="E7" i="2"/>
  <c r="D7" i="2" s="1"/>
  <c r="A29" i="3"/>
  <c r="C29" i="3" s="1"/>
  <c r="E29" i="2"/>
  <c r="D29" i="2" s="1"/>
  <c r="B29" i="5" s="1"/>
  <c r="A35" i="1"/>
  <c r="C35" i="1" s="1"/>
  <c r="B29" i="2"/>
  <c r="A71" i="3"/>
  <c r="C71" i="3" s="1"/>
  <c r="E71" i="2"/>
  <c r="D71" i="2" s="1"/>
  <c r="B71" i="5" s="1"/>
  <c r="B71" i="2"/>
  <c r="A77" i="1"/>
  <c r="C77" i="1" s="1"/>
  <c r="E102" i="2"/>
  <c r="D102" i="2" s="1"/>
  <c r="B102" i="5" s="1"/>
  <c r="A108" i="1"/>
  <c r="C108" i="1" s="1"/>
  <c r="B102" i="2"/>
  <c r="E115" i="2"/>
  <c r="D115" i="2" s="1"/>
  <c r="B115" i="5" s="1"/>
  <c r="B115" i="2"/>
  <c r="A121" i="1"/>
  <c r="C121" i="1" s="1"/>
  <c r="B22" i="2"/>
  <c r="A28" i="1"/>
  <c r="E22" i="2"/>
  <c r="D22" i="2" s="1"/>
  <c r="A65" i="5"/>
  <c r="C65" i="5" s="1"/>
  <c r="E65" i="2"/>
  <c r="D65" i="2" s="1"/>
  <c r="A71" i="1"/>
  <c r="B65" i="2"/>
  <c r="A66" i="5"/>
  <c r="C66" i="5" s="1"/>
  <c r="E66" i="2"/>
  <c r="D66" i="2" s="1"/>
  <c r="B66" i="5" s="1"/>
  <c r="A72" i="1"/>
  <c r="C72" i="1" s="1"/>
  <c r="B66" i="2"/>
  <c r="B141" i="2"/>
  <c r="E141" i="2"/>
  <c r="D141" i="2" s="1"/>
  <c r="A14" i="5"/>
  <c r="E14" i="2"/>
  <c r="D14" i="2" s="1"/>
  <c r="B14" i="2"/>
  <c r="A20" i="1"/>
  <c r="C20" i="1" s="1"/>
  <c r="B57" i="2"/>
  <c r="E57" i="2"/>
  <c r="D57" i="2" s="1"/>
  <c r="B57" i="5" s="1"/>
  <c r="A63" i="1"/>
  <c r="E131" i="2"/>
  <c r="D131" i="2" s="1"/>
  <c r="B131" i="2"/>
  <c r="E41" i="2"/>
  <c r="D41" i="2" s="1"/>
  <c r="A47" i="1"/>
  <c r="B41" i="2"/>
  <c r="A108" i="3"/>
  <c r="C108" i="3" s="1"/>
  <c r="A14" i="3"/>
  <c r="C14" i="3" s="1"/>
  <c r="A8" i="3"/>
  <c r="C8" i="3" s="1"/>
  <c r="A14" i="1"/>
  <c r="C14" i="1" s="1"/>
  <c r="E8" i="2"/>
  <c r="D8" i="2" s="1"/>
  <c r="B8" i="2"/>
  <c r="A18" i="5"/>
  <c r="E18" i="2"/>
  <c r="D18" i="2" s="1"/>
  <c r="A24" i="1"/>
  <c r="C24" i="1" s="1"/>
  <c r="B18" i="2"/>
  <c r="E30" i="2"/>
  <c r="B30" i="2"/>
  <c r="A36" i="1"/>
  <c r="C36" i="1" s="1"/>
  <c r="A42" i="5"/>
  <c r="E42" i="2"/>
  <c r="A48" i="1"/>
  <c r="C48" i="1" s="1"/>
  <c r="B42" i="2"/>
  <c r="A52" i="5"/>
  <c r="B52" i="2"/>
  <c r="E52" i="2"/>
  <c r="D52" i="2" s="1"/>
  <c r="A58" i="1"/>
  <c r="A61" i="3"/>
  <c r="C61" i="3" s="1"/>
  <c r="B61" i="2"/>
  <c r="E61" i="2"/>
  <c r="A67" i="1"/>
  <c r="A72" i="3"/>
  <c r="C72" i="3" s="1"/>
  <c r="A78" i="1"/>
  <c r="C78" i="1" s="1"/>
  <c r="B72" i="2"/>
  <c r="E72" i="2"/>
  <c r="D72" i="2" s="1"/>
  <c r="A85" i="5"/>
  <c r="E85" i="2"/>
  <c r="A91" i="1"/>
  <c r="C91" i="1" s="1"/>
  <c r="B85" i="2"/>
  <c r="A100" i="1"/>
  <c r="C100" i="1" s="1"/>
  <c r="B94" i="2"/>
  <c r="E94" i="2"/>
  <c r="D94" i="2" s="1"/>
  <c r="A104" i="5"/>
  <c r="C104" i="5" s="1"/>
  <c r="A110" i="1"/>
  <c r="C110" i="1" s="1"/>
  <c r="E104" i="2"/>
  <c r="D104" i="2" s="1"/>
  <c r="A122" i="1"/>
  <c r="B116" i="2"/>
  <c r="E116" i="2"/>
  <c r="D116" i="2" s="1"/>
  <c r="E136" i="2"/>
  <c r="D136" i="2" s="1"/>
  <c r="B136" i="5" s="1"/>
  <c r="B136" i="2"/>
  <c r="E147" i="2"/>
  <c r="D147" i="2" s="1"/>
  <c r="B147" i="5" s="1"/>
  <c r="B147" i="2"/>
  <c r="E158" i="2"/>
  <c r="D158" i="2" s="1"/>
  <c r="B158" i="2"/>
  <c r="E76" i="2"/>
  <c r="D76" i="2" s="1"/>
  <c r="A82" i="1"/>
  <c r="B76" i="2"/>
  <c r="B88" i="2"/>
  <c r="E88" i="2"/>
  <c r="D88" i="2" s="1"/>
  <c r="A94" i="1"/>
  <c r="B142" i="2"/>
  <c r="E142" i="2"/>
  <c r="D142" i="2" s="1"/>
  <c r="A54" i="1"/>
  <c r="C54" i="1" s="1"/>
  <c r="E48" i="2"/>
  <c r="D48" i="2" s="1"/>
  <c r="B48" i="2"/>
  <c r="E99" i="2"/>
  <c r="A105" i="1"/>
  <c r="C105" i="1" s="1"/>
  <c r="B99" i="2"/>
  <c r="B143" i="2"/>
  <c r="E143" i="2"/>
  <c r="D143" i="2" s="1"/>
  <c r="B143" i="5" s="1"/>
  <c r="A60" i="5"/>
  <c r="A66" i="1"/>
  <c r="B60" i="2"/>
  <c r="E60" i="2"/>
  <c r="D60" i="2" s="1"/>
  <c r="A93" i="5"/>
  <c r="E93" i="2"/>
  <c r="D93" i="2" s="1"/>
  <c r="B93" i="2"/>
  <c r="A99" i="1"/>
  <c r="C99" i="1" s="1"/>
  <c r="B125" i="2"/>
  <c r="E125" i="2"/>
  <c r="D125" i="2" s="1"/>
  <c r="A39" i="3"/>
  <c r="C39" i="3" s="1"/>
  <c r="A66" i="3"/>
  <c r="C66" i="3" s="1"/>
  <c r="A92" i="5"/>
  <c r="A89" i="5"/>
  <c r="A15" i="1"/>
  <c r="E9" i="2"/>
  <c r="D9" i="2" s="1"/>
  <c r="B9" i="2"/>
  <c r="A25" i="1"/>
  <c r="C25" i="1" s="1"/>
  <c r="B19" i="2"/>
  <c r="E19" i="2"/>
  <c r="D19" i="2" s="1"/>
  <c r="A37" i="1"/>
  <c r="B31" i="2"/>
  <c r="E31" i="2"/>
  <c r="D31" i="2" s="1"/>
  <c r="A43" i="3"/>
  <c r="C43" i="3" s="1"/>
  <c r="A49" i="1"/>
  <c r="C49" i="1" s="1"/>
  <c r="B43" i="2"/>
  <c r="E43" i="2"/>
  <c r="D43" i="2" s="1"/>
  <c r="B43" i="5" s="1"/>
  <c r="E53" i="2"/>
  <c r="D53" i="2" s="1"/>
  <c r="B53" i="5" s="1"/>
  <c r="A59" i="1"/>
  <c r="B53" i="2"/>
  <c r="A62" i="3"/>
  <c r="C62" i="3" s="1"/>
  <c r="E62" i="2"/>
  <c r="D62" i="2" s="1"/>
  <c r="B62" i="2"/>
  <c r="A68" i="1"/>
  <c r="A73" i="3"/>
  <c r="C73" i="3" s="1"/>
  <c r="A79" i="1"/>
  <c r="C79" i="1" s="1"/>
  <c r="B73" i="2"/>
  <c r="E73" i="2"/>
  <c r="D73" i="2" s="1"/>
  <c r="B73" i="5" s="1"/>
  <c r="B95" i="2"/>
  <c r="A101" i="1"/>
  <c r="C101" i="1" s="1"/>
  <c r="E95" i="2"/>
  <c r="D95" i="2" s="1"/>
  <c r="A105" i="5"/>
  <c r="C105" i="5" s="1"/>
  <c r="B105" i="2"/>
  <c r="E105" i="2"/>
  <c r="D105" i="2" s="1"/>
  <c r="A111" i="1"/>
  <c r="C111" i="1" s="1"/>
  <c r="B117" i="2"/>
  <c r="A123" i="1"/>
  <c r="E117" i="2"/>
  <c r="D117" i="2" s="1"/>
  <c r="B117" i="5" s="1"/>
  <c r="E126" i="2"/>
  <c r="D126" i="2" s="1"/>
  <c r="B126" i="2"/>
  <c r="B137" i="2"/>
  <c r="E137" i="2"/>
  <c r="D137" i="2" s="1"/>
  <c r="B137" i="5" s="1"/>
  <c r="E148" i="2"/>
  <c r="D148" i="2" s="1"/>
  <c r="B148" i="5" s="1"/>
  <c r="B148" i="2"/>
  <c r="A109" i="5"/>
  <c r="C109" i="5" s="1"/>
  <c r="A115" i="1"/>
  <c r="E109" i="2"/>
  <c r="D109" i="2" s="1"/>
  <c r="B109" i="2"/>
  <c r="E77" i="2"/>
  <c r="D77" i="2" s="1"/>
  <c r="A83" i="1"/>
  <c r="B77" i="2"/>
  <c r="A154" i="9"/>
  <c r="E153" i="2"/>
  <c r="D153" i="2" s="1"/>
  <c r="B153" i="2"/>
  <c r="A23" i="3"/>
  <c r="C23" i="3" s="1"/>
  <c r="A23" i="5"/>
  <c r="A4" i="3"/>
  <c r="C4" i="3" s="1"/>
  <c r="B4" i="2"/>
  <c r="E4" i="2"/>
  <c r="D4" i="2" s="1"/>
  <c r="A10" i="1"/>
  <c r="C10" i="1" s="1"/>
  <c r="E154" i="2"/>
  <c r="D154" i="2" s="1"/>
  <c r="B154" i="5" s="1"/>
  <c r="B154" i="2"/>
  <c r="A88" i="5"/>
  <c r="A79" i="5"/>
  <c r="C79" i="5" s="1"/>
  <c r="B84" i="2"/>
  <c r="A90" i="1"/>
  <c r="E84" i="2"/>
  <c r="D84" i="2" s="1"/>
  <c r="E135" i="2"/>
  <c r="D135" i="2" s="1"/>
  <c r="B135" i="5" s="1"/>
  <c r="B135" i="2"/>
  <c r="A5" i="5"/>
  <c r="C5" i="5" s="1"/>
  <c r="A98" i="3"/>
  <c r="C98" i="3" s="1"/>
  <c r="A68" i="5"/>
  <c r="C68" i="5" s="1"/>
  <c r="E10" i="2"/>
  <c r="D10" i="2" s="1"/>
  <c r="B10" i="2"/>
  <c r="A16" i="1"/>
  <c r="A20" i="3"/>
  <c r="C20" i="3" s="1"/>
  <c r="A26" i="1"/>
  <c r="C26" i="1" s="1"/>
  <c r="B20" i="2"/>
  <c r="E20" i="2"/>
  <c r="D20" i="2" s="1"/>
  <c r="A32" i="5"/>
  <c r="C32" i="5" s="1"/>
  <c r="E32" i="2"/>
  <c r="D32" i="2" s="1"/>
  <c r="B32" i="5" s="1"/>
  <c r="B32" i="2"/>
  <c r="A38" i="1"/>
  <c r="C38" i="1" s="1"/>
  <c r="A44" i="5"/>
  <c r="C44" i="5" s="1"/>
  <c r="A50" i="1"/>
  <c r="C50" i="1" s="1"/>
  <c r="E44" i="2"/>
  <c r="D44" i="2" s="1"/>
  <c r="B44" i="2"/>
  <c r="A54" i="3"/>
  <c r="C54" i="3" s="1"/>
  <c r="A63" i="3"/>
  <c r="C63" i="3" s="1"/>
  <c r="E63" i="2"/>
  <c r="D63" i="2" s="1"/>
  <c r="B63" i="2"/>
  <c r="A69" i="1"/>
  <c r="C69" i="1" s="1"/>
  <c r="A74" i="5"/>
  <c r="C74" i="5" s="1"/>
  <c r="E74" i="2"/>
  <c r="D74" i="2" s="1"/>
  <c r="B74" i="2"/>
  <c r="A80" i="1"/>
  <c r="C80" i="1" s="1"/>
  <c r="E86" i="2"/>
  <c r="D86" i="2" s="1"/>
  <c r="A92" i="1"/>
  <c r="C92" i="1" s="1"/>
  <c r="B86" i="2"/>
  <c r="A96" i="5"/>
  <c r="B96" i="2"/>
  <c r="E96" i="2"/>
  <c r="D96" i="2" s="1"/>
  <c r="A102" i="1"/>
  <c r="C102" i="1" s="1"/>
  <c r="E106" i="2"/>
  <c r="D106" i="2" s="1"/>
  <c r="B106" i="2"/>
  <c r="A112" i="1"/>
  <c r="C112" i="1" s="1"/>
  <c r="A118" i="3"/>
  <c r="C118" i="3" s="1"/>
  <c r="B118" i="2"/>
  <c r="A124" i="1"/>
  <c r="E118" i="2"/>
  <c r="D118" i="2" s="1"/>
  <c r="A139" i="23"/>
  <c r="B139" i="23" s="1"/>
  <c r="E138" i="2"/>
  <c r="D138" i="2" s="1"/>
  <c r="B138" i="5" s="1"/>
  <c r="B138" i="2"/>
  <c r="B149" i="2"/>
  <c r="E149" i="2"/>
  <c r="D149" i="2" s="1"/>
  <c r="B95" i="1"/>
  <c r="B87" i="1"/>
  <c r="B46" i="1"/>
  <c r="B65" i="1"/>
  <c r="B154" i="1"/>
  <c r="B17" i="1"/>
  <c r="B2" i="3"/>
  <c r="A89" i="23"/>
  <c r="B89" i="23" s="1"/>
  <c r="A59" i="23"/>
  <c r="B59" i="23" s="1"/>
  <c r="A75" i="23"/>
  <c r="B75" i="23" s="1"/>
  <c r="I161" i="10"/>
  <c r="K161" i="10" s="1"/>
  <c r="I146" i="10"/>
  <c r="K146" i="10" s="1"/>
  <c r="I151" i="10"/>
  <c r="L151" i="10" s="1"/>
  <c r="I155" i="10"/>
  <c r="K155" i="10" s="1"/>
  <c r="I165" i="10"/>
  <c r="J165" i="10" s="1"/>
  <c r="I65" i="10"/>
  <c r="L65" i="10" s="1"/>
  <c r="F174" i="10"/>
  <c r="A29" i="5"/>
  <c r="C29" i="5" s="1"/>
  <c r="A114" i="3"/>
  <c r="C114" i="3" s="1"/>
  <c r="A110" i="5"/>
  <c r="C110" i="5" s="1"/>
  <c r="A109" i="3"/>
  <c r="C109" i="3" s="1"/>
  <c r="A3" i="3"/>
  <c r="C3" i="3" s="1"/>
  <c r="A22" i="3"/>
  <c r="C22" i="3" s="1"/>
  <c r="A84" i="3"/>
  <c r="C84" i="3" s="1"/>
  <c r="A64" i="3"/>
  <c r="C64" i="3" s="1"/>
  <c r="A85" i="3"/>
  <c r="C85" i="3" s="1"/>
  <c r="A15" i="5"/>
  <c r="A22" i="5"/>
  <c r="A30" i="3"/>
  <c r="C30" i="3" s="1"/>
  <c r="A6" i="3"/>
  <c r="C6" i="3" s="1"/>
  <c r="A41" i="5"/>
  <c r="A49" i="3"/>
  <c r="C49" i="3" s="1"/>
  <c r="A4" i="5"/>
  <c r="A24" i="5"/>
  <c r="C24" i="5" s="1"/>
  <c r="A100" i="3"/>
  <c r="C100" i="3" s="1"/>
  <c r="A63" i="5"/>
  <c r="C63" i="5" s="1"/>
  <c r="A9" i="5"/>
  <c r="C9" i="5" s="1"/>
  <c r="A92" i="3"/>
  <c r="C92" i="3" s="1"/>
  <c r="A102" i="3"/>
  <c r="C102" i="3" s="1"/>
  <c r="A9" i="3"/>
  <c r="C9" i="3" s="1"/>
  <c r="A16" i="3"/>
  <c r="C16" i="3" s="1"/>
  <c r="A120" i="3"/>
  <c r="C120" i="3" s="1"/>
  <c r="A48" i="3"/>
  <c r="C48" i="3" s="1"/>
  <c r="A20" i="5"/>
  <c r="A59" i="3"/>
  <c r="C59" i="3" s="1"/>
  <c r="A41" i="3"/>
  <c r="C41" i="3" s="1"/>
  <c r="A105" i="3"/>
  <c r="C105" i="3" s="1"/>
  <c r="A47" i="5"/>
  <c r="C47" i="5" s="1"/>
  <c r="A78" i="5"/>
  <c r="C78" i="5" s="1"/>
  <c r="A10" i="3"/>
  <c r="C10" i="3" s="1"/>
  <c r="A59" i="5"/>
  <c r="C59" i="5" s="1"/>
  <c r="A11" i="5"/>
  <c r="A44" i="3"/>
  <c r="C44" i="3" s="1"/>
  <c r="A112" i="3"/>
  <c r="C112" i="3" s="1"/>
  <c r="A55" i="5"/>
  <c r="A47" i="3"/>
  <c r="C47" i="3" s="1"/>
  <c r="A38" i="5"/>
  <c r="C38" i="5" s="1"/>
  <c r="A75" i="5"/>
  <c r="A94" i="5"/>
  <c r="A95" i="3"/>
  <c r="C95" i="3" s="1"/>
  <c r="A75" i="3"/>
  <c r="C75" i="3" s="1"/>
  <c r="A30" i="5"/>
  <c r="A31" i="5"/>
  <c r="A46" i="5"/>
  <c r="A28" i="3"/>
  <c r="C28" i="3" s="1"/>
  <c r="A37" i="5"/>
  <c r="A93" i="3"/>
  <c r="C93" i="3" s="1"/>
  <c r="A38" i="3"/>
  <c r="C38" i="3" s="1"/>
  <c r="A106" i="3"/>
  <c r="C106" i="3" s="1"/>
  <c r="A95" i="5"/>
  <c r="C95" i="5" s="1"/>
  <c r="A67" i="5"/>
  <c r="C67" i="5" s="1"/>
  <c r="A55" i="3"/>
  <c r="C55" i="3" s="1"/>
  <c r="A80" i="5"/>
  <c r="C80" i="5" s="1"/>
  <c r="I154" i="10"/>
  <c r="K154" i="10" s="1"/>
  <c r="I153" i="10"/>
  <c r="M153" i="10" s="1"/>
  <c r="M151" i="10"/>
  <c r="I149" i="10"/>
  <c r="L149" i="10" s="1"/>
  <c r="I162" i="10"/>
  <c r="K162" i="10" s="1"/>
  <c r="I147" i="10"/>
  <c r="L147" i="10" s="1"/>
  <c r="F179" i="10"/>
  <c r="I150" i="10"/>
  <c r="I152" i="10"/>
  <c r="L161" i="10"/>
  <c r="I164" i="10"/>
  <c r="L164" i="10" s="1"/>
  <c r="I156" i="10"/>
  <c r="J156" i="10" s="1"/>
  <c r="I145" i="10"/>
  <c r="J145" i="10" s="1"/>
  <c r="I158" i="10"/>
  <c r="K67" i="10"/>
  <c r="I59" i="10"/>
  <c r="M59" i="10" s="1"/>
  <c r="I60" i="10"/>
  <c r="M60" i="10" s="1"/>
  <c r="I58" i="10"/>
  <c r="M58" i="10" s="1"/>
  <c r="I51" i="10"/>
  <c r="K51" i="10" s="1"/>
  <c r="I39" i="10"/>
  <c r="L39" i="10" s="1"/>
  <c r="I45" i="10"/>
  <c r="J45" i="10" s="1"/>
  <c r="I41" i="10"/>
  <c r="L41" i="10" s="1"/>
  <c r="I44" i="10"/>
  <c r="I56" i="10"/>
  <c r="M56" i="10" s="1"/>
  <c r="I42" i="10"/>
  <c r="K42" i="10" s="1"/>
  <c r="I34" i="10"/>
  <c r="I53" i="10"/>
  <c r="K53" i="10" s="1"/>
  <c r="I47" i="10"/>
  <c r="L47" i="10" s="1"/>
  <c r="I50" i="10"/>
  <c r="M50" i="10" s="1"/>
  <c r="I48" i="10"/>
  <c r="I54" i="10"/>
  <c r="M54" i="10" s="1"/>
  <c r="I52" i="10"/>
  <c r="K52" i="10" s="1"/>
  <c r="I55" i="10"/>
  <c r="J55" i="10" s="1"/>
  <c r="I40" i="10"/>
  <c r="I35" i="10"/>
  <c r="K35" i="10" s="1"/>
  <c r="I36" i="10"/>
  <c r="M36" i="10" s="1"/>
  <c r="F172" i="10"/>
  <c r="I38" i="10"/>
  <c r="J38" i="10" s="1"/>
  <c r="I46" i="10"/>
  <c r="K46" i="10" s="1"/>
  <c r="I37" i="10"/>
  <c r="J37" i="10" s="1"/>
  <c r="I49" i="10"/>
  <c r="A54" i="23"/>
  <c r="B54" i="23" s="1"/>
  <c r="A134" i="23"/>
  <c r="B134" i="23" s="1"/>
  <c r="A40" i="23"/>
  <c r="B40" i="23" s="1"/>
  <c r="B169" i="1"/>
  <c r="B156" i="23"/>
  <c r="A74" i="3"/>
  <c r="C74" i="3" s="1"/>
  <c r="A106" i="5"/>
  <c r="C106" i="5" s="1"/>
  <c r="A120" i="5"/>
  <c r="A65" i="3"/>
  <c r="C65" i="3" s="1"/>
  <c r="A50" i="5"/>
  <c r="C50" i="5" s="1"/>
  <c r="A3" i="5"/>
  <c r="G109" i="1" s="1"/>
  <c r="I109" i="1" s="1"/>
  <c r="H109" i="1" s="1"/>
  <c r="A35" i="5"/>
  <c r="A97" i="3"/>
  <c r="C97" i="3" s="1"/>
  <c r="A17" i="5"/>
  <c r="C17" i="5" s="1"/>
  <c r="A26" i="5"/>
  <c r="A58" i="3"/>
  <c r="C58" i="3" s="1"/>
  <c r="A64" i="23"/>
  <c r="B64" i="23" s="1"/>
  <c r="A73" i="5"/>
  <c r="A51" i="5"/>
  <c r="C51" i="5" s="1"/>
  <c r="A31" i="3"/>
  <c r="C31" i="3" s="1"/>
  <c r="A26" i="3"/>
  <c r="C26" i="3" s="1"/>
  <c r="A8" i="5"/>
  <c r="A10" i="5"/>
  <c r="C10" i="5" s="1"/>
  <c r="A83" i="3"/>
  <c r="C83" i="3" s="1"/>
  <c r="A35" i="3"/>
  <c r="C35" i="3" s="1"/>
  <c r="A27" i="5"/>
  <c r="A91" i="5"/>
  <c r="A34" i="5"/>
  <c r="C34" i="5" s="1"/>
  <c r="A90" i="5"/>
  <c r="C90" i="5" s="1"/>
  <c r="A19" i="3"/>
  <c r="C19" i="3" s="1"/>
  <c r="A52" i="3"/>
  <c r="C52" i="3" s="1"/>
  <c r="A113" i="3"/>
  <c r="C113" i="3" s="1"/>
  <c r="A32" i="3"/>
  <c r="C32" i="3" s="1"/>
  <c r="A36" i="3"/>
  <c r="C36" i="3" s="1"/>
  <c r="A28" i="5"/>
  <c r="C28" i="5" s="1"/>
  <c r="A72" i="5"/>
  <c r="C72" i="5" s="1"/>
  <c r="A58" i="5"/>
  <c r="A82" i="5"/>
  <c r="A17" i="3"/>
  <c r="C17" i="3" s="1"/>
  <c r="B108" i="5"/>
  <c r="M62" i="10"/>
  <c r="K62" i="10"/>
  <c r="L62" i="10"/>
  <c r="J62" i="10"/>
  <c r="I134" i="10"/>
  <c r="I73" i="10"/>
  <c r="I85" i="10"/>
  <c r="M85" i="10" s="1"/>
  <c r="I128" i="10"/>
  <c r="I69" i="10"/>
  <c r="I88" i="10"/>
  <c r="L88" i="10" s="1"/>
  <c r="I127" i="10"/>
  <c r="L127" i="10" s="1"/>
  <c r="I74" i="10"/>
  <c r="I95" i="10"/>
  <c r="L95" i="10" s="1"/>
  <c r="K132" i="10"/>
  <c r="K60" i="10"/>
  <c r="J164" i="10"/>
  <c r="J148" i="10"/>
  <c r="J129" i="10"/>
  <c r="J126" i="10"/>
  <c r="I136" i="10"/>
  <c r="I68" i="10"/>
  <c r="M94" i="10"/>
  <c r="I87" i="10"/>
  <c r="J87" i="10" s="1"/>
  <c r="M129" i="10"/>
  <c r="K164" i="10"/>
  <c r="K124" i="10"/>
  <c r="I70" i="10"/>
  <c r="I66" i="10"/>
  <c r="M66" i="10" s="1"/>
  <c r="I114" i="10"/>
  <c r="K114" i="10" s="1"/>
  <c r="I102" i="10"/>
  <c r="I113" i="10"/>
  <c r="I101" i="10"/>
  <c r="I112" i="10"/>
  <c r="I100" i="10"/>
  <c r="I104" i="10"/>
  <c r="I122" i="10"/>
  <c r="I111" i="10"/>
  <c r="M111" i="10" s="1"/>
  <c r="I99" i="10"/>
  <c r="K99" i="10" s="1"/>
  <c r="I107" i="10"/>
  <c r="M107" i="10" s="1"/>
  <c r="I121" i="10"/>
  <c r="K121" i="10" s="1"/>
  <c r="I110" i="10"/>
  <c r="K110" i="10" s="1"/>
  <c r="I98" i="10"/>
  <c r="M98" i="10" s="1"/>
  <c r="I120" i="10"/>
  <c r="I109" i="10"/>
  <c r="I97" i="10"/>
  <c r="I119" i="10"/>
  <c r="L119" i="10" s="1"/>
  <c r="I108" i="10"/>
  <c r="I118" i="10"/>
  <c r="I103" i="10"/>
  <c r="J103" i="10" s="1"/>
  <c r="I117" i="10"/>
  <c r="I106" i="10"/>
  <c r="I105" i="10"/>
  <c r="I116" i="10"/>
  <c r="I115" i="10"/>
  <c r="L129" i="10"/>
  <c r="L124" i="10"/>
  <c r="I71" i="10"/>
  <c r="M147" i="10"/>
  <c r="J124" i="10"/>
  <c r="I64" i="10"/>
  <c r="L64" i="10" s="1"/>
  <c r="I75" i="10"/>
  <c r="M75" i="10" s="1"/>
  <c r="I89" i="10"/>
  <c r="M89" i="10" s="1"/>
  <c r="I125" i="10"/>
  <c r="M125" i="10" s="1"/>
  <c r="I63" i="10"/>
  <c r="M63" i="10" s="1"/>
  <c r="I81" i="10"/>
  <c r="I130" i="10"/>
  <c r="J141" i="10"/>
  <c r="L141" i="10"/>
  <c r="K141" i="10"/>
  <c r="M141" i="10"/>
  <c r="I144" i="10"/>
  <c r="L144" i="10" s="1"/>
  <c r="I160" i="10"/>
  <c r="I138" i="10"/>
  <c r="I139" i="10"/>
  <c r="J135" i="10"/>
  <c r="J94" i="10"/>
  <c r="I86" i="10"/>
  <c r="K94" i="10"/>
  <c r="I92" i="10"/>
  <c r="I84" i="10"/>
  <c r="I91" i="10"/>
  <c r="I78" i="10"/>
  <c r="I83" i="10"/>
  <c r="J83" i="10" s="1"/>
  <c r="I82" i="10"/>
  <c r="L82" i="10" s="1"/>
  <c r="I80" i="10"/>
  <c r="J80" i="10" s="1"/>
  <c r="I79" i="10"/>
  <c r="M79" i="10" s="1"/>
  <c r="I77" i="10"/>
  <c r="I93" i="10"/>
  <c r="L45" i="10"/>
  <c r="K55" i="10"/>
  <c r="K43" i="10"/>
  <c r="L43" i="10"/>
  <c r="J43" i="10"/>
  <c r="I83" i="25"/>
  <c r="I84" i="25"/>
  <c r="C8" i="25" s="1"/>
  <c r="B5" i="17"/>
  <c r="B3" i="5"/>
  <c r="B4" i="17"/>
  <c r="B52" i="5"/>
  <c r="B64" i="5"/>
  <c r="B21" i="5"/>
  <c r="C7" i="26"/>
  <c r="D6" i="26"/>
  <c r="D4" i="26"/>
  <c r="D5" i="26"/>
  <c r="D3" i="26"/>
  <c r="J72" i="10"/>
  <c r="K72" i="10"/>
  <c r="L72" i="10"/>
  <c r="M72" i="10"/>
  <c r="M126" i="10"/>
  <c r="L126" i="10"/>
  <c r="L67" i="10"/>
  <c r="M67" i="10"/>
  <c r="M148" i="10"/>
  <c r="L148" i="10"/>
  <c r="A11" i="23"/>
  <c r="B11" i="23" s="1"/>
  <c r="M132" i="10"/>
  <c r="J58" i="10"/>
  <c r="C86" i="5"/>
  <c r="L132" i="10"/>
  <c r="K58" i="10"/>
  <c r="A42" i="3"/>
  <c r="C42" i="3" s="1"/>
  <c r="A76" i="3"/>
  <c r="C76" i="3" s="1"/>
  <c r="A76" i="5"/>
  <c r="A99" i="5"/>
  <c r="A99" i="3"/>
  <c r="C99" i="3" s="1"/>
  <c r="A12" i="3"/>
  <c r="C12" i="3" s="1"/>
  <c r="A116" i="5"/>
  <c r="A121" i="3"/>
  <c r="A19" i="5"/>
  <c r="A100" i="5"/>
  <c r="C100" i="5" s="1"/>
  <c r="A13" i="5"/>
  <c r="C13" i="5" s="1"/>
  <c r="A13" i="3"/>
  <c r="C13" i="3" s="1"/>
  <c r="A12" i="5"/>
  <c r="A148" i="23"/>
  <c r="B148" i="23" s="1"/>
  <c r="A115" i="3"/>
  <c r="C115" i="3" s="1"/>
  <c r="A115" i="5"/>
  <c r="C115" i="5" s="1"/>
  <c r="A53" i="3"/>
  <c r="C53" i="3" s="1"/>
  <c r="A53" i="5"/>
  <c r="A101" i="3"/>
  <c r="C101" i="3" s="1"/>
  <c r="A48" i="5"/>
  <c r="A104" i="3"/>
  <c r="C104" i="3" s="1"/>
  <c r="I159" i="10"/>
  <c r="I163" i="10"/>
  <c r="I157" i="10"/>
  <c r="I143" i="10"/>
  <c r="I166" i="10"/>
  <c r="A71" i="5"/>
  <c r="A77" i="3"/>
  <c r="C77" i="3" s="1"/>
  <c r="A102" i="5"/>
  <c r="A56" i="3"/>
  <c r="C56" i="3" s="1"/>
  <c r="A51" i="3"/>
  <c r="C51" i="3" s="1"/>
  <c r="A78" i="3"/>
  <c r="C78" i="3" s="1"/>
  <c r="A107" i="3"/>
  <c r="C107" i="3" s="1"/>
  <c r="A96" i="3"/>
  <c r="C96" i="3" s="1"/>
  <c r="F175" i="10"/>
  <c r="I142" i="10"/>
  <c r="I90" i="10"/>
  <c r="D2" i="26"/>
  <c r="C2" i="24"/>
  <c r="B2" i="24" s="1"/>
  <c r="H2" i="3" s="1"/>
  <c r="C3" i="24"/>
  <c r="B3" i="24" s="1"/>
  <c r="M146" i="10" l="1"/>
  <c r="J149" i="10"/>
  <c r="M149" i="10"/>
  <c r="J151" i="10"/>
  <c r="I140" i="10"/>
  <c r="K133" i="10"/>
  <c r="M34" i="10"/>
  <c r="I57" i="10"/>
  <c r="K135" i="10"/>
  <c r="J127" i="10"/>
  <c r="K145" i="10"/>
  <c r="J162" i="10"/>
  <c r="M135" i="10"/>
  <c r="J75" i="10"/>
  <c r="J59" i="10"/>
  <c r="K59" i="10"/>
  <c r="E61" i="10" s="1"/>
  <c r="B173" i="10" s="1"/>
  <c r="B185" i="10" s="1"/>
  <c r="L59" i="10"/>
  <c r="G61" i="10"/>
  <c r="E173" i="10" s="1"/>
  <c r="D185" i="10" s="1"/>
  <c r="J56" i="10"/>
  <c r="K34" i="10"/>
  <c r="J34" i="10"/>
  <c r="J42" i="10"/>
  <c r="L42" i="10"/>
  <c r="M42" i="10"/>
  <c r="L34" i="10"/>
  <c r="K56" i="10"/>
  <c r="J36" i="10"/>
  <c r="L56" i="10"/>
  <c r="J155" i="10"/>
  <c r="K85" i="10"/>
  <c r="M65" i="10"/>
  <c r="J39" i="10"/>
  <c r="K131" i="10"/>
  <c r="K39" i="10"/>
  <c r="J41" i="10"/>
  <c r="J153" i="10"/>
  <c r="M154" i="10"/>
  <c r="K153" i="10"/>
  <c r="K65" i="10"/>
  <c r="M41" i="10"/>
  <c r="M37" i="10"/>
  <c r="K45" i="10"/>
  <c r="M53" i="10"/>
  <c r="L154" i="10"/>
  <c r="L52" i="10"/>
  <c r="J65" i="10"/>
  <c r="M131" i="10"/>
  <c r="M133" i="10"/>
  <c r="L153" i="10"/>
  <c r="M165" i="10"/>
  <c r="L165" i="10"/>
  <c r="J154" i="10"/>
  <c r="M45" i="10"/>
  <c r="K149" i="10"/>
  <c r="J133" i="10"/>
  <c r="L58" i="10"/>
  <c r="M164" i="10"/>
  <c r="J131" i="10"/>
  <c r="K151" i="10"/>
  <c r="H121" i="3"/>
  <c r="C121" i="3"/>
  <c r="H139" i="3"/>
  <c r="C139" i="3"/>
  <c r="H147" i="3"/>
  <c r="C147" i="3"/>
  <c r="I18" i="3"/>
  <c r="C18" i="3"/>
  <c r="H156" i="3"/>
  <c r="C156" i="3"/>
  <c r="H143" i="3"/>
  <c r="C143" i="3"/>
  <c r="H154" i="3"/>
  <c r="C154" i="3"/>
  <c r="H140" i="3"/>
  <c r="C140" i="3"/>
  <c r="H149" i="3"/>
  <c r="C149" i="3"/>
  <c r="B60" i="3"/>
  <c r="C60" i="3"/>
  <c r="H145" i="3"/>
  <c r="C145" i="3"/>
  <c r="H138" i="3"/>
  <c r="C138" i="3"/>
  <c r="H127" i="3"/>
  <c r="C127" i="3"/>
  <c r="H135" i="3"/>
  <c r="C135" i="3"/>
  <c r="H146" i="3"/>
  <c r="C146" i="3"/>
  <c r="B7" i="3"/>
  <c r="C7" i="3"/>
  <c r="H131" i="3"/>
  <c r="C131" i="3"/>
  <c r="I60" i="3"/>
  <c r="H128" i="3"/>
  <c r="C128" i="3"/>
  <c r="B117" i="3"/>
  <c r="C117" i="3"/>
  <c r="H150" i="3"/>
  <c r="C150" i="3"/>
  <c r="H111" i="3"/>
  <c r="C111" i="3"/>
  <c r="H94" i="3"/>
  <c r="C94" i="3"/>
  <c r="H125" i="3"/>
  <c r="H153" i="3"/>
  <c r="C153" i="3"/>
  <c r="H151" i="3"/>
  <c r="C151" i="3"/>
  <c r="H134" i="3"/>
  <c r="C134" i="3"/>
  <c r="H148" i="3"/>
  <c r="C148" i="3"/>
  <c r="B69" i="3"/>
  <c r="C69" i="3"/>
  <c r="H144" i="3"/>
  <c r="C144" i="3"/>
  <c r="H152" i="3"/>
  <c r="C152" i="3"/>
  <c r="B86" i="3"/>
  <c r="C86" i="3"/>
  <c r="B57" i="3"/>
  <c r="C57" i="3"/>
  <c r="H129" i="3"/>
  <c r="H157" i="3"/>
  <c r="C157" i="3"/>
  <c r="H141" i="3"/>
  <c r="C141" i="3"/>
  <c r="I94" i="3"/>
  <c r="B137" i="1"/>
  <c r="B70" i="1"/>
  <c r="A118" i="23"/>
  <c r="B118" i="23" s="1"/>
  <c r="C124" i="1"/>
  <c r="B71" i="1"/>
  <c r="C71" i="1"/>
  <c r="A31" i="23"/>
  <c r="B31" i="23" s="1"/>
  <c r="C37" i="1"/>
  <c r="A61" i="23"/>
  <c r="B61" i="23" s="1"/>
  <c r="C67" i="1"/>
  <c r="A49" i="23"/>
  <c r="B49" i="23" s="1"/>
  <c r="C55" i="1"/>
  <c r="B60" i="1"/>
  <c r="C60" i="1"/>
  <c r="A135" i="23"/>
  <c r="B135" i="23" s="1"/>
  <c r="C141" i="1"/>
  <c r="A114" i="23"/>
  <c r="B114" i="23" s="1"/>
  <c r="C120" i="1"/>
  <c r="B115" i="1"/>
  <c r="C115" i="1"/>
  <c r="B16" i="1"/>
  <c r="C16" i="1"/>
  <c r="B28" i="1"/>
  <c r="C28" i="1"/>
  <c r="A133" i="23"/>
  <c r="B133" i="23" s="1"/>
  <c r="C139" i="1"/>
  <c r="B13" i="1"/>
  <c r="C13" i="1"/>
  <c r="A110" i="23"/>
  <c r="B110" i="23" s="1"/>
  <c r="C116" i="1"/>
  <c r="B23" i="1"/>
  <c r="C23" i="1"/>
  <c r="A69" i="23"/>
  <c r="B69" i="23" s="1"/>
  <c r="C75" i="1"/>
  <c r="A98" i="23"/>
  <c r="B98" i="23" s="1"/>
  <c r="C104" i="1"/>
  <c r="B123" i="1"/>
  <c r="C123" i="1"/>
  <c r="A41" i="23"/>
  <c r="B41" i="23" s="1"/>
  <c r="C47" i="1"/>
  <c r="A38" i="23"/>
  <c r="B38" i="23" s="1"/>
  <c r="C44" i="1"/>
  <c r="B93" i="1"/>
  <c r="C93" i="1"/>
  <c r="A67" i="23"/>
  <c r="B67" i="23" s="1"/>
  <c r="C73" i="1"/>
  <c r="B83" i="1"/>
  <c r="C83" i="1"/>
  <c r="A116" i="23"/>
  <c r="B116" i="23" s="1"/>
  <c r="C122" i="1"/>
  <c r="A12" i="23"/>
  <c r="B12" i="23" s="1"/>
  <c r="C18" i="1"/>
  <c r="B19" i="1"/>
  <c r="C19" i="1"/>
  <c r="A53" i="23"/>
  <c r="B53" i="23" s="1"/>
  <c r="C59" i="1"/>
  <c r="A52" i="23"/>
  <c r="B52" i="23" s="1"/>
  <c r="C58" i="1"/>
  <c r="B9" i="1"/>
  <c r="C9" i="1"/>
  <c r="A154" i="23"/>
  <c r="B154" i="23" s="1"/>
  <c r="C160" i="1"/>
  <c r="B68" i="1"/>
  <c r="C68" i="1"/>
  <c r="A144" i="23"/>
  <c r="B144" i="23" s="1"/>
  <c r="C150" i="1"/>
  <c r="B144" i="1"/>
  <c r="C144" i="1"/>
  <c r="B90" i="1"/>
  <c r="C90" i="1"/>
  <c r="B51" i="1"/>
  <c r="C51" i="1"/>
  <c r="A81" i="23"/>
  <c r="B81" i="23" s="1"/>
  <c r="C87" i="1"/>
  <c r="B8" i="1"/>
  <c r="C8" i="1"/>
  <c r="B39" i="1"/>
  <c r="C39" i="1"/>
  <c r="B157" i="1"/>
  <c r="C157" i="1"/>
  <c r="A119" i="23"/>
  <c r="B119" i="23" s="1"/>
  <c r="C125" i="1"/>
  <c r="A9" i="23"/>
  <c r="B9" i="23" s="1"/>
  <c r="C15" i="1"/>
  <c r="B113" i="1"/>
  <c r="C113" i="1"/>
  <c r="B128" i="1"/>
  <c r="C128" i="1"/>
  <c r="A47" i="23"/>
  <c r="B47" i="23" s="1"/>
  <c r="C53" i="1"/>
  <c r="B82" i="1"/>
  <c r="C82" i="1"/>
  <c r="B125" i="1"/>
  <c r="B66" i="1"/>
  <c r="C66" i="1"/>
  <c r="A88" i="23"/>
  <c r="B88" i="23" s="1"/>
  <c r="C94" i="1"/>
  <c r="A57" i="23"/>
  <c r="B57" i="23" s="1"/>
  <c r="C63" i="1"/>
  <c r="A70" i="23"/>
  <c r="B70" i="23" s="1"/>
  <c r="C76" i="1"/>
  <c r="B81" i="1"/>
  <c r="C81" i="1"/>
  <c r="I117" i="3"/>
  <c r="B94" i="3"/>
  <c r="B139" i="1"/>
  <c r="A109" i="23"/>
  <c r="B109" i="23" s="1"/>
  <c r="H18" i="3"/>
  <c r="B18" i="3"/>
  <c r="H117" i="3"/>
  <c r="I57" i="3"/>
  <c r="B152" i="1"/>
  <c r="A146" i="23"/>
  <c r="B146" i="23" s="1"/>
  <c r="A151" i="23"/>
  <c r="B151" i="23" s="1"/>
  <c r="B141" i="1"/>
  <c r="H60" i="3"/>
  <c r="B111" i="3"/>
  <c r="G127" i="1"/>
  <c r="G83" i="1"/>
  <c r="A84" i="23"/>
  <c r="B84" i="23" s="1"/>
  <c r="A33" i="23"/>
  <c r="B33" i="23" s="1"/>
  <c r="G114" i="1"/>
  <c r="G74" i="1"/>
  <c r="G11" i="1"/>
  <c r="H7" i="3"/>
  <c r="G80" i="1"/>
  <c r="I7" i="3"/>
  <c r="I111" i="3"/>
  <c r="G125" i="1"/>
  <c r="G111" i="1"/>
  <c r="G38" i="1"/>
  <c r="G72" i="1"/>
  <c r="G23" i="1"/>
  <c r="G138" i="1"/>
  <c r="G149" i="1"/>
  <c r="B121" i="5"/>
  <c r="B45" i="5"/>
  <c r="G159" i="1"/>
  <c r="A77" i="23"/>
  <c r="B77" i="23" s="1"/>
  <c r="A7" i="23"/>
  <c r="B7" i="23" s="1"/>
  <c r="B121" i="1"/>
  <c r="A115" i="23"/>
  <c r="B115" i="23" s="1"/>
  <c r="G75" i="1"/>
  <c r="G71" i="1"/>
  <c r="A60" i="23"/>
  <c r="B60" i="23" s="1"/>
  <c r="G131" i="1"/>
  <c r="G134" i="1"/>
  <c r="B116" i="5"/>
  <c r="B5" i="5"/>
  <c r="B81" i="5"/>
  <c r="B126" i="1"/>
  <c r="B76" i="1"/>
  <c r="A3" i="23"/>
  <c r="B3" i="23" s="1"/>
  <c r="B88" i="5"/>
  <c r="A122" i="23"/>
  <c r="B122" i="23" s="1"/>
  <c r="B18" i="5"/>
  <c r="B111" i="5"/>
  <c r="A120" i="23"/>
  <c r="B120" i="23" s="1"/>
  <c r="B122" i="1"/>
  <c r="A130" i="23"/>
  <c r="B130" i="23" s="1"/>
  <c r="B136" i="1"/>
  <c r="B70" i="5"/>
  <c r="A10" i="23"/>
  <c r="B10" i="23" s="1"/>
  <c r="B75" i="1"/>
  <c r="A17" i="23"/>
  <c r="B17" i="23" s="1"/>
  <c r="A23" i="23"/>
  <c r="B23" i="23" s="1"/>
  <c r="B29" i="1"/>
  <c r="B37" i="1"/>
  <c r="A2" i="23"/>
  <c r="B2" i="23" s="1"/>
  <c r="A65" i="23"/>
  <c r="B65" i="23" s="1"/>
  <c r="B150" i="1"/>
  <c r="A145" i="23"/>
  <c r="B145" i="23" s="1"/>
  <c r="A107" i="23"/>
  <c r="B107" i="23" s="1"/>
  <c r="B151" i="1"/>
  <c r="B90" i="5"/>
  <c r="A62" i="23"/>
  <c r="B62" i="23" s="1"/>
  <c r="B18" i="1"/>
  <c r="A117" i="23"/>
  <c r="B117" i="23" s="1"/>
  <c r="I145" i="3"/>
  <c r="B145" i="3"/>
  <c r="B130" i="3"/>
  <c r="I130" i="3"/>
  <c r="I51" i="3"/>
  <c r="B51" i="3"/>
  <c r="H51" i="3"/>
  <c r="B67" i="1"/>
  <c r="I62" i="3"/>
  <c r="B62" i="3"/>
  <c r="H62" i="3"/>
  <c r="B108" i="3"/>
  <c r="I108" i="3"/>
  <c r="H108" i="3"/>
  <c r="H56" i="3"/>
  <c r="B56" i="3"/>
  <c r="I56" i="3"/>
  <c r="H13" i="3"/>
  <c r="B13" i="3"/>
  <c r="I13" i="3"/>
  <c r="B100" i="5"/>
  <c r="H49" i="3"/>
  <c r="B49" i="3"/>
  <c r="I49" i="3"/>
  <c r="I63" i="3"/>
  <c r="H63" i="3"/>
  <c r="B63" i="3"/>
  <c r="B23" i="3"/>
  <c r="I23" i="3"/>
  <c r="H23" i="3"/>
  <c r="I71" i="3"/>
  <c r="B71" i="3"/>
  <c r="H71" i="3"/>
  <c r="B128" i="3"/>
  <c r="I128" i="3"/>
  <c r="B54" i="3"/>
  <c r="H54" i="3"/>
  <c r="I54" i="3"/>
  <c r="B68" i="3"/>
  <c r="H68" i="3"/>
  <c r="I68" i="3"/>
  <c r="H21" i="3"/>
  <c r="B21" i="3"/>
  <c r="I21" i="3"/>
  <c r="H37" i="3"/>
  <c r="B37" i="3"/>
  <c r="I37" i="3"/>
  <c r="B144" i="3"/>
  <c r="I144" i="3"/>
  <c r="I155" i="3"/>
  <c r="B155" i="3"/>
  <c r="B150" i="3"/>
  <c r="I150" i="3"/>
  <c r="B126" i="3"/>
  <c r="I126" i="3"/>
  <c r="I147" i="3"/>
  <c r="B147" i="3"/>
  <c r="I158" i="3"/>
  <c r="B158" i="3"/>
  <c r="B58" i="3"/>
  <c r="I58" i="3"/>
  <c r="H58" i="3"/>
  <c r="H3" i="3"/>
  <c r="I3" i="3"/>
  <c r="B3" i="3"/>
  <c r="I34" i="3"/>
  <c r="B34" i="3"/>
  <c r="H34" i="3"/>
  <c r="I133" i="3"/>
  <c r="B133" i="3"/>
  <c r="I153" i="3"/>
  <c r="B153" i="3"/>
  <c r="I124" i="3"/>
  <c r="B124" i="3"/>
  <c r="B80" i="3"/>
  <c r="H80" i="3"/>
  <c r="I80" i="3"/>
  <c r="I136" i="3"/>
  <c r="B136" i="3"/>
  <c r="B48" i="3"/>
  <c r="H48" i="3"/>
  <c r="I48" i="3"/>
  <c r="B42" i="3"/>
  <c r="H42" i="3"/>
  <c r="I42" i="3"/>
  <c r="B44" i="3"/>
  <c r="H44" i="3"/>
  <c r="I44" i="3"/>
  <c r="B16" i="3"/>
  <c r="H16" i="3"/>
  <c r="I16" i="3"/>
  <c r="B30" i="3"/>
  <c r="I30" i="3"/>
  <c r="H30" i="3"/>
  <c r="H40" i="3"/>
  <c r="I40" i="3"/>
  <c r="B40" i="3"/>
  <c r="H155" i="3"/>
  <c r="G130" i="1"/>
  <c r="H41" i="3"/>
  <c r="B41" i="3"/>
  <c r="I41" i="3"/>
  <c r="H4" i="3"/>
  <c r="B4" i="3"/>
  <c r="I4" i="3"/>
  <c r="B14" i="3"/>
  <c r="I14" i="3"/>
  <c r="H14" i="3"/>
  <c r="B122" i="3"/>
  <c r="I122" i="3"/>
  <c r="I109" i="3"/>
  <c r="H109" i="3"/>
  <c r="B109" i="3"/>
  <c r="I79" i="3"/>
  <c r="B79" i="3"/>
  <c r="H79" i="3"/>
  <c r="I97" i="3"/>
  <c r="H97" i="3"/>
  <c r="B97" i="3"/>
  <c r="B47" i="1"/>
  <c r="B15" i="3"/>
  <c r="I15" i="3"/>
  <c r="H15" i="3"/>
  <c r="A13" i="23"/>
  <c r="B13" i="23" s="1"/>
  <c r="H9" i="3"/>
  <c r="B9" i="3"/>
  <c r="I9" i="3"/>
  <c r="H29" i="3"/>
  <c r="B29" i="3"/>
  <c r="I29" i="3"/>
  <c r="H124" i="3"/>
  <c r="H122" i="3"/>
  <c r="H158" i="3"/>
  <c r="H33" i="3"/>
  <c r="B33" i="3"/>
  <c r="I33" i="3"/>
  <c r="B132" i="3"/>
  <c r="I132" i="3"/>
  <c r="I143" i="3"/>
  <c r="B143" i="3"/>
  <c r="I151" i="3"/>
  <c r="B151" i="3"/>
  <c r="I135" i="3"/>
  <c r="B135" i="3"/>
  <c r="I146" i="3"/>
  <c r="B146" i="3"/>
  <c r="H52" i="3"/>
  <c r="B52" i="3"/>
  <c r="I52" i="3"/>
  <c r="I59" i="3"/>
  <c r="B59" i="3"/>
  <c r="H59" i="3"/>
  <c r="H61" i="3"/>
  <c r="B61" i="3"/>
  <c r="I61" i="3"/>
  <c r="B24" i="3"/>
  <c r="I24" i="3"/>
  <c r="H24" i="3"/>
  <c r="H17" i="3"/>
  <c r="B17" i="3"/>
  <c r="I17" i="3"/>
  <c r="B28" i="3"/>
  <c r="H28" i="3"/>
  <c r="I28" i="3"/>
  <c r="H53" i="3"/>
  <c r="B53" i="3"/>
  <c r="I53" i="3"/>
  <c r="I96" i="3"/>
  <c r="B96" i="3"/>
  <c r="H96" i="3"/>
  <c r="B119" i="5"/>
  <c r="I26" i="3"/>
  <c r="B26" i="3"/>
  <c r="H26" i="3"/>
  <c r="H55" i="3"/>
  <c r="B55" i="3"/>
  <c r="I55" i="3"/>
  <c r="H102" i="3"/>
  <c r="B102" i="3"/>
  <c r="I102" i="3"/>
  <c r="B118" i="3"/>
  <c r="I118" i="3"/>
  <c r="H118" i="3"/>
  <c r="I50" i="3"/>
  <c r="H50" i="3"/>
  <c r="B50" i="3"/>
  <c r="B11" i="3"/>
  <c r="I11" i="3"/>
  <c r="H11" i="3"/>
  <c r="H89" i="3"/>
  <c r="B89" i="3"/>
  <c r="I89" i="3"/>
  <c r="H126" i="3"/>
  <c r="I137" i="3"/>
  <c r="B137" i="3"/>
  <c r="B138" i="3"/>
  <c r="I138" i="3"/>
  <c r="G137" i="1"/>
  <c r="I154" i="3"/>
  <c r="B154" i="3"/>
  <c r="I141" i="3"/>
  <c r="B141" i="3"/>
  <c r="G158" i="1"/>
  <c r="I74" i="3"/>
  <c r="H74" i="3"/>
  <c r="B74" i="3"/>
  <c r="B47" i="3"/>
  <c r="I47" i="3"/>
  <c r="H47" i="3"/>
  <c r="H77" i="3"/>
  <c r="B77" i="3"/>
  <c r="I77" i="3"/>
  <c r="H107" i="3"/>
  <c r="B107" i="3"/>
  <c r="I107" i="3"/>
  <c r="B98" i="5"/>
  <c r="I35" i="3"/>
  <c r="H35" i="3"/>
  <c r="B35" i="3"/>
  <c r="B31" i="3"/>
  <c r="I31" i="3"/>
  <c r="H31" i="3"/>
  <c r="I75" i="3"/>
  <c r="B75" i="3"/>
  <c r="H75" i="3"/>
  <c r="H10" i="3"/>
  <c r="I10" i="3"/>
  <c r="B10" i="3"/>
  <c r="I92" i="3"/>
  <c r="B92" i="3"/>
  <c r="H92" i="3"/>
  <c r="H85" i="3"/>
  <c r="B85" i="3"/>
  <c r="I85" i="3"/>
  <c r="B59" i="1"/>
  <c r="B43" i="3"/>
  <c r="H43" i="3"/>
  <c r="I43" i="3"/>
  <c r="B66" i="3"/>
  <c r="I66" i="3"/>
  <c r="H66" i="3"/>
  <c r="B91" i="3"/>
  <c r="I91" i="3"/>
  <c r="H91" i="3"/>
  <c r="H45" i="3"/>
  <c r="B45" i="3"/>
  <c r="I45" i="3"/>
  <c r="H130" i="3"/>
  <c r="B152" i="3"/>
  <c r="I152" i="3"/>
  <c r="G152" i="1"/>
  <c r="B156" i="3"/>
  <c r="I156" i="3"/>
  <c r="I127" i="3"/>
  <c r="B127" i="3"/>
  <c r="H76" i="3"/>
  <c r="I76" i="3"/>
  <c r="B76" i="3"/>
  <c r="I6" i="3"/>
  <c r="H6" i="3"/>
  <c r="B6" i="3"/>
  <c r="H20" i="3"/>
  <c r="I20" i="3"/>
  <c r="B20" i="3"/>
  <c r="H95" i="3"/>
  <c r="B95" i="3"/>
  <c r="I95" i="3"/>
  <c r="I64" i="3"/>
  <c r="H64" i="3"/>
  <c r="B64" i="3"/>
  <c r="H98" i="3"/>
  <c r="B98" i="3"/>
  <c r="I98" i="3"/>
  <c r="H73" i="3"/>
  <c r="B73" i="3"/>
  <c r="I73" i="3"/>
  <c r="B39" i="3"/>
  <c r="I39" i="3"/>
  <c r="H39" i="3"/>
  <c r="H133" i="3"/>
  <c r="G163" i="1"/>
  <c r="G144" i="1"/>
  <c r="I131" i="3"/>
  <c r="B131" i="3"/>
  <c r="G135" i="1"/>
  <c r="B134" i="3"/>
  <c r="I134" i="3"/>
  <c r="H99" i="3"/>
  <c r="I99" i="3"/>
  <c r="B99" i="3"/>
  <c r="I38" i="3"/>
  <c r="H38" i="3"/>
  <c r="B38" i="3"/>
  <c r="I19" i="3"/>
  <c r="B19" i="3"/>
  <c r="H19" i="3"/>
  <c r="B93" i="3"/>
  <c r="I93" i="3"/>
  <c r="H93" i="3"/>
  <c r="I27" i="3"/>
  <c r="H27" i="3"/>
  <c r="B27" i="3"/>
  <c r="H112" i="3"/>
  <c r="I112" i="3"/>
  <c r="B112" i="3"/>
  <c r="H115" i="3"/>
  <c r="B115" i="3"/>
  <c r="I115" i="3"/>
  <c r="B36" i="3"/>
  <c r="I36" i="3"/>
  <c r="H36" i="3"/>
  <c r="B32" i="3"/>
  <c r="H32" i="3"/>
  <c r="I32" i="3"/>
  <c r="H65" i="3"/>
  <c r="B65" i="3"/>
  <c r="I65" i="3"/>
  <c r="I84" i="3"/>
  <c r="H84" i="3"/>
  <c r="B84" i="3"/>
  <c r="B120" i="1"/>
  <c r="D66" i="3"/>
  <c r="I46" i="3"/>
  <c r="B46" i="3"/>
  <c r="H46" i="3"/>
  <c r="I87" i="3"/>
  <c r="H87" i="3"/>
  <c r="B87" i="3"/>
  <c r="H136" i="3"/>
  <c r="B157" i="3"/>
  <c r="I157" i="3"/>
  <c r="G162" i="1"/>
  <c r="I149" i="3"/>
  <c r="B149" i="3"/>
  <c r="B129" i="3"/>
  <c r="I129" i="3"/>
  <c r="B139" i="3"/>
  <c r="I139" i="3"/>
  <c r="I148" i="3"/>
  <c r="B148" i="3"/>
  <c r="I123" i="3"/>
  <c r="B123" i="3"/>
  <c r="B114" i="3"/>
  <c r="H114" i="3"/>
  <c r="I114" i="3"/>
  <c r="H25" i="3"/>
  <c r="B25" i="3"/>
  <c r="I25" i="3"/>
  <c r="B101" i="3"/>
  <c r="H101" i="3"/>
  <c r="I101" i="3"/>
  <c r="H78" i="3"/>
  <c r="B78" i="3"/>
  <c r="I78" i="3"/>
  <c r="I121" i="3"/>
  <c r="B121" i="3"/>
  <c r="B83" i="3"/>
  <c r="H83" i="3"/>
  <c r="I83" i="3"/>
  <c r="I104" i="3"/>
  <c r="B104" i="3"/>
  <c r="H104" i="3"/>
  <c r="B15" i="5"/>
  <c r="H12" i="3"/>
  <c r="B12" i="3"/>
  <c r="I12" i="3"/>
  <c r="B40" i="5"/>
  <c r="I113" i="3"/>
  <c r="H113" i="3"/>
  <c r="B113" i="3"/>
  <c r="H106" i="3"/>
  <c r="I106" i="3"/>
  <c r="B106" i="3"/>
  <c r="I105" i="3"/>
  <c r="B105" i="3"/>
  <c r="H105" i="3"/>
  <c r="I100" i="3"/>
  <c r="H100" i="3"/>
  <c r="B100" i="3"/>
  <c r="I22" i="3"/>
  <c r="B22" i="3"/>
  <c r="H22" i="3"/>
  <c r="B72" i="3"/>
  <c r="I72" i="3"/>
  <c r="H72" i="3"/>
  <c r="B8" i="3"/>
  <c r="H8" i="3"/>
  <c r="I8" i="3"/>
  <c r="I67" i="3"/>
  <c r="H67" i="3"/>
  <c r="B67" i="3"/>
  <c r="H110" i="3"/>
  <c r="B110" i="3"/>
  <c r="I110" i="3"/>
  <c r="H90" i="3"/>
  <c r="B90" i="3"/>
  <c r="I90" i="3"/>
  <c r="H137" i="3"/>
  <c r="I125" i="3"/>
  <c r="B125" i="3"/>
  <c r="B142" i="3"/>
  <c r="I142" i="3"/>
  <c r="I140" i="3"/>
  <c r="B140" i="3"/>
  <c r="G145" i="1"/>
  <c r="G129" i="1"/>
  <c r="B34" i="5"/>
  <c r="B58" i="5"/>
  <c r="B25" i="5"/>
  <c r="B46" i="5"/>
  <c r="B77" i="5"/>
  <c r="B87" i="5"/>
  <c r="B33" i="5"/>
  <c r="B17" i="5"/>
  <c r="B38" i="5"/>
  <c r="B107" i="5"/>
  <c r="B51" i="5"/>
  <c r="B76" i="5"/>
  <c r="B35" i="5"/>
  <c r="B59" i="5"/>
  <c r="B24" i="5"/>
  <c r="D30" i="2"/>
  <c r="B6" i="5"/>
  <c r="B39" i="5"/>
  <c r="B4" i="5"/>
  <c r="B113" i="5"/>
  <c r="B69" i="5"/>
  <c r="G128" i="1"/>
  <c r="B13" i="5"/>
  <c r="D109" i="3"/>
  <c r="B14" i="5"/>
  <c r="B94" i="5"/>
  <c r="B47" i="5"/>
  <c r="B95" i="5"/>
  <c r="B82" i="3"/>
  <c r="I82" i="3"/>
  <c r="H82" i="3"/>
  <c r="B139" i="5"/>
  <c r="B131" i="5"/>
  <c r="B151" i="5"/>
  <c r="B129" i="5"/>
  <c r="B156" i="5"/>
  <c r="B132" i="5"/>
  <c r="B140" i="5"/>
  <c r="B127" i="5"/>
  <c r="B125" i="5"/>
  <c r="B157" i="5"/>
  <c r="B122" i="5"/>
  <c r="D26" i="2"/>
  <c r="B145" i="5"/>
  <c r="B128" i="5"/>
  <c r="B130" i="5"/>
  <c r="B20" i="5"/>
  <c r="B153" i="5"/>
  <c r="B158" i="5"/>
  <c r="B146" i="5"/>
  <c r="B72" i="5"/>
  <c r="B104" i="5"/>
  <c r="B142" i="5"/>
  <c r="B123" i="5"/>
  <c r="B155" i="5"/>
  <c r="D89" i="2"/>
  <c r="B89" i="5" s="1"/>
  <c r="B19" i="5"/>
  <c r="B126" i="5"/>
  <c r="B124" i="5"/>
  <c r="B150" i="5"/>
  <c r="B149" i="5"/>
  <c r="B141" i="5"/>
  <c r="B144" i="5"/>
  <c r="B152" i="5"/>
  <c r="D34" i="3"/>
  <c r="D69" i="3"/>
  <c r="D32" i="3"/>
  <c r="D49" i="3"/>
  <c r="D76" i="3"/>
  <c r="D95" i="3"/>
  <c r="D54" i="3"/>
  <c r="D22" i="3"/>
  <c r="D47" i="3"/>
  <c r="D57" i="3"/>
  <c r="D28" i="3"/>
  <c r="D68" i="3"/>
  <c r="D85" i="3"/>
  <c r="D86" i="3"/>
  <c r="D8" i="3"/>
  <c r="D114" i="3"/>
  <c r="D72" i="3"/>
  <c r="D58" i="3"/>
  <c r="D6" i="3"/>
  <c r="D75" i="3"/>
  <c r="D40" i="3"/>
  <c r="D77" i="3"/>
  <c r="D91" i="3"/>
  <c r="D98" i="3"/>
  <c r="D20" i="3"/>
  <c r="D3" i="3"/>
  <c r="D78" i="3"/>
  <c r="D70" i="3"/>
  <c r="D12" i="3"/>
  <c r="D81" i="3"/>
  <c r="D63" i="3"/>
  <c r="D74" i="3"/>
  <c r="D52" i="3"/>
  <c r="D92" i="3"/>
  <c r="D100" i="3"/>
  <c r="D111" i="3"/>
  <c r="D29" i="3"/>
  <c r="D9" i="3"/>
  <c r="D84" i="3"/>
  <c r="D82" i="3"/>
  <c r="D18" i="3"/>
  <c r="D87" i="3"/>
  <c r="D60" i="3"/>
  <c r="D108" i="3"/>
  <c r="D64" i="3"/>
  <c r="D101" i="3"/>
  <c r="D110" i="3"/>
  <c r="D4" i="3"/>
  <c r="D41" i="3"/>
  <c r="D15" i="3"/>
  <c r="D90" i="3"/>
  <c r="D94" i="3"/>
  <c r="D24" i="3"/>
  <c r="D93" i="3"/>
  <c r="D59" i="3"/>
  <c r="D104" i="3"/>
  <c r="D79" i="3"/>
  <c r="D117" i="3"/>
  <c r="D119" i="3"/>
  <c r="D19" i="3"/>
  <c r="D50" i="3"/>
  <c r="D21" i="3"/>
  <c r="D96" i="3"/>
  <c r="D107" i="3"/>
  <c r="D27" i="3"/>
  <c r="D99" i="3"/>
  <c r="D105" i="3"/>
  <c r="D13" i="3"/>
  <c r="D73" i="3"/>
  <c r="D97" i="3"/>
  <c r="D10" i="3"/>
  <c r="D31" i="3"/>
  <c r="D62" i="3"/>
  <c r="D30" i="3"/>
  <c r="D106" i="3"/>
  <c r="D33" i="3"/>
  <c r="D102" i="3"/>
  <c r="D65" i="3"/>
  <c r="D46" i="3"/>
  <c r="G140" i="1"/>
  <c r="I140" i="1" s="1"/>
  <c r="H140" i="1" s="1"/>
  <c r="D113" i="3"/>
  <c r="D16" i="3"/>
  <c r="D14" i="3"/>
  <c r="D43" i="3"/>
  <c r="D36" i="3"/>
  <c r="D112" i="3"/>
  <c r="D11" i="3"/>
  <c r="D39" i="3"/>
  <c r="D44" i="3"/>
  <c r="D88" i="3"/>
  <c r="D83" i="3"/>
  <c r="G95" i="1"/>
  <c r="I95" i="1" s="1"/>
  <c r="H95" i="1" s="1"/>
  <c r="D5" i="3"/>
  <c r="D25" i="3"/>
  <c r="D26" i="3"/>
  <c r="D55" i="3"/>
  <c r="D80" i="3"/>
  <c r="D42" i="3"/>
  <c r="D118" i="3"/>
  <c r="D23" i="3"/>
  <c r="D45" i="3"/>
  <c r="D115" i="3"/>
  <c r="D61" i="3"/>
  <c r="D56" i="3"/>
  <c r="G160" i="1"/>
  <c r="D17" i="3"/>
  <c r="D37" i="3"/>
  <c r="D38" i="3"/>
  <c r="D67" i="3"/>
  <c r="D89" i="3"/>
  <c r="D7" i="3"/>
  <c r="D35" i="3"/>
  <c r="D51" i="3"/>
  <c r="G15" i="1"/>
  <c r="B118" i="5"/>
  <c r="B12" i="5"/>
  <c r="B65" i="5"/>
  <c r="B96" i="5"/>
  <c r="B62" i="5"/>
  <c r="B105" i="5"/>
  <c r="D90" i="1"/>
  <c r="B110" i="5"/>
  <c r="B106" i="5"/>
  <c r="B22" i="5"/>
  <c r="B84" i="5"/>
  <c r="D99" i="2"/>
  <c r="B120" i="3"/>
  <c r="I120" i="3"/>
  <c r="H120" i="3"/>
  <c r="D120" i="3"/>
  <c r="B93" i="5"/>
  <c r="B44" i="5"/>
  <c r="B109" i="5"/>
  <c r="B7" i="5"/>
  <c r="B9" i="5"/>
  <c r="B67" i="5"/>
  <c r="B10" i="5"/>
  <c r="B48" i="5"/>
  <c r="D42" i="2"/>
  <c r="B8" i="5"/>
  <c r="B101" i="5"/>
  <c r="B49" i="5"/>
  <c r="D157" i="3"/>
  <c r="D154" i="3"/>
  <c r="D151" i="3"/>
  <c r="D148" i="3"/>
  <c r="D145" i="3"/>
  <c r="D142" i="3"/>
  <c r="D139" i="3"/>
  <c r="D136" i="3"/>
  <c r="D133" i="3"/>
  <c r="D130" i="3"/>
  <c r="D127" i="3"/>
  <c r="D124" i="3"/>
  <c r="D121" i="3"/>
  <c r="D158" i="3"/>
  <c r="D155" i="3"/>
  <c r="D152" i="3"/>
  <c r="D149" i="3"/>
  <c r="D146" i="3"/>
  <c r="D143" i="3"/>
  <c r="D140" i="3"/>
  <c r="D137" i="3"/>
  <c r="D134" i="3"/>
  <c r="D131" i="3"/>
  <c r="D128" i="3"/>
  <c r="D125" i="3"/>
  <c r="D122" i="3"/>
  <c r="D156" i="3"/>
  <c r="D153" i="3"/>
  <c r="D150" i="3"/>
  <c r="D147" i="3"/>
  <c r="D144" i="3"/>
  <c r="D141" i="3"/>
  <c r="D138" i="3"/>
  <c r="D135" i="3"/>
  <c r="D132" i="3"/>
  <c r="D129" i="3"/>
  <c r="D126" i="3"/>
  <c r="D123" i="3"/>
  <c r="B80" i="5"/>
  <c r="B114" i="5"/>
  <c r="A87" i="23"/>
  <c r="B87" i="23" s="1"/>
  <c r="B58" i="1"/>
  <c r="B101" i="1"/>
  <c r="A14" i="23"/>
  <c r="B14" i="23" s="1"/>
  <c r="B94" i="1"/>
  <c r="B112" i="1"/>
  <c r="B20" i="1"/>
  <c r="A106" i="23"/>
  <c r="B106" i="23" s="1"/>
  <c r="B104" i="1"/>
  <c r="A45" i="23"/>
  <c r="B45" i="23" s="1"/>
  <c r="B44" i="1"/>
  <c r="A95" i="23"/>
  <c r="B95" i="23" s="1"/>
  <c r="G60" i="1"/>
  <c r="G89" i="1"/>
  <c r="G39" i="1"/>
  <c r="G51" i="1"/>
  <c r="B60" i="5"/>
  <c r="G49" i="1"/>
  <c r="G117" i="1"/>
  <c r="G78" i="1"/>
  <c r="G73" i="1"/>
  <c r="A86" i="23"/>
  <c r="B86" i="23" s="1"/>
  <c r="A131" i="23"/>
  <c r="B131" i="23" s="1"/>
  <c r="G18" i="1"/>
  <c r="I18" i="1" s="1"/>
  <c r="H18" i="1" s="1"/>
  <c r="B63" i="1"/>
  <c r="B73" i="1"/>
  <c r="G90" i="1"/>
  <c r="I90" i="1" s="1"/>
  <c r="H90" i="1" s="1"/>
  <c r="G161" i="1"/>
  <c r="I161" i="1" s="1"/>
  <c r="H161" i="1" s="1"/>
  <c r="B161" i="1"/>
  <c r="G164" i="1"/>
  <c r="I164" i="1" s="1"/>
  <c r="H164" i="1" s="1"/>
  <c r="B164" i="1"/>
  <c r="D61" i="2"/>
  <c r="G66" i="1"/>
  <c r="I66" i="1" s="1"/>
  <c r="H66" i="1" s="1"/>
  <c r="G46" i="1"/>
  <c r="G30" i="1"/>
  <c r="B92" i="1"/>
  <c r="B31" i="5"/>
  <c r="G85" i="1"/>
  <c r="G8" i="1"/>
  <c r="G84" i="1"/>
  <c r="G94" i="1"/>
  <c r="I94" i="1" s="1"/>
  <c r="H94" i="1" s="1"/>
  <c r="G81" i="1"/>
  <c r="I81" i="1" s="1"/>
  <c r="H81" i="1" s="1"/>
  <c r="G29" i="1"/>
  <c r="I29" i="1" s="1"/>
  <c r="H29" i="1" s="1"/>
  <c r="G93" i="1"/>
  <c r="I93" i="1" s="1"/>
  <c r="H93" i="1" s="1"/>
  <c r="G67" i="1"/>
  <c r="I67" i="1" s="1"/>
  <c r="H67" i="1" s="1"/>
  <c r="G37" i="1"/>
  <c r="I37" i="1" s="1"/>
  <c r="H37" i="1" s="1"/>
  <c r="G87" i="1"/>
  <c r="I87" i="1" s="1"/>
  <c r="H87" i="1" s="1"/>
  <c r="G82" i="1"/>
  <c r="I82" i="1" s="1"/>
  <c r="H82" i="1" s="1"/>
  <c r="D85" i="2"/>
  <c r="B74" i="5"/>
  <c r="D37" i="2"/>
  <c r="G13" i="1"/>
  <c r="I13" i="1" s="1"/>
  <c r="H13" i="1" s="1"/>
  <c r="G63" i="1"/>
  <c r="G56" i="1"/>
  <c r="G139" i="1"/>
  <c r="G20" i="1"/>
  <c r="I20" i="1" s="1"/>
  <c r="H20" i="1" s="1"/>
  <c r="B140" i="1"/>
  <c r="B15" i="1"/>
  <c r="B145" i="1"/>
  <c r="B162" i="1"/>
  <c r="G120" i="1"/>
  <c r="I120" i="1" s="1"/>
  <c r="H120" i="1" s="1"/>
  <c r="A76" i="23"/>
  <c r="B76" i="23" s="1"/>
  <c r="G124" i="1"/>
  <c r="G57" i="1"/>
  <c r="G44" i="1"/>
  <c r="B55" i="1"/>
  <c r="G104" i="1"/>
  <c r="I104" i="1" s="1"/>
  <c r="H104" i="1" s="1"/>
  <c r="G55" i="1"/>
  <c r="B86" i="5"/>
  <c r="G70" i="1"/>
  <c r="G9" i="1"/>
  <c r="I9" i="1" s="1"/>
  <c r="H9" i="1" s="1"/>
  <c r="G58" i="1"/>
  <c r="I58" i="1" s="1"/>
  <c r="H58" i="1" s="1"/>
  <c r="G126" i="1"/>
  <c r="I126" i="1" s="1"/>
  <c r="H126" i="1" s="1"/>
  <c r="G47" i="1"/>
  <c r="I47" i="1" s="1"/>
  <c r="H47" i="1" s="1"/>
  <c r="G76" i="1"/>
  <c r="I76" i="1" s="1"/>
  <c r="H76" i="1" s="1"/>
  <c r="G68" i="1"/>
  <c r="I68" i="1" s="1"/>
  <c r="H68" i="1" s="1"/>
  <c r="G123" i="1"/>
  <c r="G136" i="1"/>
  <c r="G28" i="1"/>
  <c r="I28" i="1" s="1"/>
  <c r="H28" i="1" s="1"/>
  <c r="B124" i="1"/>
  <c r="G141" i="1"/>
  <c r="I141" i="1" s="1"/>
  <c r="H141" i="1" s="1"/>
  <c r="B160" i="1"/>
  <c r="G151" i="1"/>
  <c r="I151" i="1" s="1"/>
  <c r="H151" i="1" s="1"/>
  <c r="G157" i="1"/>
  <c r="I157" i="1" s="1"/>
  <c r="H157" i="1" s="1"/>
  <c r="B163" i="1"/>
  <c r="G110" i="1"/>
  <c r="B63" i="5"/>
  <c r="G96" i="1"/>
  <c r="G35" i="1"/>
  <c r="G113" i="1"/>
  <c r="I113" i="1" s="1"/>
  <c r="H113" i="1" s="1"/>
  <c r="G17" i="1"/>
  <c r="I17" i="1" s="1"/>
  <c r="H17" i="1" s="1"/>
  <c r="G53" i="1"/>
  <c r="A22" i="23"/>
  <c r="B22" i="23" s="1"/>
  <c r="G154" i="1"/>
  <c r="D75" i="2"/>
  <c r="B75" i="5" s="1"/>
  <c r="B32" i="1"/>
  <c r="G32" i="1"/>
  <c r="I32" i="1" s="1"/>
  <c r="H32" i="1" s="1"/>
  <c r="G143" i="1"/>
  <c r="I143" i="1" s="1"/>
  <c r="H143" i="1" s="1"/>
  <c r="B143" i="1"/>
  <c r="G48" i="1"/>
  <c r="I48" i="1" s="1"/>
  <c r="H48" i="1" s="1"/>
  <c r="B48" i="1"/>
  <c r="G50" i="1"/>
  <c r="B50" i="1"/>
  <c r="B89" i="1"/>
  <c r="G62" i="1"/>
  <c r="I62" i="1" s="1"/>
  <c r="H62" i="1" s="1"/>
  <c r="B62" i="1"/>
  <c r="B54" i="1"/>
  <c r="B130" i="1"/>
  <c r="G43" i="1"/>
  <c r="I43" i="1" s="1"/>
  <c r="H43" i="1" s="1"/>
  <c r="B43" i="1"/>
  <c r="B57" i="1"/>
  <c r="B117" i="1"/>
  <c r="B80" i="1"/>
  <c r="B111" i="1"/>
  <c r="B49" i="1"/>
  <c r="B129" i="1"/>
  <c r="G79" i="1"/>
  <c r="I79" i="1" s="1"/>
  <c r="H79" i="1" s="1"/>
  <c r="B79" i="1"/>
  <c r="G12" i="1"/>
  <c r="I12" i="1" s="1"/>
  <c r="H12" i="1" s="1"/>
  <c r="B12" i="1"/>
  <c r="B149" i="1"/>
  <c r="G146" i="1"/>
  <c r="B146" i="1"/>
  <c r="G153" i="1"/>
  <c r="B153" i="1"/>
  <c r="B85" i="1"/>
  <c r="G103" i="1"/>
  <c r="I103" i="1" s="1"/>
  <c r="H103" i="1" s="1"/>
  <c r="B103" i="1"/>
  <c r="G108" i="1"/>
  <c r="I108" i="1" s="1"/>
  <c r="H108" i="1" s="1"/>
  <c r="B108" i="1"/>
  <c r="G142" i="1"/>
  <c r="I142" i="1" s="1"/>
  <c r="H142" i="1" s="1"/>
  <c r="B142" i="1"/>
  <c r="B158" i="1"/>
  <c r="B100" i="1"/>
  <c r="G100" i="1"/>
  <c r="I100" i="1" s="1"/>
  <c r="H100" i="1" s="1"/>
  <c r="G10" i="1"/>
  <c r="I10" i="1" s="1"/>
  <c r="H10" i="1" s="1"/>
  <c r="B10" i="1"/>
  <c r="B69" i="1"/>
  <c r="B96" i="1"/>
  <c r="G91" i="1"/>
  <c r="I91" i="1" s="1"/>
  <c r="H91" i="1" s="1"/>
  <c r="B91" i="1"/>
  <c r="G61" i="1"/>
  <c r="I61" i="1" s="1"/>
  <c r="H61" i="1" s="1"/>
  <c r="B61" i="1"/>
  <c r="B116" i="1"/>
  <c r="B88" i="1"/>
  <c r="G88" i="1"/>
  <c r="I88" i="1" s="1"/>
  <c r="H88" i="1" s="1"/>
  <c r="B31" i="1"/>
  <c r="B106" i="1"/>
  <c r="B86" i="1"/>
  <c r="G118" i="1"/>
  <c r="B118" i="1"/>
  <c r="B134" i="1"/>
  <c r="B114" i="1"/>
  <c r="B38" i="1"/>
  <c r="G119" i="1"/>
  <c r="I119" i="1" s="1"/>
  <c r="H119" i="1" s="1"/>
  <c r="B119" i="1"/>
  <c r="B35" i="1"/>
  <c r="G41" i="1"/>
  <c r="I41" i="1" s="1"/>
  <c r="H41" i="1" s="1"/>
  <c r="B41" i="1"/>
  <c r="B77" i="1"/>
  <c r="G148" i="1"/>
  <c r="I148" i="1" s="1"/>
  <c r="H148" i="1" s="1"/>
  <c r="B148" i="1"/>
  <c r="B74" i="1"/>
  <c r="B84" i="1"/>
  <c r="B42" i="1"/>
  <c r="G42" i="1"/>
  <c r="I42" i="1" s="1"/>
  <c r="H42" i="1" s="1"/>
  <c r="G33" i="1"/>
  <c r="I33" i="1" s="1"/>
  <c r="H33" i="1" s="1"/>
  <c r="B33" i="1"/>
  <c r="G26" i="1"/>
  <c r="I26" i="1" s="1"/>
  <c r="H26" i="1" s="1"/>
  <c r="B26" i="1"/>
  <c r="B127" i="1"/>
  <c r="B40" i="1"/>
  <c r="B78" i="1"/>
  <c r="G97" i="1"/>
  <c r="I97" i="1" s="1"/>
  <c r="H97" i="1" s="1"/>
  <c r="B97" i="1"/>
  <c r="G155" i="1"/>
  <c r="I155" i="1" s="1"/>
  <c r="H155" i="1" s="1"/>
  <c r="B155" i="1"/>
  <c r="B52" i="1"/>
  <c r="G52" i="1"/>
  <c r="I52" i="1" s="1"/>
  <c r="H52" i="1" s="1"/>
  <c r="B110" i="1"/>
  <c r="G36" i="1"/>
  <c r="I36" i="1" s="1"/>
  <c r="H36" i="1" s="1"/>
  <c r="B36" i="1"/>
  <c r="G156" i="1"/>
  <c r="I156" i="1" s="1"/>
  <c r="H156" i="1" s="1"/>
  <c r="B156" i="1"/>
  <c r="B30" i="1"/>
  <c r="B159" i="1"/>
  <c r="G21" i="1"/>
  <c r="I21" i="1" s="1"/>
  <c r="H21" i="1" s="1"/>
  <c r="B21" i="1"/>
  <c r="G22" i="1"/>
  <c r="I22" i="1" s="1"/>
  <c r="H22" i="1" s="1"/>
  <c r="D22" i="1"/>
  <c r="B22" i="1"/>
  <c r="G105" i="1"/>
  <c r="I105" i="1" s="1"/>
  <c r="H105" i="1" s="1"/>
  <c r="B105" i="1"/>
  <c r="B135" i="1"/>
  <c r="B131" i="1"/>
  <c r="G132" i="1"/>
  <c r="B132" i="1"/>
  <c r="G24" i="1"/>
  <c r="I24" i="1" s="1"/>
  <c r="H24" i="1" s="1"/>
  <c r="B24" i="1"/>
  <c r="B72" i="1"/>
  <c r="B102" i="1"/>
  <c r="G102" i="1"/>
  <c r="I102" i="1" s="1"/>
  <c r="H102" i="1" s="1"/>
  <c r="G27" i="1"/>
  <c r="I27" i="1" s="1"/>
  <c r="H27" i="1" s="1"/>
  <c r="B27" i="1"/>
  <c r="B64" i="1"/>
  <c r="G64" i="1"/>
  <c r="I64" i="1" s="1"/>
  <c r="H64" i="1" s="1"/>
  <c r="G147" i="1"/>
  <c r="I147" i="1" s="1"/>
  <c r="H147" i="1" s="1"/>
  <c r="B147" i="1"/>
  <c r="G133" i="1"/>
  <c r="I133" i="1" s="1"/>
  <c r="H133" i="1" s="1"/>
  <c r="B133" i="1"/>
  <c r="G107" i="1"/>
  <c r="I107" i="1" s="1"/>
  <c r="H107" i="1" s="1"/>
  <c r="B107" i="1"/>
  <c r="G25" i="1"/>
  <c r="I25" i="1" s="1"/>
  <c r="H25" i="1" s="1"/>
  <c r="B25" i="1"/>
  <c r="B34" i="1"/>
  <c r="G14" i="1"/>
  <c r="I14" i="1" s="1"/>
  <c r="H14" i="1" s="1"/>
  <c r="B14" i="1"/>
  <c r="G99" i="1"/>
  <c r="I99" i="1" s="1"/>
  <c r="H99" i="1" s="1"/>
  <c r="B99" i="1"/>
  <c r="G45" i="1"/>
  <c r="I45" i="1" s="1"/>
  <c r="H45" i="1" s="1"/>
  <c r="B45" i="1"/>
  <c r="A50" i="23"/>
  <c r="B50" i="23" s="1"/>
  <c r="B56" i="1"/>
  <c r="B11" i="1"/>
  <c r="B138" i="1"/>
  <c r="G98" i="1"/>
  <c r="I98" i="1" s="1"/>
  <c r="H98" i="1" s="1"/>
  <c r="B98" i="1"/>
  <c r="B157" i="23"/>
  <c r="A72" i="23"/>
  <c r="B72" i="23" s="1"/>
  <c r="A80" i="23"/>
  <c r="B80" i="23" s="1"/>
  <c r="A92" i="23"/>
  <c r="B92" i="23" s="1"/>
  <c r="A6" i="23"/>
  <c r="B6" i="23" s="1"/>
  <c r="A93" i="23"/>
  <c r="B93" i="23" s="1"/>
  <c r="A111" i="23"/>
  <c r="B111" i="23" s="1"/>
  <c r="A46" i="23"/>
  <c r="B46" i="23" s="1"/>
  <c r="B158" i="23"/>
  <c r="A29" i="23"/>
  <c r="B29" i="23" s="1"/>
  <c r="A55" i="23"/>
  <c r="B55" i="23" s="1"/>
  <c r="A152" i="23"/>
  <c r="B152" i="23" s="1"/>
  <c r="A136" i="23"/>
  <c r="B136" i="23" s="1"/>
  <c r="A150" i="23"/>
  <c r="B150" i="23" s="1"/>
  <c r="A73" i="23"/>
  <c r="B73" i="23" s="1"/>
  <c r="A5" i="23"/>
  <c r="B5" i="23" s="1"/>
  <c r="A128" i="23"/>
  <c r="B128" i="23" s="1"/>
  <c r="A15" i="23"/>
  <c r="B15" i="23" s="1"/>
  <c r="A4" i="23"/>
  <c r="B4" i="23" s="1"/>
  <c r="A25" i="23"/>
  <c r="B25" i="23" s="1"/>
  <c r="A68" i="23"/>
  <c r="B68" i="23" s="1"/>
  <c r="A71" i="23"/>
  <c r="B71" i="23" s="1"/>
  <c r="L145" i="10"/>
  <c r="M155" i="10"/>
  <c r="L155" i="10"/>
  <c r="M145" i="10"/>
  <c r="K147" i="10"/>
  <c r="K165" i="10"/>
  <c r="J147" i="10"/>
  <c r="L146" i="10"/>
  <c r="J146" i="10"/>
  <c r="M161" i="10"/>
  <c r="J161" i="10"/>
  <c r="J79" i="10"/>
  <c r="K79" i="10"/>
  <c r="L79" i="10"/>
  <c r="L87" i="10"/>
  <c r="L75" i="10"/>
  <c r="K75" i="10"/>
  <c r="L60" i="10"/>
  <c r="F61" i="10" s="1"/>
  <c r="C173" i="10" s="1"/>
  <c r="I61" i="10"/>
  <c r="J60" i="10"/>
  <c r="D61" i="10" s="1"/>
  <c r="D173" i="10" s="1"/>
  <c r="C185" i="10" s="1"/>
  <c r="J51" i="10"/>
  <c r="J52" i="10"/>
  <c r="M39" i="10"/>
  <c r="L51" i="10"/>
  <c r="M52" i="10"/>
  <c r="K41" i="10"/>
  <c r="M51" i="10"/>
  <c r="M38" i="10"/>
  <c r="G86" i="1"/>
  <c r="G65" i="1"/>
  <c r="G116" i="1"/>
  <c r="A30" i="23"/>
  <c r="B30" i="23" s="1"/>
  <c r="A102" i="23"/>
  <c r="B102" i="23" s="1"/>
  <c r="G101" i="1"/>
  <c r="A43" i="23"/>
  <c r="B43" i="23" s="1"/>
  <c r="G69" i="1"/>
  <c r="A132" i="23"/>
  <c r="B132" i="23" s="1"/>
  <c r="A123" i="23"/>
  <c r="B123" i="23" s="1"/>
  <c r="A24" i="23"/>
  <c r="B24" i="23" s="1"/>
  <c r="A112" i="23"/>
  <c r="B112" i="23" s="1"/>
  <c r="A78" i="23"/>
  <c r="B78" i="23" s="1"/>
  <c r="A39" i="23"/>
  <c r="B39" i="23" s="1"/>
  <c r="A82" i="23"/>
  <c r="B82" i="23" s="1"/>
  <c r="A32" i="23"/>
  <c r="B32" i="23" s="1"/>
  <c r="A44" i="23"/>
  <c r="B44" i="23" s="1"/>
  <c r="A85" i="23"/>
  <c r="B85" i="23" s="1"/>
  <c r="B41" i="5"/>
  <c r="A153" i="23"/>
  <c r="B153" i="23" s="1"/>
  <c r="A113" i="23"/>
  <c r="B113" i="23" s="1"/>
  <c r="A108" i="23"/>
  <c r="B108" i="23" s="1"/>
  <c r="A104" i="23"/>
  <c r="B104" i="23" s="1"/>
  <c r="M158" i="10"/>
  <c r="L158" i="10"/>
  <c r="J158" i="10"/>
  <c r="K158" i="10"/>
  <c r="J152" i="10"/>
  <c r="K152" i="10"/>
  <c r="M152" i="10"/>
  <c r="L152" i="10"/>
  <c r="M162" i="10"/>
  <c r="L162" i="10"/>
  <c r="M156" i="10"/>
  <c r="L156" i="10"/>
  <c r="K156" i="10"/>
  <c r="M150" i="10"/>
  <c r="L150" i="10"/>
  <c r="J150" i="10"/>
  <c r="K150" i="10"/>
  <c r="J125" i="10"/>
  <c r="L125" i="10"/>
  <c r="K125" i="10"/>
  <c r="M127" i="10"/>
  <c r="K107" i="10"/>
  <c r="J64" i="10"/>
  <c r="K66" i="10"/>
  <c r="L55" i="10"/>
  <c r="K36" i="10"/>
  <c r="L38" i="10"/>
  <c r="K38" i="10"/>
  <c r="L36" i="10"/>
  <c r="M55" i="10"/>
  <c r="J53" i="10"/>
  <c r="M48" i="10"/>
  <c r="L48" i="10"/>
  <c r="K48" i="10"/>
  <c r="J48" i="10"/>
  <c r="J49" i="10"/>
  <c r="M49" i="10"/>
  <c r="L49" i="10"/>
  <c r="K49" i="10"/>
  <c r="K37" i="10"/>
  <c r="L37" i="10"/>
  <c r="M46" i="10"/>
  <c r="L46" i="10"/>
  <c r="J47" i="10"/>
  <c r="L50" i="10"/>
  <c r="J50" i="10"/>
  <c r="J35" i="10"/>
  <c r="L35" i="10"/>
  <c r="M35" i="10"/>
  <c r="L53" i="10"/>
  <c r="M47" i="10"/>
  <c r="J40" i="10"/>
  <c r="K40" i="10"/>
  <c r="L40" i="10"/>
  <c r="M40" i="10"/>
  <c r="K50" i="10"/>
  <c r="J46" i="10"/>
  <c r="J44" i="10"/>
  <c r="L44" i="10"/>
  <c r="M44" i="10"/>
  <c r="K44" i="10"/>
  <c r="K47" i="10"/>
  <c r="L54" i="10"/>
  <c r="K54" i="10"/>
  <c r="J54" i="10"/>
  <c r="A27" i="23"/>
  <c r="B27" i="23" s="1"/>
  <c r="A149" i="23"/>
  <c r="B149" i="23" s="1"/>
  <c r="B6" i="17"/>
  <c r="A20" i="23"/>
  <c r="B20" i="23" s="1"/>
  <c r="A83" i="23"/>
  <c r="B83" i="23" s="1"/>
  <c r="A90" i="23"/>
  <c r="B90" i="23" s="1"/>
  <c r="G40" i="1"/>
  <c r="A66" i="23"/>
  <c r="B66" i="23" s="1"/>
  <c r="A79" i="23"/>
  <c r="B79" i="23" s="1"/>
  <c r="A37" i="23"/>
  <c r="B37" i="23" s="1"/>
  <c r="A34" i="23"/>
  <c r="B34" i="23" s="1"/>
  <c r="A28" i="23"/>
  <c r="B28" i="23" s="1"/>
  <c r="G16" i="1"/>
  <c r="A105" i="23"/>
  <c r="B105" i="23" s="1"/>
  <c r="A97" i="23"/>
  <c r="B97" i="23" s="1"/>
  <c r="A147" i="23"/>
  <c r="B147" i="23" s="1"/>
  <c r="A8" i="23"/>
  <c r="B8" i="23" s="1"/>
  <c r="A18" i="23"/>
  <c r="B18" i="23" s="1"/>
  <c r="A124" i="23"/>
  <c r="B124" i="23" s="1"/>
  <c r="A74" i="23"/>
  <c r="B74" i="23" s="1"/>
  <c r="G112" i="1"/>
  <c r="G34" i="1"/>
  <c r="A94" i="23"/>
  <c r="B94" i="23" s="1"/>
  <c r="A96" i="23"/>
  <c r="B96" i="23" s="1"/>
  <c r="A91" i="23"/>
  <c r="B91" i="23" s="1"/>
  <c r="A35" i="23"/>
  <c r="B35" i="23" s="1"/>
  <c r="B7" i="26"/>
  <c r="M114" i="10"/>
  <c r="M116" i="10"/>
  <c r="J116" i="10"/>
  <c r="K116" i="10"/>
  <c r="L116" i="10"/>
  <c r="K102" i="10"/>
  <c r="J102" i="10"/>
  <c r="M102" i="10"/>
  <c r="L102" i="10"/>
  <c r="K69" i="10"/>
  <c r="L69" i="10"/>
  <c r="M69" i="10"/>
  <c r="J69" i="10"/>
  <c r="J105" i="10"/>
  <c r="K105" i="10"/>
  <c r="M105" i="10"/>
  <c r="L105" i="10"/>
  <c r="L110" i="10"/>
  <c r="J110" i="10"/>
  <c r="M110" i="10"/>
  <c r="K68" i="10"/>
  <c r="M68" i="10"/>
  <c r="L68" i="10"/>
  <c r="J68" i="10"/>
  <c r="L128" i="10"/>
  <c r="J128" i="10"/>
  <c r="L136" i="10"/>
  <c r="K136" i="10"/>
  <c r="M136" i="10"/>
  <c r="J136" i="10"/>
  <c r="M70" i="10"/>
  <c r="J70" i="10"/>
  <c r="K70" i="10"/>
  <c r="L70" i="10"/>
  <c r="K83" i="10"/>
  <c r="J85" i="10"/>
  <c r="I123" i="10"/>
  <c r="J121" i="10"/>
  <c r="M71" i="10"/>
  <c r="K71" i="10"/>
  <c r="J71" i="10"/>
  <c r="L103" i="10"/>
  <c r="K103" i="10"/>
  <c r="M103" i="10"/>
  <c r="J111" i="10"/>
  <c r="K111" i="10"/>
  <c r="L111" i="10"/>
  <c r="L73" i="10"/>
  <c r="J73" i="10"/>
  <c r="K73" i="10"/>
  <c r="M73" i="10"/>
  <c r="M121" i="10"/>
  <c r="M83" i="10"/>
  <c r="M81" i="10"/>
  <c r="K81" i="10"/>
  <c r="J81" i="10"/>
  <c r="L83" i="10"/>
  <c r="L66" i="10"/>
  <c r="M117" i="10"/>
  <c r="J117" i="10"/>
  <c r="K80" i="10"/>
  <c r="L107" i="10"/>
  <c r="J114" i="10"/>
  <c r="K118" i="10"/>
  <c r="J118" i="10"/>
  <c r="L118" i="10"/>
  <c r="M118" i="10"/>
  <c r="J122" i="10"/>
  <c r="L122" i="10"/>
  <c r="M122" i="10"/>
  <c r="K122" i="10"/>
  <c r="K95" i="10"/>
  <c r="M95" i="10"/>
  <c r="J95" i="10"/>
  <c r="L134" i="10"/>
  <c r="M134" i="10"/>
  <c r="K134" i="10"/>
  <c r="J134" i="10"/>
  <c r="J98" i="10"/>
  <c r="K63" i="10"/>
  <c r="L63" i="10"/>
  <c r="L99" i="10"/>
  <c r="M99" i="10"/>
  <c r="J99" i="10"/>
  <c r="K98" i="10"/>
  <c r="J108" i="10"/>
  <c r="L108" i="10"/>
  <c r="K108" i="10"/>
  <c r="M108" i="10"/>
  <c r="K104" i="10"/>
  <c r="J104" i="10"/>
  <c r="M104" i="10"/>
  <c r="L104" i="10"/>
  <c r="K74" i="10"/>
  <c r="J74" i="10"/>
  <c r="L74" i="10"/>
  <c r="M74" i="10"/>
  <c r="M128" i="10"/>
  <c r="J63" i="10"/>
  <c r="K89" i="10"/>
  <c r="J89" i="10"/>
  <c r="L89" i="10"/>
  <c r="J119" i="10"/>
  <c r="M119" i="10"/>
  <c r="K119" i="10"/>
  <c r="M100" i="10"/>
  <c r="K100" i="10"/>
  <c r="L100" i="10"/>
  <c r="J100" i="10"/>
  <c r="L130" i="10"/>
  <c r="J130" i="10"/>
  <c r="K130" i="10"/>
  <c r="M130" i="10"/>
  <c r="I76" i="10"/>
  <c r="M82" i="10"/>
  <c r="K82" i="10"/>
  <c r="L71" i="10"/>
  <c r="L85" i="10"/>
  <c r="J107" i="10"/>
  <c r="K117" i="10"/>
  <c r="I137" i="10"/>
  <c r="J97" i="10"/>
  <c r="L97" i="10"/>
  <c r="M97" i="10"/>
  <c r="K97" i="10"/>
  <c r="J112" i="10"/>
  <c r="L112" i="10"/>
  <c r="M112" i="10"/>
  <c r="K112" i="10"/>
  <c r="M106" i="10"/>
  <c r="L106" i="10"/>
  <c r="J106" i="10"/>
  <c r="K106" i="10"/>
  <c r="J82" i="10"/>
  <c r="J66" i="10"/>
  <c r="L81" i="10"/>
  <c r="L121" i="10"/>
  <c r="K127" i="10"/>
  <c r="K64" i="10"/>
  <c r="M64" i="10"/>
  <c r="M109" i="10"/>
  <c r="K109" i="10"/>
  <c r="L109" i="10"/>
  <c r="J109" i="10"/>
  <c r="J101" i="10"/>
  <c r="K101" i="10"/>
  <c r="M101" i="10"/>
  <c r="L101" i="10"/>
  <c r="L98" i="10"/>
  <c r="L114" i="10"/>
  <c r="K128" i="10"/>
  <c r="L115" i="10"/>
  <c r="J115" i="10"/>
  <c r="M115" i="10"/>
  <c r="K115" i="10"/>
  <c r="M120" i="10"/>
  <c r="L120" i="10"/>
  <c r="K120" i="10"/>
  <c r="J120" i="10"/>
  <c r="K113" i="10"/>
  <c r="J113" i="10"/>
  <c r="M113" i="10"/>
  <c r="L113" i="10"/>
  <c r="M87" i="10"/>
  <c r="K87" i="10"/>
  <c r="K88" i="10"/>
  <c r="M88" i="10"/>
  <c r="J88" i="10"/>
  <c r="J160" i="10"/>
  <c r="K160" i="10"/>
  <c r="M160" i="10"/>
  <c r="L160" i="10"/>
  <c r="J144" i="10"/>
  <c r="K144" i="10"/>
  <c r="M144" i="10"/>
  <c r="J139" i="10"/>
  <c r="M139" i="10"/>
  <c r="L139" i="10"/>
  <c r="K139" i="10"/>
  <c r="J138" i="10"/>
  <c r="L138" i="10"/>
  <c r="M138" i="10"/>
  <c r="K138" i="10"/>
  <c r="L92" i="10"/>
  <c r="M92" i="10"/>
  <c r="J92" i="10"/>
  <c r="K92" i="10"/>
  <c r="K93" i="10"/>
  <c r="L93" i="10"/>
  <c r="J93" i="10"/>
  <c r="M93" i="10"/>
  <c r="M84" i="10"/>
  <c r="K84" i="10"/>
  <c r="J84" i="10"/>
  <c r="L84" i="10"/>
  <c r="L80" i="10"/>
  <c r="M80" i="10"/>
  <c r="J91" i="10"/>
  <c r="M91" i="10"/>
  <c r="L91" i="10"/>
  <c r="K91" i="10"/>
  <c r="L77" i="10"/>
  <c r="M77" i="10"/>
  <c r="J77" i="10"/>
  <c r="K77" i="10"/>
  <c r="L86" i="10"/>
  <c r="J86" i="10"/>
  <c r="M86" i="10"/>
  <c r="K86" i="10"/>
  <c r="L78" i="10"/>
  <c r="K78" i="10"/>
  <c r="J78" i="10"/>
  <c r="M78" i="10"/>
  <c r="C3" i="25"/>
  <c r="C191" i="1" s="1"/>
  <c r="K10" i="1" s="1"/>
  <c r="C11" i="25"/>
  <c r="C199" i="1" s="1"/>
  <c r="K18" i="1" s="1"/>
  <c r="C6" i="25"/>
  <c r="C194" i="1" s="1"/>
  <c r="K13" i="1" s="1"/>
  <c r="C19" i="25"/>
  <c r="C208" i="1" s="1"/>
  <c r="K27" i="1" s="1"/>
  <c r="C13" i="25"/>
  <c r="C201" i="1" s="1"/>
  <c r="K20" i="1" s="1"/>
  <c r="C10" i="25"/>
  <c r="C4" i="25"/>
  <c r="C20" i="25"/>
  <c r="C18" i="25"/>
  <c r="C9" i="25"/>
  <c r="C15" i="25"/>
  <c r="C12" i="25"/>
  <c r="C17" i="25"/>
  <c r="C21" i="25"/>
  <c r="C7" i="25"/>
  <c r="C5" i="25"/>
  <c r="C2" i="25"/>
  <c r="C16" i="25"/>
  <c r="C14" i="25"/>
  <c r="B155" i="23"/>
  <c r="A141" i="23"/>
  <c r="B141" i="23" s="1"/>
  <c r="A56" i="23"/>
  <c r="B56" i="23" s="1"/>
  <c r="A125" i="23"/>
  <c r="B125" i="23" s="1"/>
  <c r="A142" i="23"/>
  <c r="B142" i="23" s="1"/>
  <c r="A19" i="23"/>
  <c r="B19" i="23" s="1"/>
  <c r="A143" i="23"/>
  <c r="B143" i="23" s="1"/>
  <c r="K157" i="10"/>
  <c r="L157" i="10"/>
  <c r="M157" i="10"/>
  <c r="J157" i="10"/>
  <c r="A100" i="23"/>
  <c r="B100" i="23" s="1"/>
  <c r="C53" i="5"/>
  <c r="D53" i="3" s="1"/>
  <c r="K166" i="10"/>
  <c r="L166" i="10"/>
  <c r="J166" i="10"/>
  <c r="M166" i="10"/>
  <c r="G115" i="1"/>
  <c r="A26" i="23"/>
  <c r="B26" i="23" s="1"/>
  <c r="C116" i="5"/>
  <c r="D116" i="3" s="1"/>
  <c r="A63" i="23"/>
  <c r="B63" i="23" s="1"/>
  <c r="A16" i="23"/>
  <c r="B16" i="23" s="1"/>
  <c r="J159" i="10"/>
  <c r="K159" i="10"/>
  <c r="L159" i="10"/>
  <c r="M159" i="10"/>
  <c r="G19" i="1"/>
  <c r="A121" i="23"/>
  <c r="B121" i="23" s="1"/>
  <c r="A48" i="23"/>
  <c r="B48" i="23" s="1"/>
  <c r="A137" i="23"/>
  <c r="B137" i="23" s="1"/>
  <c r="C48" i="5"/>
  <c r="D48" i="3" s="1"/>
  <c r="A140" i="23"/>
  <c r="B140" i="23" s="1"/>
  <c r="G106" i="1"/>
  <c r="A127" i="23"/>
  <c r="B127" i="23" s="1"/>
  <c r="A101" i="23"/>
  <c r="B101" i="23" s="1"/>
  <c r="G92" i="1"/>
  <c r="J142" i="10"/>
  <c r="L142" i="10"/>
  <c r="M142" i="10"/>
  <c r="K142" i="10"/>
  <c r="I167" i="10"/>
  <c r="G31" i="1"/>
  <c r="C71" i="5"/>
  <c r="D71" i="3" s="1"/>
  <c r="A51" i="23"/>
  <c r="B51" i="23" s="1"/>
  <c r="K163" i="10"/>
  <c r="L163" i="10"/>
  <c r="J163" i="10"/>
  <c r="M163" i="10"/>
  <c r="A42" i="23"/>
  <c r="B42" i="23" s="1"/>
  <c r="M90" i="10"/>
  <c r="I96" i="10"/>
  <c r="J90" i="10"/>
  <c r="K90" i="10"/>
  <c r="L90" i="10"/>
  <c r="G121" i="1"/>
  <c r="A99" i="23"/>
  <c r="B99" i="23" s="1"/>
  <c r="A36" i="23"/>
  <c r="B36" i="23" s="1"/>
  <c r="L143" i="10"/>
  <c r="K143" i="10"/>
  <c r="M143" i="10"/>
  <c r="J143" i="10"/>
  <c r="C196" i="1"/>
  <c r="K15" i="1" s="1"/>
  <c r="J21" i="23"/>
  <c r="L18" i="23" s="1"/>
  <c r="A58" i="23"/>
  <c r="B58" i="23" s="1"/>
  <c r="A21" i="23"/>
  <c r="B21" i="23" s="1"/>
  <c r="A129" i="23"/>
  <c r="B129" i="23" s="1"/>
  <c r="A126" i="23"/>
  <c r="B126" i="23" s="1"/>
  <c r="D7" i="26" l="1"/>
  <c r="E5" i="1" s="1"/>
  <c r="F57" i="10"/>
  <c r="C172" i="10" s="1"/>
  <c r="B22" i="17" s="1"/>
  <c r="D57" i="10"/>
  <c r="D172" i="10" s="1"/>
  <c r="E140" i="10"/>
  <c r="B178" i="10" s="1"/>
  <c r="E57" i="10"/>
  <c r="G137" i="10"/>
  <c r="E177" i="10" s="1"/>
  <c r="G57" i="10"/>
  <c r="F137" i="10"/>
  <c r="C177" i="10" s="1"/>
  <c r="E84" i="3"/>
  <c r="D84" i="23"/>
  <c r="E16" i="3"/>
  <c r="D16" i="23"/>
  <c r="D125" i="1"/>
  <c r="D123" i="1"/>
  <c r="B99" i="5"/>
  <c r="B30" i="5"/>
  <c r="B26" i="5"/>
  <c r="D145" i="1"/>
  <c r="D91" i="1"/>
  <c r="D85" i="23" s="1"/>
  <c r="B85" i="5"/>
  <c r="B42" i="5"/>
  <c r="B61" i="5"/>
  <c r="D163" i="1"/>
  <c r="D157" i="23" s="1"/>
  <c r="B37" i="5"/>
  <c r="D141" i="1"/>
  <c r="D135" i="23" s="1"/>
  <c r="D137" i="1"/>
  <c r="D131" i="23" s="1"/>
  <c r="I136" i="1"/>
  <c r="H136" i="1" s="1"/>
  <c r="I132" i="1"/>
  <c r="H132" i="1" s="1"/>
  <c r="I146" i="1"/>
  <c r="H146" i="1" s="1"/>
  <c r="I154" i="1"/>
  <c r="H154" i="1" s="1"/>
  <c r="D55" i="1"/>
  <c r="D49" i="23" s="1"/>
  <c r="D115" i="1"/>
  <c r="D109" i="23" s="1"/>
  <c r="D62" i="1"/>
  <c r="D56" i="23" s="1"/>
  <c r="D15" i="1"/>
  <c r="D9" i="23" s="1"/>
  <c r="D110" i="1"/>
  <c r="D104" i="23" s="1"/>
  <c r="D51" i="1"/>
  <c r="D45" i="23" s="1"/>
  <c r="D111" i="1"/>
  <c r="D105" i="23" s="1"/>
  <c r="D99" i="1"/>
  <c r="D93" i="23" s="1"/>
  <c r="D87" i="1"/>
  <c r="D81" i="23" s="1"/>
  <c r="D28" i="1"/>
  <c r="D22" i="23" s="1"/>
  <c r="D38" i="1"/>
  <c r="D32" i="23" s="1"/>
  <c r="D34" i="1"/>
  <c r="D28" i="23" s="1"/>
  <c r="D147" i="1"/>
  <c r="D141" i="23" s="1"/>
  <c r="D63" i="1"/>
  <c r="D57" i="23" s="1"/>
  <c r="D144" i="1"/>
  <c r="D138" i="23" s="1"/>
  <c r="D151" i="1"/>
  <c r="D145" i="23" s="1"/>
  <c r="D84" i="1"/>
  <c r="D78" i="23" s="1"/>
  <c r="D85" i="1"/>
  <c r="D79" i="23" s="1"/>
  <c r="D32" i="1"/>
  <c r="D26" i="23" s="1"/>
  <c r="D11" i="1"/>
  <c r="D5" i="23" s="1"/>
  <c r="D45" i="1"/>
  <c r="D39" i="23" s="1"/>
  <c r="D114" i="1"/>
  <c r="D108" i="23" s="1"/>
  <c r="D92" i="1"/>
  <c r="D86" i="23" s="1"/>
  <c r="D21" i="1"/>
  <c r="D15" i="23" s="1"/>
  <c r="D102" i="1"/>
  <c r="D96" i="23" s="1"/>
  <c r="D93" i="1"/>
  <c r="D87" i="23" s="1"/>
  <c r="D54" i="1"/>
  <c r="D48" i="23" s="1"/>
  <c r="D26" i="1"/>
  <c r="D20" i="23" s="1"/>
  <c r="D74" i="1"/>
  <c r="D68" i="23" s="1"/>
  <c r="D41" i="1"/>
  <c r="D35" i="23" s="1"/>
  <c r="D35" i="1"/>
  <c r="D29" i="23" s="1"/>
  <c r="J26" i="23"/>
  <c r="L15" i="23" s="1"/>
  <c r="K15" i="23" s="1"/>
  <c r="J36" i="23"/>
  <c r="L8" i="23" s="1"/>
  <c r="K8" i="23" s="1"/>
  <c r="J23" i="23"/>
  <c r="J37" i="23"/>
  <c r="L7" i="23" s="1"/>
  <c r="K7" i="23" s="1"/>
  <c r="F167" i="10"/>
  <c r="C179" i="10" s="1"/>
  <c r="D137" i="10"/>
  <c r="D177" i="10" s="1"/>
  <c r="E137" i="10"/>
  <c r="B177" i="10" s="1"/>
  <c r="G123" i="10"/>
  <c r="E176" i="10" s="1"/>
  <c r="G76" i="10"/>
  <c r="E174" i="10" s="1"/>
  <c r="E76" i="10"/>
  <c r="B174" i="10" s="1"/>
  <c r="F76" i="10"/>
  <c r="C174" i="10" s="1"/>
  <c r="L76" i="10"/>
  <c r="D76" i="10"/>
  <c r="D174" i="10" s="1"/>
  <c r="B172" i="10"/>
  <c r="I139" i="1"/>
  <c r="H139" i="1" s="1"/>
  <c r="J32" i="23"/>
  <c r="L12" i="23" s="1"/>
  <c r="K12" i="23" s="1"/>
  <c r="F96" i="10"/>
  <c r="C175" i="10" s="1"/>
  <c r="G140" i="10"/>
  <c r="E178" i="10" s="1"/>
  <c r="F140" i="10"/>
  <c r="C178" i="10" s="1"/>
  <c r="E167" i="10"/>
  <c r="B179" i="10" s="1"/>
  <c r="D140" i="10"/>
  <c r="D178" i="10" s="1"/>
  <c r="G167" i="10"/>
  <c r="E179" i="10" s="1"/>
  <c r="D96" i="10"/>
  <c r="D175" i="10" s="1"/>
  <c r="E96" i="10"/>
  <c r="B175" i="10" s="1"/>
  <c r="G96" i="10"/>
  <c r="E175" i="10" s="1"/>
  <c r="K3" i="23"/>
  <c r="E180" i="23" s="1"/>
  <c r="J33" i="23"/>
  <c r="L11" i="23" s="1"/>
  <c r="K11" i="23" s="1"/>
  <c r="C202" i="1"/>
  <c r="K21" i="1" s="1"/>
  <c r="C192" i="1"/>
  <c r="K11" i="1" s="1"/>
  <c r="D89" i="1" s="1"/>
  <c r="D83" i="23" s="1"/>
  <c r="J27" i="23"/>
  <c r="C190" i="1"/>
  <c r="K9" i="1" s="1"/>
  <c r="D56" i="1" s="1"/>
  <c r="D50" i="23" s="1"/>
  <c r="J25" i="23"/>
  <c r="J39" i="23"/>
  <c r="L5" i="23" s="1"/>
  <c r="K5" i="23" s="1"/>
  <c r="C210" i="1"/>
  <c r="K29" i="1" s="1"/>
  <c r="J30" i="23"/>
  <c r="C205" i="1"/>
  <c r="K24" i="1" s="1"/>
  <c r="D48" i="1" s="1"/>
  <c r="D42" i="23" s="1"/>
  <c r="C198" i="1"/>
  <c r="K17" i="1" s="1"/>
  <c r="D119" i="1" s="1"/>
  <c r="D113" i="23" s="1"/>
  <c r="J35" i="23"/>
  <c r="L9" i="23" s="1"/>
  <c r="K9" i="23" s="1"/>
  <c r="C200" i="1"/>
  <c r="K19" i="1" s="1"/>
  <c r="D132" i="1" s="1"/>
  <c r="D126" i="23" s="1"/>
  <c r="J31" i="23"/>
  <c r="C193" i="1"/>
  <c r="K12" i="1" s="1"/>
  <c r="J22" i="23"/>
  <c r="L17" i="23" s="1"/>
  <c r="K17" i="23" s="1"/>
  <c r="J28" i="23"/>
  <c r="L14" i="23" s="1"/>
  <c r="K14" i="23" s="1"/>
  <c r="E167" i="23" s="1"/>
  <c r="C172" i="1" s="1"/>
  <c r="C203" i="1"/>
  <c r="K22" i="1" s="1"/>
  <c r="D10" i="1" s="1"/>
  <c r="D4" i="23" s="1"/>
  <c r="J34" i="23"/>
  <c r="L10" i="23" s="1"/>
  <c r="K10" i="23" s="1"/>
  <c r="C197" i="1"/>
  <c r="K16" i="1" s="1"/>
  <c r="D108" i="1" s="1"/>
  <c r="D102" i="23" s="1"/>
  <c r="J29" i="23"/>
  <c r="L13" i="23" s="1"/>
  <c r="K13" i="23" s="1"/>
  <c r="C204" i="1"/>
  <c r="K23" i="1" s="1"/>
  <c r="D40" i="1" s="1"/>
  <c r="D34" i="23" s="1"/>
  <c r="C207" i="1"/>
  <c r="K26" i="1" s="1"/>
  <c r="D157" i="1" s="1"/>
  <c r="D151" i="23" s="1"/>
  <c r="J40" i="23"/>
  <c r="L4" i="23" s="1"/>
  <c r="K4" i="23" s="1"/>
  <c r="J24" i="23"/>
  <c r="L16" i="23" s="1"/>
  <c r="K16" i="23" s="1"/>
  <c r="E163" i="23" s="1"/>
  <c r="C195" i="1"/>
  <c r="K14" i="1" s="1"/>
  <c r="D50" i="1" s="1"/>
  <c r="D44" i="23" s="1"/>
  <c r="C209" i="1"/>
  <c r="K28" i="1" s="1"/>
  <c r="D61" i="1" s="1"/>
  <c r="D55" i="23" s="1"/>
  <c r="J38" i="23"/>
  <c r="L6" i="23" s="1"/>
  <c r="K6" i="23" s="1"/>
  <c r="E165" i="23" s="1"/>
  <c r="D167" i="10"/>
  <c r="G54" i="1"/>
  <c r="G122" i="1"/>
  <c r="D8" i="1"/>
  <c r="G59" i="1"/>
  <c r="G150" i="1"/>
  <c r="I150" i="1" s="1"/>
  <c r="H150" i="1" s="1"/>
  <c r="G77" i="1"/>
  <c r="I162" i="1" l="1"/>
  <c r="H162" i="1" s="1"/>
  <c r="I128" i="1"/>
  <c r="H128" i="1" s="1"/>
  <c r="I53" i="1"/>
  <c r="H53" i="1" s="1"/>
  <c r="I69" i="1"/>
  <c r="H69" i="1" s="1"/>
  <c r="C191" i="10"/>
  <c r="I96" i="1"/>
  <c r="H96" i="1" s="1"/>
  <c r="I135" i="1"/>
  <c r="H135" i="1" s="1"/>
  <c r="I137" i="1"/>
  <c r="H137" i="1" s="1"/>
  <c r="I40" i="1"/>
  <c r="H40" i="1" s="1"/>
  <c r="I85" i="1"/>
  <c r="H85" i="1" s="1"/>
  <c r="I116" i="1"/>
  <c r="H116" i="1" s="1"/>
  <c r="I60" i="1"/>
  <c r="H60" i="1" s="1"/>
  <c r="I71" i="1"/>
  <c r="H71" i="1" s="1"/>
  <c r="I16" i="1"/>
  <c r="H16" i="1" s="1"/>
  <c r="I112" i="1"/>
  <c r="H112" i="1" s="1"/>
  <c r="I57" i="1"/>
  <c r="H57" i="1" s="1"/>
  <c r="I134" i="1"/>
  <c r="H134" i="1" s="1"/>
  <c r="I34" i="1"/>
  <c r="H34" i="1" s="1"/>
  <c r="I83" i="1"/>
  <c r="H83" i="1" s="1"/>
  <c r="I23" i="1"/>
  <c r="H23" i="1" s="1"/>
  <c r="I70" i="1"/>
  <c r="H70" i="1" s="1"/>
  <c r="I75" i="1"/>
  <c r="H75" i="1" s="1"/>
  <c r="I30" i="1"/>
  <c r="H30" i="1" s="1"/>
  <c r="I163" i="1"/>
  <c r="H163" i="1" s="1"/>
  <c r="I111" i="1"/>
  <c r="H111" i="1" s="1"/>
  <c r="I138" i="1"/>
  <c r="H138" i="1" s="1"/>
  <c r="I80" i="1"/>
  <c r="H80" i="1" s="1"/>
  <c r="I118" i="1"/>
  <c r="H118" i="1" s="1"/>
  <c r="I19" i="1"/>
  <c r="H19" i="1" s="1"/>
  <c r="I114" i="1"/>
  <c r="H114" i="1" s="1"/>
  <c r="I84" i="1"/>
  <c r="H84" i="1" s="1"/>
  <c r="I63" i="1"/>
  <c r="H63" i="1" s="1"/>
  <c r="I153" i="1"/>
  <c r="H153" i="1" s="1"/>
  <c r="I92" i="1"/>
  <c r="H92" i="1" s="1"/>
  <c r="I89" i="1"/>
  <c r="H89" i="1" s="1"/>
  <c r="I158" i="1"/>
  <c r="H158" i="1" s="1"/>
  <c r="I123" i="1"/>
  <c r="H123" i="1" s="1"/>
  <c r="I50" i="1"/>
  <c r="H50" i="1" s="1"/>
  <c r="I115" i="1"/>
  <c r="H115" i="1" s="1"/>
  <c r="I31" i="1"/>
  <c r="H31" i="1" s="1"/>
  <c r="F22" i="1"/>
  <c r="G16" i="23" s="1"/>
  <c r="I152" i="1"/>
  <c r="H152" i="1" s="1"/>
  <c r="I78" i="1"/>
  <c r="H78" i="1" s="1"/>
  <c r="I160" i="1"/>
  <c r="H160" i="1" s="1"/>
  <c r="I35" i="1"/>
  <c r="H35" i="1" s="1"/>
  <c r="F125" i="1"/>
  <c r="G119" i="23" s="1"/>
  <c r="I131" i="1"/>
  <c r="H131" i="1" s="1"/>
  <c r="I15" i="1"/>
  <c r="H15" i="1" s="1"/>
  <c r="I73" i="1"/>
  <c r="H73" i="1" s="1"/>
  <c r="I125" i="1"/>
  <c r="H125" i="1" s="1"/>
  <c r="I8" i="1"/>
  <c r="H8" i="1" s="1"/>
  <c r="I110" i="1"/>
  <c r="H110" i="1" s="1"/>
  <c r="I49" i="1"/>
  <c r="H49" i="1" s="1"/>
  <c r="I145" i="1"/>
  <c r="H145" i="1" s="1"/>
  <c r="I39" i="1"/>
  <c r="H39" i="1" s="1"/>
  <c r="I130" i="1"/>
  <c r="H130" i="1" s="1"/>
  <c r="I129" i="1"/>
  <c r="H129" i="1" s="1"/>
  <c r="I124" i="1"/>
  <c r="H124" i="1" s="1"/>
  <c r="I65" i="1"/>
  <c r="H65" i="1" s="1"/>
  <c r="I74" i="1"/>
  <c r="H74" i="1" s="1"/>
  <c r="I121" i="1"/>
  <c r="H121" i="1" s="1"/>
  <c r="I72" i="1"/>
  <c r="H72" i="1" s="1"/>
  <c r="I44" i="1"/>
  <c r="H44" i="1" s="1"/>
  <c r="I127" i="1"/>
  <c r="H127" i="1" s="1"/>
  <c r="I159" i="1"/>
  <c r="H159" i="1" s="1"/>
  <c r="I38" i="1"/>
  <c r="H38" i="1" s="1"/>
  <c r="I101" i="1"/>
  <c r="H101" i="1" s="1"/>
  <c r="I11" i="1"/>
  <c r="H11" i="1" s="1"/>
  <c r="F90" i="1"/>
  <c r="G84" i="23" s="1"/>
  <c r="I55" i="1"/>
  <c r="H55" i="1" s="1"/>
  <c r="I144" i="1"/>
  <c r="H144" i="1" s="1"/>
  <c r="I51" i="1"/>
  <c r="H51" i="1" s="1"/>
  <c r="I86" i="1"/>
  <c r="H86" i="1" s="1"/>
  <c r="I106" i="1"/>
  <c r="H106" i="1" s="1"/>
  <c r="I56" i="1"/>
  <c r="H56" i="1" s="1"/>
  <c r="I117" i="1"/>
  <c r="H117" i="1" s="1"/>
  <c r="I46" i="1"/>
  <c r="H46" i="1" s="1"/>
  <c r="E172" i="10"/>
  <c r="D189" i="10"/>
  <c r="E117" i="3"/>
  <c r="D117" i="23"/>
  <c r="E119" i="3"/>
  <c r="D119" i="23"/>
  <c r="E2" i="3"/>
  <c r="D2" i="23"/>
  <c r="F145" i="1"/>
  <c r="G139" i="3" s="1"/>
  <c r="D139" i="23"/>
  <c r="E173" i="23"/>
  <c r="G173" i="23" s="1"/>
  <c r="F123" i="1"/>
  <c r="G117" i="23" s="1"/>
  <c r="D131" i="1"/>
  <c r="D125" i="23" s="1"/>
  <c r="D109" i="1"/>
  <c r="D30" i="1"/>
  <c r="D24" i="23" s="1"/>
  <c r="D97" i="1"/>
  <c r="D91" i="23" s="1"/>
  <c r="D103" i="1"/>
  <c r="D97" i="23" s="1"/>
  <c r="D134" i="1"/>
  <c r="D128" i="23" s="1"/>
  <c r="D77" i="1"/>
  <c r="E71" i="3" s="1"/>
  <c r="D60" i="1"/>
  <c r="D36" i="1"/>
  <c r="D143" i="1"/>
  <c r="D71" i="1"/>
  <c r="E139" i="3"/>
  <c r="D156" i="1"/>
  <c r="F108" i="1"/>
  <c r="E102" i="3"/>
  <c r="F99" i="1"/>
  <c r="G93" i="23" s="1"/>
  <c r="E93" i="3"/>
  <c r="F28" i="1"/>
  <c r="G22" i="23" s="1"/>
  <c r="E22" i="3"/>
  <c r="F93" i="1"/>
  <c r="G87" i="23" s="1"/>
  <c r="E87" i="3"/>
  <c r="F102" i="1"/>
  <c r="G96" i="23" s="1"/>
  <c r="E96" i="3"/>
  <c r="F61" i="1"/>
  <c r="E55" i="3"/>
  <c r="F89" i="1"/>
  <c r="G83" i="23" s="1"/>
  <c r="E83" i="3"/>
  <c r="F134" i="1"/>
  <c r="G128" i="23" s="1"/>
  <c r="E128" i="3"/>
  <c r="F92" i="1"/>
  <c r="G86" i="23" s="1"/>
  <c r="E86" i="3"/>
  <c r="F30" i="1"/>
  <c r="G24" i="23" s="1"/>
  <c r="E24" i="3"/>
  <c r="F111" i="1"/>
  <c r="G105" i="23" s="1"/>
  <c r="E105" i="3"/>
  <c r="F85" i="1"/>
  <c r="G79" i="23" s="1"/>
  <c r="E79" i="3"/>
  <c r="F151" i="1"/>
  <c r="G145" i="23" s="1"/>
  <c r="E145" i="3"/>
  <c r="F56" i="1"/>
  <c r="G50" i="23" s="1"/>
  <c r="E50" i="3"/>
  <c r="F21" i="1"/>
  <c r="G15" i="23" s="1"/>
  <c r="E15" i="3"/>
  <c r="F50" i="1"/>
  <c r="G44" i="23" s="1"/>
  <c r="E44" i="3"/>
  <c r="F131" i="1"/>
  <c r="G125" i="23" s="1"/>
  <c r="E125" i="3"/>
  <c r="E91" i="3"/>
  <c r="F114" i="1"/>
  <c r="E108" i="3"/>
  <c r="F63" i="1"/>
  <c r="G57" i="23" s="1"/>
  <c r="E57" i="3"/>
  <c r="F51" i="1"/>
  <c r="G45" i="23" s="1"/>
  <c r="E45" i="3"/>
  <c r="F141" i="1"/>
  <c r="G135" i="23" s="1"/>
  <c r="E135" i="3"/>
  <c r="F55" i="1"/>
  <c r="G49" i="23" s="1"/>
  <c r="E49" i="3"/>
  <c r="F87" i="1"/>
  <c r="G81" i="23" s="1"/>
  <c r="E81" i="3"/>
  <c r="F91" i="1"/>
  <c r="G85" i="23" s="1"/>
  <c r="E85" i="3"/>
  <c r="F10" i="1"/>
  <c r="G4" i="23" s="1"/>
  <c r="E4" i="3"/>
  <c r="F132" i="1"/>
  <c r="G126" i="23" s="1"/>
  <c r="E126" i="3"/>
  <c r="F147" i="1"/>
  <c r="G141" i="23" s="1"/>
  <c r="E141" i="3"/>
  <c r="F110" i="1"/>
  <c r="G104" i="23" s="1"/>
  <c r="E104" i="3"/>
  <c r="F84" i="1"/>
  <c r="E78" i="3"/>
  <c r="F137" i="1"/>
  <c r="E131" i="3"/>
  <c r="F35" i="1"/>
  <c r="G29" i="23" s="1"/>
  <c r="E29" i="3"/>
  <c r="F45" i="1"/>
  <c r="E39" i="3"/>
  <c r="F34" i="1"/>
  <c r="E28" i="3"/>
  <c r="F15" i="1"/>
  <c r="G9" i="23" s="1"/>
  <c r="E9" i="3"/>
  <c r="F26" i="1"/>
  <c r="G20" i="23" s="1"/>
  <c r="E20" i="3"/>
  <c r="F54" i="1"/>
  <c r="E48" i="3"/>
  <c r="F144" i="1"/>
  <c r="G138" i="23" s="1"/>
  <c r="E138" i="3"/>
  <c r="F157" i="1"/>
  <c r="G151" i="23" s="1"/>
  <c r="E151" i="3"/>
  <c r="F119" i="1"/>
  <c r="G113" i="23" s="1"/>
  <c r="E113" i="3"/>
  <c r="F41" i="1"/>
  <c r="E35" i="3"/>
  <c r="F11" i="1"/>
  <c r="E5" i="3"/>
  <c r="F103" i="1"/>
  <c r="G97" i="23" s="1"/>
  <c r="E97" i="3"/>
  <c r="F62" i="1"/>
  <c r="G56" i="23" s="1"/>
  <c r="E56" i="3"/>
  <c r="F40" i="1"/>
  <c r="G34" i="23" s="1"/>
  <c r="E34" i="3"/>
  <c r="F48" i="1"/>
  <c r="G42" i="23" s="1"/>
  <c r="E42" i="3"/>
  <c r="F74" i="1"/>
  <c r="G68" i="23" s="1"/>
  <c r="E68" i="3"/>
  <c r="F32" i="1"/>
  <c r="E26" i="3"/>
  <c r="F38" i="1"/>
  <c r="G32" i="23" s="1"/>
  <c r="E32" i="3"/>
  <c r="F115" i="1"/>
  <c r="G109" i="23" s="1"/>
  <c r="E109" i="3"/>
  <c r="F163" i="1"/>
  <c r="G157" i="23" s="1"/>
  <c r="E157" i="3"/>
  <c r="D164" i="1"/>
  <c r="D158" i="23" s="1"/>
  <c r="D162" i="1"/>
  <c r="D150" i="1"/>
  <c r="D144" i="23" s="1"/>
  <c r="D161" i="1"/>
  <c r="D155" i="23" s="1"/>
  <c r="D153" i="1"/>
  <c r="D147" i="23" s="1"/>
  <c r="D155" i="1"/>
  <c r="D149" i="23" s="1"/>
  <c r="D140" i="1"/>
  <c r="D133" i="1"/>
  <c r="D159" i="1"/>
  <c r="D153" i="23" s="1"/>
  <c r="D136" i="1"/>
  <c r="D130" i="23" s="1"/>
  <c r="D130" i="1"/>
  <c r="D124" i="23" s="1"/>
  <c r="D25" i="1"/>
  <c r="D19" i="23" s="1"/>
  <c r="D138" i="1"/>
  <c r="D43" i="1"/>
  <c r="D37" i="23" s="1"/>
  <c r="D100" i="1"/>
  <c r="D94" i="23" s="1"/>
  <c r="D98" i="1"/>
  <c r="D92" i="23" s="1"/>
  <c r="D14" i="1"/>
  <c r="D8" i="23" s="1"/>
  <c r="D72" i="1"/>
  <c r="D66" i="23" s="1"/>
  <c r="D78" i="1"/>
  <c r="D72" i="23" s="1"/>
  <c r="D49" i="1"/>
  <c r="D43" i="23" s="1"/>
  <c r="D105" i="1"/>
  <c r="D99" i="23" s="1"/>
  <c r="D148" i="1"/>
  <c r="D79" i="1"/>
  <c r="D73" i="23" s="1"/>
  <c r="D113" i="1"/>
  <c r="D107" i="23" s="1"/>
  <c r="D53" i="1"/>
  <c r="D47" i="23" s="1"/>
  <c r="D160" i="1"/>
  <c r="D154" i="23" s="1"/>
  <c r="D154" i="1"/>
  <c r="D121" i="1"/>
  <c r="D115" i="23" s="1"/>
  <c r="D117" i="1"/>
  <c r="D111" i="23" s="1"/>
  <c r="D80" i="1"/>
  <c r="D74" i="23" s="1"/>
  <c r="D64" i="1"/>
  <c r="D58" i="23" s="1"/>
  <c r="D124" i="1"/>
  <c r="D118" i="23" s="1"/>
  <c r="D29" i="1"/>
  <c r="D23" i="23" s="1"/>
  <c r="D126" i="1"/>
  <c r="D120" i="23" s="1"/>
  <c r="D65" i="1"/>
  <c r="D59" i="23" s="1"/>
  <c r="D17" i="1"/>
  <c r="D11" i="23" s="1"/>
  <c r="D66" i="1"/>
  <c r="D60" i="23" s="1"/>
  <c r="D120" i="1"/>
  <c r="D114" i="23" s="1"/>
  <c r="D13" i="1"/>
  <c r="D7" i="23" s="1"/>
  <c r="D95" i="1"/>
  <c r="D89" i="23" s="1"/>
  <c r="D82" i="1"/>
  <c r="D76" i="23" s="1"/>
  <c r="D31" i="1"/>
  <c r="D25" i="23" s="1"/>
  <c r="D158" i="1"/>
  <c r="D152" i="23" s="1"/>
  <c r="D86" i="1"/>
  <c r="D80" i="23" s="1"/>
  <c r="D142" i="1"/>
  <c r="D152" i="1"/>
  <c r="D146" i="23" s="1"/>
  <c r="D27" i="1"/>
  <c r="D21" i="23" s="1"/>
  <c r="D57" i="1"/>
  <c r="D51" i="23" s="1"/>
  <c r="D69" i="1"/>
  <c r="D63" i="23" s="1"/>
  <c r="D118" i="1"/>
  <c r="D112" i="23" s="1"/>
  <c r="D42" i="1"/>
  <c r="D36" i="23" s="1"/>
  <c r="D88" i="1"/>
  <c r="D82" i="23" s="1"/>
  <c r="D139" i="1"/>
  <c r="D133" i="23" s="1"/>
  <c r="D47" i="1"/>
  <c r="D41" i="23" s="1"/>
  <c r="D128" i="1"/>
  <c r="D112" i="1"/>
  <c r="D106" i="23" s="1"/>
  <c r="D19" i="1"/>
  <c r="D13" i="23" s="1"/>
  <c r="D106" i="1"/>
  <c r="D100" i="23" s="1"/>
  <c r="D149" i="1"/>
  <c r="D143" i="23" s="1"/>
  <c r="D52" i="1"/>
  <c r="D46" i="23" s="1"/>
  <c r="D12" i="1"/>
  <c r="D6" i="23" s="1"/>
  <c r="D94" i="1"/>
  <c r="D88" i="23" s="1"/>
  <c r="D81" i="1"/>
  <c r="D75" i="23" s="1"/>
  <c r="D23" i="1"/>
  <c r="D17" i="23" s="1"/>
  <c r="D75" i="1"/>
  <c r="D69" i="23" s="1"/>
  <c r="D37" i="1"/>
  <c r="D31" i="23" s="1"/>
  <c r="D76" i="1"/>
  <c r="D70" i="23" s="1"/>
  <c r="D46" i="1"/>
  <c r="D40" i="23" s="1"/>
  <c r="D83" i="1"/>
  <c r="D77" i="23" s="1"/>
  <c r="D101" i="1"/>
  <c r="D95" i="23" s="1"/>
  <c r="D122" i="1"/>
  <c r="D116" i="23" s="1"/>
  <c r="D73" i="1"/>
  <c r="D67" i="23" s="1"/>
  <c r="D70" i="1"/>
  <c r="D64" i="23" s="1"/>
  <c r="D116" i="1"/>
  <c r="D110" i="23" s="1"/>
  <c r="D127" i="1"/>
  <c r="D121" i="23" s="1"/>
  <c r="D146" i="1"/>
  <c r="D16" i="1"/>
  <c r="D10" i="23" s="1"/>
  <c r="D59" i="1"/>
  <c r="D53" i="23" s="1"/>
  <c r="D107" i="1"/>
  <c r="D101" i="23" s="1"/>
  <c r="D129" i="1"/>
  <c r="D123" i="23" s="1"/>
  <c r="D67" i="1"/>
  <c r="D61" i="23" s="1"/>
  <c r="D39" i="1"/>
  <c r="D33" i="23" s="1"/>
  <c r="D104" i="1"/>
  <c r="D98" i="23" s="1"/>
  <c r="D9" i="1"/>
  <c r="D3" i="23" s="1"/>
  <c r="D68" i="1"/>
  <c r="D62" i="23" s="1"/>
  <c r="D44" i="1"/>
  <c r="D38" i="23" s="1"/>
  <c r="D58" i="1"/>
  <c r="D52" i="23" s="1"/>
  <c r="D18" i="1"/>
  <c r="D12" i="23" s="1"/>
  <c r="D20" i="1"/>
  <c r="D14" i="23" s="1"/>
  <c r="D24" i="1"/>
  <c r="D18" i="23" s="1"/>
  <c r="D96" i="1"/>
  <c r="D90" i="23" s="1"/>
  <c r="D135" i="1"/>
  <c r="D129" i="23" s="1"/>
  <c r="D33" i="1"/>
  <c r="D27" i="23" s="1"/>
  <c r="I77" i="1"/>
  <c r="H77" i="1" s="1"/>
  <c r="I149" i="1"/>
  <c r="H149" i="1" s="1"/>
  <c r="I122" i="1"/>
  <c r="H122" i="1" s="1"/>
  <c r="I59" i="1"/>
  <c r="H59" i="1" s="1"/>
  <c r="I54" i="1"/>
  <c r="H54" i="1" s="1"/>
  <c r="E166" i="23"/>
  <c r="G166" i="23" s="1"/>
  <c r="E172" i="23"/>
  <c r="G172" i="23" s="1"/>
  <c r="E175" i="23"/>
  <c r="G175" i="23" s="1"/>
  <c r="D175" i="23" s="1"/>
  <c r="E180" i="1" s="1"/>
  <c r="B186" i="10"/>
  <c r="C186" i="10" s="1"/>
  <c r="D186" i="10"/>
  <c r="E182" i="23"/>
  <c r="C187" i="1" s="1"/>
  <c r="E176" i="23"/>
  <c r="E169" i="23"/>
  <c r="G169" i="23" s="1"/>
  <c r="D174" i="1" s="1"/>
  <c r="B23" i="17"/>
  <c r="B189" i="10"/>
  <c r="E179" i="23"/>
  <c r="C184" i="1" s="1"/>
  <c r="G167" i="23"/>
  <c r="D172" i="1" s="1"/>
  <c r="E162" i="23"/>
  <c r="C167" i="1" s="1"/>
  <c r="C168" i="1"/>
  <c r="G163" i="23"/>
  <c r="D163" i="23" s="1"/>
  <c r="E168" i="1" s="1"/>
  <c r="E170" i="23"/>
  <c r="E168" i="23"/>
  <c r="E178" i="23"/>
  <c r="E174" i="23"/>
  <c r="E177" i="23"/>
  <c r="E164" i="23"/>
  <c r="E171" i="23"/>
  <c r="G171" i="23" s="1"/>
  <c r="E181" i="23"/>
  <c r="G181" i="23" s="1"/>
  <c r="D179" i="10"/>
  <c r="C189" i="10"/>
  <c r="C185" i="1"/>
  <c r="G180" i="23"/>
  <c r="C170" i="1"/>
  <c r="G165" i="23"/>
  <c r="F8" i="1"/>
  <c r="G16" i="3" l="1"/>
  <c r="E22" i="1"/>
  <c r="B7" i="17"/>
  <c r="B14" i="17"/>
  <c r="E125" i="1"/>
  <c r="F119" i="3" s="1"/>
  <c r="G84" i="3"/>
  <c r="G119" i="3"/>
  <c r="E90" i="1"/>
  <c r="F84" i="3" s="1"/>
  <c r="B13" i="17"/>
  <c r="G48" i="23"/>
  <c r="G131" i="23"/>
  <c r="G26" i="23"/>
  <c r="G5" i="23"/>
  <c r="G78" i="23"/>
  <c r="G108" i="23"/>
  <c r="G102" i="23"/>
  <c r="G35" i="23"/>
  <c r="G55" i="23"/>
  <c r="G28" i="23"/>
  <c r="G39" i="23"/>
  <c r="E127" i="3"/>
  <c r="D127" i="23"/>
  <c r="F71" i="1"/>
  <c r="G65" i="23" s="1"/>
  <c r="D65" i="23"/>
  <c r="C84" i="23"/>
  <c r="E84" i="23" s="1"/>
  <c r="F143" i="1"/>
  <c r="E143" i="1" s="1"/>
  <c r="D137" i="23"/>
  <c r="F36" i="1"/>
  <c r="D30" i="23"/>
  <c r="E122" i="3"/>
  <c r="D122" i="23"/>
  <c r="E134" i="3"/>
  <c r="D134" i="23"/>
  <c r="E140" i="3"/>
  <c r="D140" i="23"/>
  <c r="E148" i="3"/>
  <c r="D148" i="23"/>
  <c r="F77" i="1"/>
  <c r="G71" i="23" s="1"/>
  <c r="D71" i="23"/>
  <c r="E145" i="1"/>
  <c r="G139" i="23"/>
  <c r="E156" i="3"/>
  <c r="D156" i="23"/>
  <c r="F97" i="1"/>
  <c r="G91" i="23" s="1"/>
  <c r="G2" i="3"/>
  <c r="G2" i="23"/>
  <c r="E132" i="3"/>
  <c r="D132" i="23"/>
  <c r="F60" i="1"/>
  <c r="G54" i="23" s="1"/>
  <c r="D54" i="23"/>
  <c r="G117" i="3"/>
  <c r="E150" i="3"/>
  <c r="D150" i="23"/>
  <c r="F16" i="3"/>
  <c r="C16" i="23"/>
  <c r="E16" i="23" s="1"/>
  <c r="C178" i="1"/>
  <c r="E142" i="3"/>
  <c r="D142" i="23"/>
  <c r="E123" i="1"/>
  <c r="F109" i="1"/>
  <c r="G103" i="3" s="1"/>
  <c r="D103" i="23"/>
  <c r="E136" i="3"/>
  <c r="D136" i="23"/>
  <c r="E65" i="3"/>
  <c r="E137" i="3"/>
  <c r="E30" i="3"/>
  <c r="E54" i="3"/>
  <c r="F156" i="1"/>
  <c r="F79" i="1"/>
  <c r="G73" i="23" s="1"/>
  <c r="E73" i="3"/>
  <c r="F106" i="1"/>
  <c r="E100" i="3"/>
  <c r="F130" i="1"/>
  <c r="E124" i="3"/>
  <c r="E163" i="1"/>
  <c r="G157" i="3"/>
  <c r="E40" i="1"/>
  <c r="G34" i="3"/>
  <c r="E119" i="1"/>
  <c r="G113" i="3"/>
  <c r="E34" i="1"/>
  <c r="G28" i="3"/>
  <c r="E110" i="1"/>
  <c r="C104" i="23" s="1"/>
  <c r="E104" i="23" s="1"/>
  <c r="G104" i="3"/>
  <c r="E10" i="1"/>
  <c r="G4" i="3"/>
  <c r="E63" i="1"/>
  <c r="G57" i="3"/>
  <c r="E111" i="1"/>
  <c r="G105" i="3"/>
  <c r="E102" i="1"/>
  <c r="G96" i="3"/>
  <c r="F27" i="1"/>
  <c r="G21" i="23" s="1"/>
  <c r="E21" i="3"/>
  <c r="F39" i="1"/>
  <c r="G33" i="23" s="1"/>
  <c r="E33" i="3"/>
  <c r="F19" i="1"/>
  <c r="G13" i="23" s="1"/>
  <c r="E13" i="3"/>
  <c r="F136" i="1"/>
  <c r="G130" i="23" s="1"/>
  <c r="E130" i="3"/>
  <c r="F49" i="1"/>
  <c r="G43" i="23" s="1"/>
  <c r="E43" i="3"/>
  <c r="E157" i="1"/>
  <c r="G151" i="3"/>
  <c r="E45" i="1"/>
  <c r="G39" i="3"/>
  <c r="E147" i="1"/>
  <c r="G141" i="3"/>
  <c r="E91" i="1"/>
  <c r="G85" i="3"/>
  <c r="E114" i="1"/>
  <c r="G108" i="3"/>
  <c r="E56" i="1"/>
  <c r="G50" i="3"/>
  <c r="E30" i="1"/>
  <c r="G24" i="3"/>
  <c r="E93" i="1"/>
  <c r="G87" i="3"/>
  <c r="F126" i="1"/>
  <c r="G120" i="23" s="1"/>
  <c r="E120" i="3"/>
  <c r="F24" i="1"/>
  <c r="G18" i="23" s="1"/>
  <c r="E18" i="3"/>
  <c r="F59" i="1"/>
  <c r="G53" i="23" s="1"/>
  <c r="E53" i="3"/>
  <c r="F37" i="1"/>
  <c r="G31" i="23" s="1"/>
  <c r="E31" i="3"/>
  <c r="F47" i="1"/>
  <c r="G41" i="23" s="1"/>
  <c r="E41" i="3"/>
  <c r="F31" i="1"/>
  <c r="G25" i="23" s="1"/>
  <c r="E25" i="3"/>
  <c r="F80" i="1"/>
  <c r="G74" i="23" s="1"/>
  <c r="E74" i="3"/>
  <c r="F72" i="1"/>
  <c r="G66" i="23" s="1"/>
  <c r="E66" i="3"/>
  <c r="E38" i="1"/>
  <c r="G32" i="3"/>
  <c r="E62" i="1"/>
  <c r="G56" i="3"/>
  <c r="E144" i="1"/>
  <c r="G138" i="3"/>
  <c r="E35" i="1"/>
  <c r="G29" i="3"/>
  <c r="E87" i="1"/>
  <c r="G81" i="3"/>
  <c r="E151" i="1"/>
  <c r="G145" i="3"/>
  <c r="E92" i="1"/>
  <c r="G86" i="3"/>
  <c r="E28" i="1"/>
  <c r="G22" i="3"/>
  <c r="F101" i="1"/>
  <c r="G95" i="23" s="1"/>
  <c r="E95" i="3"/>
  <c r="F83" i="1"/>
  <c r="G77" i="23" s="1"/>
  <c r="E77" i="3"/>
  <c r="F46" i="1"/>
  <c r="G40" i="23" s="1"/>
  <c r="E40" i="3"/>
  <c r="F64" i="1"/>
  <c r="E58" i="3"/>
  <c r="F16" i="1"/>
  <c r="G10" i="23" s="1"/>
  <c r="E10" i="3"/>
  <c r="F155" i="1"/>
  <c r="E149" i="3"/>
  <c r="F152" i="1"/>
  <c r="E146" i="3"/>
  <c r="F33" i="1"/>
  <c r="G27" i="23" s="1"/>
  <c r="E27" i="3"/>
  <c r="F124" i="1"/>
  <c r="G118" i="23" s="1"/>
  <c r="E118" i="3"/>
  <c r="F96" i="1"/>
  <c r="G90" i="23" s="1"/>
  <c r="E90" i="3"/>
  <c r="F78" i="1"/>
  <c r="G72" i="23" s="1"/>
  <c r="E72" i="3"/>
  <c r="F20" i="1"/>
  <c r="G14" i="23" s="1"/>
  <c r="E14" i="3"/>
  <c r="F14" i="1"/>
  <c r="G8" i="23" s="1"/>
  <c r="E8" i="3"/>
  <c r="F18" i="1"/>
  <c r="G12" i="23" s="1"/>
  <c r="E12" i="3"/>
  <c r="F23" i="1"/>
  <c r="G17" i="23" s="1"/>
  <c r="E17" i="3"/>
  <c r="F88" i="1"/>
  <c r="E82" i="3"/>
  <c r="F95" i="1"/>
  <c r="G89" i="23" s="1"/>
  <c r="E89" i="3"/>
  <c r="F121" i="1"/>
  <c r="G115" i="23" s="1"/>
  <c r="E115" i="3"/>
  <c r="F98" i="1"/>
  <c r="E92" i="3"/>
  <c r="F153" i="1"/>
  <c r="G147" i="23" s="1"/>
  <c r="E147" i="3"/>
  <c r="E32" i="1"/>
  <c r="G26" i="3"/>
  <c r="E103" i="1"/>
  <c r="G97" i="3"/>
  <c r="E54" i="1"/>
  <c r="G48" i="3"/>
  <c r="E137" i="1"/>
  <c r="G131" i="3"/>
  <c r="E55" i="1"/>
  <c r="G49" i="3"/>
  <c r="E131" i="1"/>
  <c r="G125" i="3"/>
  <c r="E134" i="1"/>
  <c r="G128" i="3"/>
  <c r="E99" i="1"/>
  <c r="G93" i="3"/>
  <c r="F104" i="1"/>
  <c r="G98" i="23" s="1"/>
  <c r="E98" i="3"/>
  <c r="F65" i="1"/>
  <c r="G59" i="23" s="1"/>
  <c r="E59" i="3"/>
  <c r="F67" i="1"/>
  <c r="G61" i="23" s="1"/>
  <c r="E61" i="3"/>
  <c r="F112" i="1"/>
  <c r="G106" i="23" s="1"/>
  <c r="E106" i="3"/>
  <c r="F75" i="1"/>
  <c r="G69" i="23" s="1"/>
  <c r="E69" i="3"/>
  <c r="F161" i="1"/>
  <c r="G155" i="23" s="1"/>
  <c r="E155" i="3"/>
  <c r="F135" i="1"/>
  <c r="G129" i="23" s="1"/>
  <c r="E129" i="3"/>
  <c r="F86" i="1"/>
  <c r="G80" i="23" s="1"/>
  <c r="E80" i="3"/>
  <c r="E115" i="1"/>
  <c r="G109" i="3"/>
  <c r="F76" i="1"/>
  <c r="G70" i="23" s="1"/>
  <c r="E70" i="3"/>
  <c r="F139" i="1"/>
  <c r="G133" i="23" s="1"/>
  <c r="E133" i="3"/>
  <c r="F58" i="1"/>
  <c r="G52" i="23" s="1"/>
  <c r="E52" i="3"/>
  <c r="F127" i="1"/>
  <c r="G121" i="23" s="1"/>
  <c r="E121" i="3"/>
  <c r="F81" i="1"/>
  <c r="G75" i="23" s="1"/>
  <c r="E75" i="3"/>
  <c r="F42" i="1"/>
  <c r="E36" i="3"/>
  <c r="F13" i="1"/>
  <c r="G7" i="23" s="1"/>
  <c r="E7" i="3"/>
  <c r="F100" i="1"/>
  <c r="E94" i="3"/>
  <c r="F44" i="1"/>
  <c r="G38" i="23" s="1"/>
  <c r="E38" i="3"/>
  <c r="F116" i="1"/>
  <c r="G110" i="23" s="1"/>
  <c r="E110" i="3"/>
  <c r="F94" i="1"/>
  <c r="G88" i="23" s="1"/>
  <c r="E88" i="3"/>
  <c r="F118" i="1"/>
  <c r="G112" i="23" s="1"/>
  <c r="E112" i="3"/>
  <c r="F120" i="1"/>
  <c r="G114" i="23" s="1"/>
  <c r="E114" i="3"/>
  <c r="F160" i="1"/>
  <c r="G154" i="23" s="1"/>
  <c r="E154" i="3"/>
  <c r="F43" i="1"/>
  <c r="G37" i="23" s="1"/>
  <c r="E37" i="3"/>
  <c r="F150" i="1"/>
  <c r="E144" i="3"/>
  <c r="E74" i="1"/>
  <c r="G68" i="3"/>
  <c r="E11" i="1"/>
  <c r="G5" i="3"/>
  <c r="E26" i="1"/>
  <c r="G20" i="3"/>
  <c r="E84" i="1"/>
  <c r="G78" i="3"/>
  <c r="E132" i="1"/>
  <c r="G126" i="3"/>
  <c r="E141" i="1"/>
  <c r="G135" i="3"/>
  <c r="E50" i="1"/>
  <c r="G44" i="3"/>
  <c r="E85" i="1"/>
  <c r="G79" i="3"/>
  <c r="E89" i="1"/>
  <c r="C83" i="23" s="1"/>
  <c r="E83" i="23" s="1"/>
  <c r="F122" i="1"/>
  <c r="G116" i="23" s="1"/>
  <c r="E116" i="3"/>
  <c r="F25" i="1"/>
  <c r="E19" i="3"/>
  <c r="F129" i="1"/>
  <c r="G123" i="23" s="1"/>
  <c r="E123" i="3"/>
  <c r="F82" i="1"/>
  <c r="G76" i="23" s="1"/>
  <c r="E76" i="3"/>
  <c r="F68" i="1"/>
  <c r="G62" i="23" s="1"/>
  <c r="E62" i="3"/>
  <c r="F149" i="1"/>
  <c r="G143" i="23" s="1"/>
  <c r="E143" i="3"/>
  <c r="F29" i="1"/>
  <c r="E23" i="3"/>
  <c r="F105" i="1"/>
  <c r="G99" i="23" s="1"/>
  <c r="E99" i="3"/>
  <c r="F159" i="1"/>
  <c r="G153" i="23" s="1"/>
  <c r="E153" i="3"/>
  <c r="F107" i="1"/>
  <c r="E101" i="3"/>
  <c r="F158" i="1"/>
  <c r="G152" i="23" s="1"/>
  <c r="E152" i="3"/>
  <c r="F117" i="1"/>
  <c r="G111" i="23" s="1"/>
  <c r="E111" i="3"/>
  <c r="F70" i="1"/>
  <c r="G64" i="23" s="1"/>
  <c r="E64" i="3"/>
  <c r="F12" i="1"/>
  <c r="G6" i="23" s="1"/>
  <c r="E6" i="3"/>
  <c r="F69" i="1"/>
  <c r="G63" i="23" s="1"/>
  <c r="E63" i="3"/>
  <c r="F66" i="1"/>
  <c r="G60" i="23" s="1"/>
  <c r="E60" i="3"/>
  <c r="F53" i="1"/>
  <c r="G47" i="23" s="1"/>
  <c r="E47" i="3"/>
  <c r="F9" i="1"/>
  <c r="G3" i="23" s="1"/>
  <c r="E3" i="3"/>
  <c r="F73" i="1"/>
  <c r="G67" i="23" s="1"/>
  <c r="E67" i="3"/>
  <c r="F52" i="1"/>
  <c r="G46" i="23" s="1"/>
  <c r="E46" i="3"/>
  <c r="F57" i="1"/>
  <c r="E51" i="3"/>
  <c r="F17" i="1"/>
  <c r="G11" i="23" s="1"/>
  <c r="E11" i="3"/>
  <c r="F113" i="1"/>
  <c r="E107" i="3"/>
  <c r="F164" i="1"/>
  <c r="E158" i="3"/>
  <c r="E48" i="1"/>
  <c r="G42" i="3"/>
  <c r="E41" i="1"/>
  <c r="G35" i="3"/>
  <c r="E15" i="1"/>
  <c r="G9" i="3"/>
  <c r="E51" i="1"/>
  <c r="G45" i="3"/>
  <c r="E21" i="1"/>
  <c r="G15" i="3"/>
  <c r="E61" i="1"/>
  <c r="G55" i="3"/>
  <c r="E108" i="1"/>
  <c r="G102" i="3"/>
  <c r="F133" i="1"/>
  <c r="F140" i="1"/>
  <c r="F162" i="1"/>
  <c r="F138" i="1"/>
  <c r="F128" i="1"/>
  <c r="F142" i="1"/>
  <c r="F146" i="1"/>
  <c r="F148" i="1"/>
  <c r="F154" i="1"/>
  <c r="C177" i="1"/>
  <c r="C171" i="1"/>
  <c r="C180" i="1"/>
  <c r="D180" i="1"/>
  <c r="G179" i="23"/>
  <c r="D179" i="23" s="1"/>
  <c r="E184" i="1" s="1"/>
  <c r="B31" i="17"/>
  <c r="G182" i="23"/>
  <c r="G176" i="23"/>
  <c r="C181" i="1"/>
  <c r="D167" i="23"/>
  <c r="E172" i="1" s="1"/>
  <c r="D168" i="1"/>
  <c r="C174" i="1"/>
  <c r="D169" i="23"/>
  <c r="E174" i="1" s="1"/>
  <c r="C186" i="1"/>
  <c r="G162" i="23"/>
  <c r="D167" i="1" s="1"/>
  <c r="C176" i="1"/>
  <c r="C182" i="1"/>
  <c r="G177" i="23"/>
  <c r="C179" i="1"/>
  <c r="G174" i="23"/>
  <c r="C183" i="1"/>
  <c r="G178" i="23"/>
  <c r="G164" i="23"/>
  <c r="D164" i="23" s="1"/>
  <c r="E169" i="1" s="1"/>
  <c r="B9" i="17"/>
  <c r="C173" i="1"/>
  <c r="G168" i="23"/>
  <c r="C175" i="1"/>
  <c r="G170" i="23"/>
  <c r="C169" i="1"/>
  <c r="D172" i="23"/>
  <c r="E177" i="1" s="1"/>
  <c r="D177" i="1"/>
  <c r="D186" i="1"/>
  <c r="D181" i="23"/>
  <c r="E186" i="1" s="1"/>
  <c r="D171" i="1"/>
  <c r="D166" i="23"/>
  <c r="E171" i="1" s="1"/>
  <c r="E8" i="1"/>
  <c r="D178" i="1"/>
  <c r="D173" i="23"/>
  <c r="E178" i="1" s="1"/>
  <c r="D165" i="23"/>
  <c r="E170" i="1" s="1"/>
  <c r="D170" i="1"/>
  <c r="D176" i="1"/>
  <c r="D171" i="23"/>
  <c r="E176" i="1" s="1"/>
  <c r="D180" i="23"/>
  <c r="E185" i="1" s="1"/>
  <c r="D185" i="1"/>
  <c r="E60" i="1" l="1"/>
  <c r="C119" i="23"/>
  <c r="E119" i="23" s="1"/>
  <c r="G65" i="3"/>
  <c r="E71" i="1"/>
  <c r="C65" i="23" s="1"/>
  <c r="E65" i="23" s="1"/>
  <c r="G137" i="3"/>
  <c r="G91" i="3"/>
  <c r="E97" i="1"/>
  <c r="G144" i="23"/>
  <c r="G30" i="23"/>
  <c r="G51" i="23"/>
  <c r="G94" i="23"/>
  <c r="G158" i="23"/>
  <c r="G124" i="23"/>
  <c r="G137" i="23"/>
  <c r="G58" i="23"/>
  <c r="G107" i="23"/>
  <c r="G36" i="23"/>
  <c r="G100" i="23"/>
  <c r="G23" i="23"/>
  <c r="G101" i="23"/>
  <c r="G92" i="23"/>
  <c r="G146" i="23"/>
  <c r="G149" i="23"/>
  <c r="G19" i="23"/>
  <c r="G30" i="3"/>
  <c r="G71" i="3"/>
  <c r="F5" i="3"/>
  <c r="C5" i="23"/>
  <c r="E5" i="23" s="1"/>
  <c r="G134" i="3"/>
  <c r="G134" i="23"/>
  <c r="G140" i="3"/>
  <c r="G140" i="23"/>
  <c r="F15" i="3"/>
  <c r="C15" i="23"/>
  <c r="E15" i="23" s="1"/>
  <c r="G136" i="3"/>
  <c r="G136" i="23"/>
  <c r="F20" i="3"/>
  <c r="C20" i="23"/>
  <c r="E20" i="23" s="1"/>
  <c r="F137" i="3"/>
  <c r="C137" i="23"/>
  <c r="E137" i="23" s="1"/>
  <c r="F97" i="3"/>
  <c r="C97" i="23"/>
  <c r="E97" i="23" s="1"/>
  <c r="G83" i="3"/>
  <c r="G82" i="23"/>
  <c r="F145" i="3"/>
  <c r="C145" i="23"/>
  <c r="E145" i="23" s="1"/>
  <c r="F32" i="3"/>
  <c r="C32" i="23"/>
  <c r="E32" i="23" s="1"/>
  <c r="F108" i="3"/>
  <c r="C108" i="23"/>
  <c r="E108" i="23" s="1"/>
  <c r="F105" i="3"/>
  <c r="C105" i="23"/>
  <c r="E105" i="23" s="1"/>
  <c r="F34" i="3"/>
  <c r="C34" i="23"/>
  <c r="E34" i="23" s="1"/>
  <c r="F139" i="3"/>
  <c r="C139" i="23"/>
  <c r="E139" i="23" s="1"/>
  <c r="F44" i="3"/>
  <c r="C44" i="23"/>
  <c r="E44" i="23" s="1"/>
  <c r="G122" i="3"/>
  <c r="G122" i="23"/>
  <c r="F81" i="3"/>
  <c r="C81" i="23"/>
  <c r="E81" i="23" s="1"/>
  <c r="E109" i="1"/>
  <c r="G103" i="23"/>
  <c r="F141" i="3"/>
  <c r="C141" i="23"/>
  <c r="E141" i="23" s="1"/>
  <c r="F9" i="3"/>
  <c r="C9" i="23"/>
  <c r="E9" i="23" s="1"/>
  <c r="F135" i="3"/>
  <c r="C135" i="23"/>
  <c r="E135" i="23" s="1"/>
  <c r="E36" i="1"/>
  <c r="F29" i="3"/>
  <c r="C29" i="23"/>
  <c r="E29" i="23" s="1"/>
  <c r="F87" i="3"/>
  <c r="C87" i="23"/>
  <c r="E87" i="23" s="1"/>
  <c r="F39" i="3"/>
  <c r="C39" i="23"/>
  <c r="E39" i="23" s="1"/>
  <c r="F117" i="3"/>
  <c r="C117" i="23"/>
  <c r="E117" i="23" s="1"/>
  <c r="F45" i="3"/>
  <c r="C45" i="23"/>
  <c r="E45" i="23" s="1"/>
  <c r="F79" i="3"/>
  <c r="C79" i="23"/>
  <c r="E79" i="23" s="1"/>
  <c r="F157" i="3"/>
  <c r="C157" i="23"/>
  <c r="E157" i="23" s="1"/>
  <c r="F65" i="3"/>
  <c r="F109" i="3"/>
  <c r="C109" i="23"/>
  <c r="E109" i="23" s="1"/>
  <c r="F85" i="3"/>
  <c r="C85" i="23"/>
  <c r="E85" i="23" s="1"/>
  <c r="F68" i="3"/>
  <c r="C68" i="23"/>
  <c r="E68" i="23" s="1"/>
  <c r="F49" i="3"/>
  <c r="C49" i="23"/>
  <c r="E49" i="23" s="1"/>
  <c r="F126" i="3"/>
  <c r="C126" i="23"/>
  <c r="E126" i="23" s="1"/>
  <c r="F93" i="3"/>
  <c r="C93" i="23"/>
  <c r="E93" i="23" s="1"/>
  <c r="F131" i="3"/>
  <c r="C131" i="23"/>
  <c r="E131" i="23" s="1"/>
  <c r="F22" i="3"/>
  <c r="C22" i="23"/>
  <c r="E22" i="23" s="1"/>
  <c r="F138" i="3"/>
  <c r="C138" i="23"/>
  <c r="E138" i="23" s="1"/>
  <c r="F24" i="3"/>
  <c r="C24" i="23"/>
  <c r="E24" i="23" s="1"/>
  <c r="F151" i="3"/>
  <c r="C151" i="23"/>
  <c r="E151" i="23" s="1"/>
  <c r="F28" i="3"/>
  <c r="C28" i="23"/>
  <c r="E28" i="23" s="1"/>
  <c r="G132" i="3"/>
  <c r="G132" i="23"/>
  <c r="F125" i="3"/>
  <c r="C125" i="23"/>
  <c r="E125" i="23" s="1"/>
  <c r="F91" i="3"/>
  <c r="C91" i="23"/>
  <c r="E91" i="23" s="1"/>
  <c r="F2" i="3"/>
  <c r="C2" i="23"/>
  <c r="E2" i="23" s="1"/>
  <c r="E156" i="1"/>
  <c r="G150" i="23"/>
  <c r="F26" i="3"/>
  <c r="C26" i="23"/>
  <c r="E26" i="23" s="1"/>
  <c r="F57" i="3"/>
  <c r="C57" i="23"/>
  <c r="E57" i="23" s="1"/>
  <c r="F4" i="3"/>
  <c r="C4" i="23"/>
  <c r="E4" i="23" s="1"/>
  <c r="G127" i="3"/>
  <c r="G127" i="23"/>
  <c r="F102" i="3"/>
  <c r="C102" i="23"/>
  <c r="E102" i="23" s="1"/>
  <c r="F35" i="3"/>
  <c r="C35" i="23"/>
  <c r="E35" i="23" s="1"/>
  <c r="G148" i="3"/>
  <c r="G148" i="23"/>
  <c r="F55" i="3"/>
  <c r="C55" i="23"/>
  <c r="E55" i="23" s="1"/>
  <c r="F42" i="3"/>
  <c r="C42" i="23"/>
  <c r="E42" i="23" s="1"/>
  <c r="G142" i="3"/>
  <c r="G142" i="23"/>
  <c r="G54" i="3"/>
  <c r="F78" i="3"/>
  <c r="C78" i="23"/>
  <c r="E78" i="23" s="1"/>
  <c r="F128" i="3"/>
  <c r="C128" i="23"/>
  <c r="E128" i="23" s="1"/>
  <c r="F48" i="3"/>
  <c r="C48" i="23"/>
  <c r="E48" i="23" s="1"/>
  <c r="F86" i="3"/>
  <c r="C86" i="23"/>
  <c r="E86" i="23" s="1"/>
  <c r="F56" i="3"/>
  <c r="C56" i="23"/>
  <c r="E56" i="23" s="1"/>
  <c r="F50" i="3"/>
  <c r="C50" i="23"/>
  <c r="E50" i="23" s="1"/>
  <c r="E77" i="1"/>
  <c r="F96" i="3"/>
  <c r="C96" i="23"/>
  <c r="E96" i="23" s="1"/>
  <c r="F113" i="3"/>
  <c r="C113" i="23"/>
  <c r="E113" i="23" s="1"/>
  <c r="G156" i="3"/>
  <c r="G156" i="23"/>
  <c r="F54" i="3"/>
  <c r="C54" i="23"/>
  <c r="E54" i="23" s="1"/>
  <c r="G150" i="3"/>
  <c r="F104" i="3"/>
  <c r="E113" i="1"/>
  <c r="G107" i="3"/>
  <c r="E158" i="1"/>
  <c r="G152" i="3"/>
  <c r="E120" i="1"/>
  <c r="G114" i="3"/>
  <c r="E112" i="1"/>
  <c r="G106" i="3"/>
  <c r="E37" i="1"/>
  <c r="G31" i="3"/>
  <c r="E82" i="1"/>
  <c r="G76" i="3"/>
  <c r="E42" i="1"/>
  <c r="G36" i="3"/>
  <c r="E57" i="1"/>
  <c r="G51" i="3"/>
  <c r="E69" i="1"/>
  <c r="G63" i="3"/>
  <c r="E159" i="1"/>
  <c r="G153" i="3"/>
  <c r="E129" i="1"/>
  <c r="G123" i="3"/>
  <c r="E94" i="1"/>
  <c r="G88" i="3"/>
  <c r="E81" i="1"/>
  <c r="G75" i="3"/>
  <c r="E86" i="1"/>
  <c r="G80" i="3"/>
  <c r="E65" i="1"/>
  <c r="G59" i="3"/>
  <c r="E153" i="1"/>
  <c r="G147" i="3"/>
  <c r="E18" i="1"/>
  <c r="G12" i="3"/>
  <c r="E33" i="1"/>
  <c r="G27" i="3"/>
  <c r="E83" i="1"/>
  <c r="G77" i="3"/>
  <c r="E72" i="1"/>
  <c r="G66" i="3"/>
  <c r="E24" i="1"/>
  <c r="G18" i="3"/>
  <c r="E136" i="1"/>
  <c r="G130" i="3"/>
  <c r="E53" i="1"/>
  <c r="G47" i="3"/>
  <c r="E107" i="1"/>
  <c r="G101" i="3"/>
  <c r="E118" i="1"/>
  <c r="G112" i="3"/>
  <c r="E67" i="1"/>
  <c r="G61" i="3"/>
  <c r="E23" i="1"/>
  <c r="G17" i="3"/>
  <c r="E46" i="1"/>
  <c r="G40" i="3"/>
  <c r="E68" i="1"/>
  <c r="G62" i="3"/>
  <c r="E59" i="1"/>
  <c r="G53" i="3"/>
  <c r="E52" i="1"/>
  <c r="G46" i="3"/>
  <c r="E12" i="1"/>
  <c r="G6" i="3"/>
  <c r="E105" i="1"/>
  <c r="G99" i="3"/>
  <c r="E25" i="1"/>
  <c r="G19" i="3"/>
  <c r="E150" i="1"/>
  <c r="G144" i="3"/>
  <c r="E116" i="1"/>
  <c r="G110" i="3"/>
  <c r="E127" i="1"/>
  <c r="G121" i="3"/>
  <c r="E135" i="1"/>
  <c r="G129" i="3"/>
  <c r="E104" i="1"/>
  <c r="G98" i="3"/>
  <c r="E98" i="1"/>
  <c r="G92" i="3"/>
  <c r="E14" i="1"/>
  <c r="G8" i="3"/>
  <c r="E152" i="1"/>
  <c r="G146" i="3"/>
  <c r="E101" i="1"/>
  <c r="G95" i="3"/>
  <c r="E80" i="1"/>
  <c r="G74" i="3"/>
  <c r="E126" i="1"/>
  <c r="G120" i="3"/>
  <c r="E19" i="1"/>
  <c r="G13" i="3"/>
  <c r="E130" i="1"/>
  <c r="G124" i="3"/>
  <c r="E66" i="1"/>
  <c r="G60" i="3"/>
  <c r="E88" i="1"/>
  <c r="G82" i="3"/>
  <c r="E96" i="1"/>
  <c r="G90" i="3"/>
  <c r="E64" i="1"/>
  <c r="G58" i="3"/>
  <c r="E73" i="1"/>
  <c r="G67" i="3"/>
  <c r="E70" i="1"/>
  <c r="G64" i="3"/>
  <c r="E29" i="1"/>
  <c r="G23" i="3"/>
  <c r="E122" i="1"/>
  <c r="G116" i="3"/>
  <c r="E43" i="1"/>
  <c r="G37" i="3"/>
  <c r="E44" i="1"/>
  <c r="G38" i="3"/>
  <c r="E58" i="1"/>
  <c r="G52" i="3"/>
  <c r="E161" i="1"/>
  <c r="G155" i="3"/>
  <c r="E121" i="1"/>
  <c r="G115" i="3"/>
  <c r="E20" i="1"/>
  <c r="G14" i="3"/>
  <c r="E155" i="1"/>
  <c r="G149" i="3"/>
  <c r="E31" i="1"/>
  <c r="G25" i="3"/>
  <c r="E39" i="1"/>
  <c r="G33" i="3"/>
  <c r="E106" i="1"/>
  <c r="G100" i="3"/>
  <c r="E124" i="1"/>
  <c r="G118" i="3"/>
  <c r="E13" i="1"/>
  <c r="G7" i="3"/>
  <c r="E76" i="1"/>
  <c r="G70" i="3"/>
  <c r="E17" i="1"/>
  <c r="G11" i="3"/>
  <c r="E49" i="1"/>
  <c r="G43" i="3"/>
  <c r="E164" i="1"/>
  <c r="G158" i="3"/>
  <c r="E9" i="1"/>
  <c r="G3" i="3"/>
  <c r="E117" i="1"/>
  <c r="G111" i="3"/>
  <c r="E149" i="1"/>
  <c r="G143" i="3"/>
  <c r="E160" i="1"/>
  <c r="G154" i="3"/>
  <c r="E100" i="1"/>
  <c r="G94" i="3"/>
  <c r="E139" i="1"/>
  <c r="G133" i="3"/>
  <c r="E75" i="1"/>
  <c r="G69" i="3"/>
  <c r="E95" i="1"/>
  <c r="G89" i="3"/>
  <c r="E78" i="1"/>
  <c r="G72" i="3"/>
  <c r="E16" i="1"/>
  <c r="G10" i="3"/>
  <c r="E47" i="1"/>
  <c r="G41" i="3"/>
  <c r="E27" i="1"/>
  <c r="G21" i="3"/>
  <c r="E79" i="1"/>
  <c r="G73" i="3"/>
  <c r="E140" i="1"/>
  <c r="E162" i="1"/>
  <c r="E133" i="1"/>
  <c r="E142" i="1"/>
  <c r="E128" i="1"/>
  <c r="E148" i="1"/>
  <c r="E154" i="1"/>
  <c r="E146" i="1"/>
  <c r="E138" i="1"/>
  <c r="E123" i="10"/>
  <c r="B176" i="10" s="1"/>
  <c r="D184" i="1"/>
  <c r="D187" i="1"/>
  <c r="D182" i="23"/>
  <c r="E187" i="1" s="1"/>
  <c r="D176" i="23"/>
  <c r="E181" i="1" s="1"/>
  <c r="D181" i="1"/>
  <c r="D162" i="23"/>
  <c r="E167" i="1" s="1"/>
  <c r="D169" i="1"/>
  <c r="D179" i="1"/>
  <c r="D174" i="23"/>
  <c r="E179" i="1" s="1"/>
  <c r="D177" i="23"/>
  <c r="E182" i="1" s="1"/>
  <c r="D182" i="1"/>
  <c r="B10" i="17"/>
  <c r="D173" i="1"/>
  <c r="D168" i="23"/>
  <c r="E173" i="1" s="1"/>
  <c r="D183" i="1"/>
  <c r="D178" i="23"/>
  <c r="E183" i="1" s="1"/>
  <c r="D170" i="23"/>
  <c r="E175" i="1" s="1"/>
  <c r="D175" i="1"/>
  <c r="C103" i="23" l="1"/>
  <c r="E103" i="23" s="1"/>
  <c r="F103" i="3"/>
  <c r="F149" i="3"/>
  <c r="C149" i="23"/>
  <c r="E149" i="23" s="1"/>
  <c r="F6" i="3"/>
  <c r="C6" i="23"/>
  <c r="E6" i="23" s="1"/>
  <c r="F66" i="3"/>
  <c r="C66" i="23"/>
  <c r="E66" i="23" s="1"/>
  <c r="F51" i="3"/>
  <c r="C51" i="23"/>
  <c r="E51" i="23" s="1"/>
  <c r="F150" i="3"/>
  <c r="C150" i="23"/>
  <c r="E150" i="23" s="1"/>
  <c r="F111" i="3"/>
  <c r="C111" i="23"/>
  <c r="E111" i="23" s="1"/>
  <c r="F95" i="3"/>
  <c r="C95" i="23"/>
  <c r="E95" i="23" s="1"/>
  <c r="F77" i="3"/>
  <c r="C77" i="23"/>
  <c r="E77" i="23" s="1"/>
  <c r="F36" i="3"/>
  <c r="C36" i="23"/>
  <c r="E36" i="23" s="1"/>
  <c r="F122" i="3"/>
  <c r="C122" i="23"/>
  <c r="E122" i="23" s="1"/>
  <c r="F10" i="3"/>
  <c r="C10" i="23"/>
  <c r="E10" i="23" s="1"/>
  <c r="F154" i="3"/>
  <c r="C154" i="23"/>
  <c r="E154" i="23" s="1"/>
  <c r="F11" i="3"/>
  <c r="C11" i="23"/>
  <c r="E11" i="23" s="1"/>
  <c r="F25" i="3"/>
  <c r="C25" i="23"/>
  <c r="E25" i="23" s="1"/>
  <c r="F38" i="3"/>
  <c r="C38" i="23"/>
  <c r="E38" i="23" s="1"/>
  <c r="F58" i="3"/>
  <c r="C58" i="23"/>
  <c r="E58" i="23" s="1"/>
  <c r="F120" i="3"/>
  <c r="C120" i="23"/>
  <c r="E120" i="23" s="1"/>
  <c r="F98" i="3"/>
  <c r="C98" i="23"/>
  <c r="E98" i="23" s="1"/>
  <c r="F99" i="3"/>
  <c r="C99" i="23"/>
  <c r="E99" i="23" s="1"/>
  <c r="F17" i="3"/>
  <c r="C17" i="23"/>
  <c r="E17" i="23" s="1"/>
  <c r="F18" i="3"/>
  <c r="C18" i="23"/>
  <c r="E18" i="23" s="1"/>
  <c r="F59" i="3"/>
  <c r="C59" i="23"/>
  <c r="E59" i="23" s="1"/>
  <c r="F63" i="3"/>
  <c r="C63" i="23"/>
  <c r="E63" i="23" s="1"/>
  <c r="F114" i="3"/>
  <c r="C114" i="23"/>
  <c r="E114" i="23" s="1"/>
  <c r="F152" i="3"/>
  <c r="C152" i="23"/>
  <c r="E152" i="23" s="1"/>
  <c r="F82" i="3"/>
  <c r="C82" i="23"/>
  <c r="E82" i="23" s="1"/>
  <c r="F127" i="3"/>
  <c r="C127" i="23"/>
  <c r="E127" i="23" s="1"/>
  <c r="F90" i="3"/>
  <c r="C90" i="23"/>
  <c r="E90" i="23" s="1"/>
  <c r="F89" i="3"/>
  <c r="C89" i="23"/>
  <c r="E89" i="23" s="1"/>
  <c r="F46" i="3"/>
  <c r="C46" i="23"/>
  <c r="E46" i="23" s="1"/>
  <c r="F136" i="3"/>
  <c r="C136" i="23"/>
  <c r="E136" i="23" s="1"/>
  <c r="F72" i="3"/>
  <c r="C72" i="23"/>
  <c r="E72" i="23" s="1"/>
  <c r="F74" i="3"/>
  <c r="C74" i="23"/>
  <c r="E74" i="23" s="1"/>
  <c r="F116" i="3"/>
  <c r="C116" i="23"/>
  <c r="E116" i="23" s="1"/>
  <c r="F112" i="3"/>
  <c r="C112" i="23"/>
  <c r="E112" i="23" s="1"/>
  <c r="F107" i="3"/>
  <c r="C107" i="23"/>
  <c r="E107" i="23" s="1"/>
  <c r="F73" i="3"/>
  <c r="C73" i="23"/>
  <c r="E73" i="23" s="1"/>
  <c r="F69" i="3"/>
  <c r="C69" i="23"/>
  <c r="E69" i="23" s="1"/>
  <c r="F3" i="3"/>
  <c r="C3" i="23"/>
  <c r="E3" i="23" s="1"/>
  <c r="F118" i="3"/>
  <c r="C118" i="23"/>
  <c r="E118" i="23" s="1"/>
  <c r="F115" i="3"/>
  <c r="C115" i="23"/>
  <c r="E115" i="23" s="1"/>
  <c r="F23" i="3"/>
  <c r="C23" i="23"/>
  <c r="E23" i="23" s="1"/>
  <c r="F60" i="3"/>
  <c r="C60" i="23"/>
  <c r="E60" i="23" s="1"/>
  <c r="F146" i="3"/>
  <c r="C146" i="23"/>
  <c r="E146" i="23" s="1"/>
  <c r="F110" i="3"/>
  <c r="C110" i="23"/>
  <c r="E110" i="23" s="1"/>
  <c r="F53" i="3"/>
  <c r="C53" i="23"/>
  <c r="E53" i="23" s="1"/>
  <c r="F101" i="3"/>
  <c r="C101" i="23"/>
  <c r="E101" i="23" s="1"/>
  <c r="F27" i="3"/>
  <c r="C27" i="23"/>
  <c r="E27" i="23" s="1"/>
  <c r="F88" i="3"/>
  <c r="C88" i="23"/>
  <c r="E88" i="23" s="1"/>
  <c r="F76" i="3"/>
  <c r="C76" i="23"/>
  <c r="E76" i="23" s="1"/>
  <c r="F70" i="3"/>
  <c r="C70" i="23"/>
  <c r="E70" i="23" s="1"/>
  <c r="F129" i="3"/>
  <c r="C129" i="23"/>
  <c r="E129" i="23" s="1"/>
  <c r="F80" i="3"/>
  <c r="C80" i="23"/>
  <c r="E80" i="23" s="1"/>
  <c r="F71" i="3"/>
  <c r="C71" i="23"/>
  <c r="E71" i="23" s="1"/>
  <c r="F134" i="3"/>
  <c r="C134" i="23"/>
  <c r="E134" i="23" s="1"/>
  <c r="F132" i="3"/>
  <c r="C132" i="23"/>
  <c r="E132" i="23" s="1"/>
  <c r="F21" i="3"/>
  <c r="C21" i="23"/>
  <c r="E21" i="23" s="1"/>
  <c r="F133" i="3"/>
  <c r="C133" i="23"/>
  <c r="E133" i="23" s="1"/>
  <c r="F158" i="3"/>
  <c r="C158" i="23"/>
  <c r="E158" i="23" s="1"/>
  <c r="F100" i="3"/>
  <c r="C100" i="23"/>
  <c r="E100" i="23" s="1"/>
  <c r="F155" i="3"/>
  <c r="C155" i="23"/>
  <c r="E155" i="23" s="1"/>
  <c r="F64" i="3"/>
  <c r="C64" i="23"/>
  <c r="E64" i="23" s="1"/>
  <c r="F124" i="3"/>
  <c r="C124" i="23"/>
  <c r="E124" i="23" s="1"/>
  <c r="F8" i="3"/>
  <c r="C8" i="23"/>
  <c r="E8" i="23" s="1"/>
  <c r="F144" i="3"/>
  <c r="C144" i="23"/>
  <c r="E144" i="23" s="1"/>
  <c r="F62" i="3"/>
  <c r="C62" i="23"/>
  <c r="E62" i="23" s="1"/>
  <c r="F47" i="3"/>
  <c r="C47" i="23"/>
  <c r="E47" i="23" s="1"/>
  <c r="F12" i="3"/>
  <c r="C12" i="23"/>
  <c r="E12" i="23" s="1"/>
  <c r="F123" i="3"/>
  <c r="C123" i="23"/>
  <c r="E123" i="23" s="1"/>
  <c r="F31" i="3"/>
  <c r="C31" i="23"/>
  <c r="E31" i="23" s="1"/>
  <c r="F143" i="3"/>
  <c r="C143" i="23"/>
  <c r="E143" i="23" s="1"/>
  <c r="F37" i="3"/>
  <c r="C37" i="23"/>
  <c r="E37" i="23" s="1"/>
  <c r="F61" i="3"/>
  <c r="C61" i="23"/>
  <c r="E61" i="23" s="1"/>
  <c r="F140" i="3"/>
  <c r="C140" i="23"/>
  <c r="E140" i="23" s="1"/>
  <c r="F7" i="3"/>
  <c r="C7" i="23"/>
  <c r="E7" i="23" s="1"/>
  <c r="F121" i="3"/>
  <c r="C121" i="23"/>
  <c r="E121" i="23" s="1"/>
  <c r="F75" i="3"/>
  <c r="C75" i="23"/>
  <c r="E75" i="23" s="1"/>
  <c r="F148" i="3"/>
  <c r="C148" i="23"/>
  <c r="E148" i="23" s="1"/>
  <c r="F41" i="3"/>
  <c r="C41" i="23"/>
  <c r="E41" i="23" s="1"/>
  <c r="F94" i="3"/>
  <c r="C94" i="23"/>
  <c r="E94" i="23" s="1"/>
  <c r="F43" i="3"/>
  <c r="C43" i="23"/>
  <c r="E43" i="23" s="1"/>
  <c r="F33" i="3"/>
  <c r="C33" i="23"/>
  <c r="E33" i="23" s="1"/>
  <c r="F52" i="3"/>
  <c r="C52" i="23"/>
  <c r="E52" i="23" s="1"/>
  <c r="F67" i="3"/>
  <c r="C67" i="23"/>
  <c r="E67" i="23" s="1"/>
  <c r="F13" i="3"/>
  <c r="C13" i="23"/>
  <c r="E13" i="23" s="1"/>
  <c r="F92" i="3"/>
  <c r="C92" i="23"/>
  <c r="E92" i="23" s="1"/>
  <c r="F19" i="3"/>
  <c r="C19" i="23"/>
  <c r="E19" i="23" s="1"/>
  <c r="F40" i="3"/>
  <c r="C40" i="23"/>
  <c r="E40" i="23" s="1"/>
  <c r="F130" i="3"/>
  <c r="C130" i="23"/>
  <c r="E130" i="23" s="1"/>
  <c r="F147" i="3"/>
  <c r="C147" i="23"/>
  <c r="E147" i="23" s="1"/>
  <c r="F153" i="3"/>
  <c r="C153" i="23"/>
  <c r="E153" i="23" s="1"/>
  <c r="F106" i="3"/>
  <c r="C106" i="23"/>
  <c r="E106" i="23" s="1"/>
  <c r="F156" i="3"/>
  <c r="C156" i="23"/>
  <c r="E156" i="23" s="1"/>
  <c r="F30" i="3"/>
  <c r="C30" i="23"/>
  <c r="E30" i="23" s="1"/>
  <c r="F14" i="3"/>
  <c r="C14" i="23"/>
  <c r="E14" i="23" s="1"/>
  <c r="F142" i="3"/>
  <c r="C142" i="23"/>
  <c r="E142" i="23" s="1"/>
  <c r="F83" i="3"/>
  <c r="L117" i="10"/>
  <c r="D123" i="10"/>
  <c r="D176" i="10" s="1"/>
  <c r="B11" i="17"/>
  <c r="F123" i="10" l="1"/>
  <c r="C176" i="10" s="1"/>
  <c r="F171" i="10" l="1"/>
  <c r="K10" i="10" l="1"/>
  <c r="J10" i="10"/>
  <c r="L10" i="10"/>
  <c r="M10" i="10"/>
  <c r="K19" i="10"/>
  <c r="L19" i="10"/>
  <c r="M19" i="10"/>
  <c r="J19" i="10"/>
  <c r="K23" i="10"/>
  <c r="L23" i="10"/>
  <c r="M23" i="10"/>
  <c r="J23" i="10"/>
  <c r="M4" i="10"/>
  <c r="K4" i="10"/>
  <c r="J4" i="10"/>
  <c r="L4" i="10"/>
  <c r="L31" i="10"/>
  <c r="M31" i="10"/>
  <c r="J31" i="10"/>
  <c r="K31" i="10"/>
  <c r="J28" i="10"/>
  <c r="K28" i="10"/>
  <c r="L28" i="10"/>
  <c r="M28" i="10"/>
  <c r="K14" i="10"/>
  <c r="J14" i="10"/>
  <c r="L14" i="10"/>
  <c r="M14" i="10"/>
  <c r="J24" i="10"/>
  <c r="K24" i="10"/>
  <c r="L24" i="10"/>
  <c r="M24" i="10"/>
  <c r="K25" i="10"/>
  <c r="L25" i="10"/>
  <c r="M25" i="10"/>
  <c r="J25" i="10"/>
  <c r="K15" i="10"/>
  <c r="L15" i="10"/>
  <c r="M15" i="10"/>
  <c r="J15" i="10"/>
  <c r="K21" i="10"/>
  <c r="L21" i="10"/>
  <c r="M21" i="10"/>
  <c r="J21" i="10"/>
  <c r="K3" i="10"/>
  <c r="L3" i="10"/>
  <c r="J3" i="10"/>
  <c r="M3" i="10"/>
  <c r="J9" i="10"/>
  <c r="K9" i="10"/>
  <c r="L9" i="10"/>
  <c r="M9" i="10"/>
  <c r="K22" i="10"/>
  <c r="L22" i="10"/>
  <c r="J22" i="10"/>
  <c r="M22" i="10"/>
  <c r="K20" i="10"/>
  <c r="J20" i="10"/>
  <c r="L20" i="10"/>
  <c r="M20" i="10"/>
  <c r="M7" i="10"/>
  <c r="J7" i="10"/>
  <c r="K7" i="10"/>
  <c r="L7" i="10"/>
  <c r="L27" i="10"/>
  <c r="M27" i="10"/>
  <c r="J27" i="10"/>
  <c r="K27" i="10"/>
  <c r="K5" i="10"/>
  <c r="J5" i="10"/>
  <c r="L5" i="10"/>
  <c r="M5" i="10"/>
  <c r="J16" i="10"/>
  <c r="K16" i="10"/>
  <c r="M16" i="10"/>
  <c r="L16" i="10"/>
  <c r="J12" i="10"/>
  <c r="K12" i="10"/>
  <c r="L12" i="10"/>
  <c r="M12" i="10"/>
  <c r="K26" i="10"/>
  <c r="J26" i="10"/>
  <c r="L26" i="10"/>
  <c r="M26" i="10"/>
  <c r="L8" i="10"/>
  <c r="M8" i="10"/>
  <c r="J8" i="10"/>
  <c r="K8" i="10"/>
  <c r="K17" i="10"/>
  <c r="L17" i="10"/>
  <c r="M17" i="10"/>
  <c r="J17" i="10"/>
  <c r="K13" i="10"/>
  <c r="L13" i="10"/>
  <c r="M13" i="10"/>
  <c r="J13" i="10"/>
  <c r="M6" i="10"/>
  <c r="K6" i="10"/>
  <c r="L6" i="10"/>
  <c r="J6" i="10"/>
  <c r="K11" i="10"/>
  <c r="L11" i="10"/>
  <c r="M11" i="10"/>
  <c r="J11" i="10"/>
  <c r="M2" i="10"/>
  <c r="J2" i="10"/>
  <c r="L2" i="10"/>
  <c r="K2" i="10"/>
  <c r="I32" i="10"/>
  <c r="J18" i="10"/>
  <c r="K18" i="10"/>
  <c r="L18" i="10"/>
  <c r="M18" i="10"/>
  <c r="L29" i="10"/>
  <c r="M29" i="10"/>
  <c r="K29" i="10"/>
  <c r="J29" i="10"/>
  <c r="J30" i="10"/>
  <c r="L30" i="10"/>
  <c r="K30" i="10"/>
  <c r="M30" i="10"/>
  <c r="F180" i="10"/>
  <c r="E32" i="10" l="1"/>
  <c r="F32" i="10"/>
  <c r="C171" i="10" s="1"/>
  <c r="D32" i="10"/>
  <c r="D171" i="10" s="1"/>
  <c r="C190" i="10" s="1"/>
  <c r="G32" i="10"/>
  <c r="B171" i="10"/>
  <c r="E171" i="10"/>
  <c r="G178" i="10"/>
  <c r="G174" i="10"/>
  <c r="G179" i="10"/>
  <c r="G176" i="10"/>
  <c r="G172" i="10"/>
  <c r="G177" i="10"/>
  <c r="G173" i="10"/>
  <c r="G175" i="10"/>
  <c r="G171" i="10"/>
  <c r="G180" i="10" l="1"/>
  <c r="D184" i="10"/>
  <c r="D198" i="10"/>
  <c r="B198" i="10"/>
  <c r="B190" i="10"/>
  <c r="C184" i="10"/>
  <c r="C198" i="10"/>
  <c r="B184" i="10"/>
  <c r="K171" i="10"/>
  <c r="H171" i="10"/>
  <c r="I171" i="10"/>
  <c r="J171" i="10"/>
  <c r="H174" i="10"/>
  <c r="J174" i="10"/>
  <c r="I174" i="10"/>
  <c r="K174" i="10"/>
  <c r="J175" i="10"/>
  <c r="H175" i="10"/>
  <c r="K175" i="10"/>
  <c r="I175" i="10"/>
  <c r="H173" i="10"/>
  <c r="I173" i="10"/>
  <c r="J173" i="10"/>
  <c r="K173" i="10"/>
  <c r="I177" i="10"/>
  <c r="J177" i="10"/>
  <c r="K177" i="10"/>
  <c r="H177" i="10"/>
  <c r="K172" i="10"/>
  <c r="I172" i="10"/>
  <c r="J172" i="10"/>
  <c r="H172" i="10"/>
  <c r="D190" i="10"/>
  <c r="J176" i="10"/>
  <c r="I176" i="10"/>
  <c r="K176" i="10"/>
  <c r="H176" i="10"/>
  <c r="I179" i="10"/>
  <c r="K179" i="10"/>
  <c r="H179" i="10"/>
  <c r="J179" i="10"/>
  <c r="H178" i="10"/>
  <c r="I178" i="10"/>
  <c r="K178" i="10"/>
  <c r="J178" i="10"/>
  <c r="C180" i="10" l="1"/>
  <c r="I180" i="10" s="1"/>
  <c r="E180" i="10"/>
  <c r="D194" i="10" s="1"/>
  <c r="B180" i="10"/>
  <c r="B194" i="10" s="1"/>
  <c r="D180" i="10"/>
  <c r="C194" i="10" s="1"/>
  <c r="J180" i="10" l="1"/>
  <c r="K180" i="10"/>
  <c r="H180"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E5" authorId="0" shapeId="0" xr:uid="{00000000-0006-0000-0200-000001000000}">
      <text>
        <r>
          <rPr>
            <b/>
            <sz val="10"/>
            <color rgb="FF000000"/>
            <rFont val="Calibri"/>
            <family val="2"/>
          </rPr>
          <t>Aswath Damodaran:</t>
        </r>
        <r>
          <rPr>
            <sz val="10"/>
            <color rgb="FF000000"/>
            <rFont val="Calibri"/>
            <family val="2"/>
          </rPr>
          <t xml:space="preserve">
</t>
        </r>
        <r>
          <rPr>
            <sz val="10"/>
            <color rgb="FF000000"/>
            <rFont val="Calibri"/>
            <family val="2"/>
          </rPr>
          <t>See worksheet on relative equity market volatility.</t>
        </r>
      </text>
    </comment>
  </commentList>
</comments>
</file>

<file path=xl/sharedStrings.xml><?xml version="1.0" encoding="utf-8"?>
<sst xmlns="http://schemas.openxmlformats.org/spreadsheetml/2006/main" count="4189" uniqueCount="610">
  <si>
    <t>Romania</t>
  </si>
  <si>
    <t>Russia</t>
  </si>
  <si>
    <t>Saudi Arabia</t>
  </si>
  <si>
    <t>Singapore</t>
  </si>
  <si>
    <t>Albania</t>
  </si>
  <si>
    <t>Belarus</t>
  </si>
  <si>
    <t>Cambodia</t>
  </si>
  <si>
    <t>Bosnia and Herzegovina</t>
  </si>
  <si>
    <t>Montenegro</t>
  </si>
  <si>
    <t>Papua New Guinea</t>
  </si>
  <si>
    <t>St. Vincent &amp; the Grenadines</t>
  </si>
  <si>
    <t>Trinidad and Tobago</t>
  </si>
  <si>
    <t>United States of America</t>
  </si>
  <si>
    <t>Lithuania</t>
  </si>
  <si>
    <t>Malaysia</t>
  </si>
  <si>
    <t>Mauritius</t>
  </si>
  <si>
    <t>Mexico</t>
  </si>
  <si>
    <t>Moldova</t>
  </si>
  <si>
    <t>Morocco</t>
  </si>
  <si>
    <t>Armenia</t>
  </si>
  <si>
    <t>Azerbaijan</t>
  </si>
  <si>
    <t>New Zealand</t>
  </si>
  <si>
    <t>Nicaragua</t>
  </si>
  <si>
    <t>Norway</t>
  </si>
  <si>
    <t>Oman</t>
  </si>
  <si>
    <t>Pakistan</t>
  </si>
  <si>
    <t>Panama</t>
  </si>
  <si>
    <t>Paraguay</t>
  </si>
  <si>
    <t>Peru</t>
  </si>
  <si>
    <t>Philippines</t>
  </si>
  <si>
    <t>Poland</t>
  </si>
  <si>
    <t>El Salvador</t>
  </si>
  <si>
    <t>Macao</t>
  </si>
  <si>
    <t>Suriname</t>
  </si>
  <si>
    <t>Sweden</t>
  </si>
  <si>
    <t>Switzerland</t>
  </si>
  <si>
    <t>Adj. Default Spread</t>
  </si>
  <si>
    <t>Country Risk Premium</t>
  </si>
  <si>
    <t>Has to be sorted in ascending order</t>
  </si>
  <si>
    <t>Rating</t>
  </si>
  <si>
    <t>Default spread in basis points</t>
  </si>
  <si>
    <t>A1</t>
  </si>
  <si>
    <t>A2</t>
  </si>
  <si>
    <t>A3</t>
  </si>
  <si>
    <t>Aa1</t>
  </si>
  <si>
    <t>Aa2</t>
  </si>
  <si>
    <t>Aa3</t>
  </si>
  <si>
    <t>Aaa</t>
  </si>
  <si>
    <t>B1</t>
  </si>
  <si>
    <t>B2</t>
  </si>
  <si>
    <t>Colombia</t>
  </si>
  <si>
    <t>Central and South America</t>
  </si>
  <si>
    <t>Region</t>
  </si>
  <si>
    <t>Australia &amp; New Zealand</t>
  </si>
  <si>
    <t>Caribbean</t>
  </si>
  <si>
    <t>Cayman Islands</t>
  </si>
  <si>
    <t>Costa Rica</t>
  </si>
  <si>
    <t>United Kingdom</t>
  </si>
  <si>
    <t>Caa2</t>
  </si>
  <si>
    <t>Hong Kong</t>
  </si>
  <si>
    <t>United Arab Emirates</t>
  </si>
  <si>
    <t>Slovakia</t>
  </si>
  <si>
    <t>Caa3</t>
  </si>
  <si>
    <t>Mongolia</t>
  </si>
  <si>
    <t>Taiwan</t>
  </si>
  <si>
    <t>Thailand</t>
  </si>
  <si>
    <t>Turkey</t>
  </si>
  <si>
    <t>Turkmenistan</t>
  </si>
  <si>
    <t>Ukraine</t>
  </si>
  <si>
    <t>Uruguay</t>
  </si>
  <si>
    <t>Venezuela</t>
  </si>
  <si>
    <t>Vietnam</t>
  </si>
  <si>
    <t>Enter the current risk premium for a mature equity market</t>
  </si>
  <si>
    <t>Qatar</t>
  </si>
  <si>
    <t>Country</t>
  </si>
  <si>
    <t>South Africa</t>
  </si>
  <si>
    <t>Tunisia</t>
  </si>
  <si>
    <t>B3</t>
  </si>
  <si>
    <t>Ba1</t>
  </si>
  <si>
    <t>Ba2</t>
  </si>
  <si>
    <t>Ba3</t>
  </si>
  <si>
    <t>Baa1</t>
  </si>
  <si>
    <t>Baa2</t>
  </si>
  <si>
    <t>Argentina</t>
  </si>
  <si>
    <t>Australia</t>
  </si>
  <si>
    <t>Bahamas</t>
  </si>
  <si>
    <t>Bahrain</t>
  </si>
  <si>
    <t>Barbados</t>
  </si>
  <si>
    <t>Belize</t>
  </si>
  <si>
    <t>Bermuda</t>
  </si>
  <si>
    <t>Bolivia</t>
  </si>
  <si>
    <t>Brazil</t>
  </si>
  <si>
    <t xml:space="preserve">GOVERNMENT BOND RATINGS </t>
  </si>
  <si>
    <t>Bulgaria</t>
  </si>
  <si>
    <t>Canada</t>
  </si>
  <si>
    <t>Chile</t>
  </si>
  <si>
    <t>China</t>
  </si>
  <si>
    <t>Croatia</t>
  </si>
  <si>
    <t>Cuba</t>
  </si>
  <si>
    <t>Caa1</t>
  </si>
  <si>
    <t>Czech Republic</t>
  </si>
  <si>
    <t>Denmark</t>
  </si>
  <si>
    <t>Dominican Republic</t>
  </si>
  <si>
    <t>Ecuador</t>
  </si>
  <si>
    <t>Egypt</t>
  </si>
  <si>
    <t>Estonia</t>
  </si>
  <si>
    <t>Guatemala</t>
  </si>
  <si>
    <t>Honduras</t>
  </si>
  <si>
    <t>Hungary</t>
  </si>
  <si>
    <t>Iceland</t>
  </si>
  <si>
    <t>India</t>
  </si>
  <si>
    <t>Indonesia</t>
  </si>
  <si>
    <t>Isle of Man</t>
  </si>
  <si>
    <t>Israel</t>
  </si>
  <si>
    <t>Jamaica</t>
  </si>
  <si>
    <t>Japan</t>
  </si>
  <si>
    <t>Jordan</t>
  </si>
  <si>
    <t>Kazakhstan</t>
  </si>
  <si>
    <t>Korea</t>
  </si>
  <si>
    <t>Kuwait</t>
  </si>
  <si>
    <t>Latvia</t>
  </si>
  <si>
    <t>Lebanon</t>
  </si>
  <si>
    <t>Botswana</t>
  </si>
  <si>
    <t>Baa3</t>
  </si>
  <si>
    <t>Eastern Europe &amp; Russia</t>
  </si>
  <si>
    <t>Western Europe</t>
  </si>
  <si>
    <t>Middle East</t>
  </si>
  <si>
    <t>Africa</t>
  </si>
  <si>
    <t>Asia</t>
  </si>
  <si>
    <t>North America</t>
  </si>
  <si>
    <t>Angola</t>
  </si>
  <si>
    <t>Bangladesh</t>
  </si>
  <si>
    <t>Georgia</t>
  </si>
  <si>
    <t>Sri Lanka</t>
  </si>
  <si>
    <t>Senegal</t>
  </si>
  <si>
    <t>Namibia</t>
  </si>
  <si>
    <t>C</t>
  </si>
  <si>
    <t>Spain</t>
  </si>
  <si>
    <t>Rating-based Default Spread</t>
  </si>
  <si>
    <t>Total Equity Risk Premium</t>
  </si>
  <si>
    <t>Do you want to adjust the country default spread for the additional volatility of the equity market to get to a country premium?</t>
  </si>
  <si>
    <t>If yes, enter the multiplier to use on the default spread (See worksheet for volatility numbers for selected emerging markets)</t>
  </si>
  <si>
    <t>NA</t>
  </si>
  <si>
    <t>Italy</t>
  </si>
  <si>
    <t>Macedonia</t>
  </si>
  <si>
    <t>Serbia</t>
  </si>
  <si>
    <t>Average</t>
  </si>
  <si>
    <t>Median</t>
  </si>
  <si>
    <t>Country Risk Premiums</t>
  </si>
  <si>
    <t>To estimate the equity risk premium for a country, I start with a mature market premium and add an additional country risk premium, based upon the risk of the country in question.</t>
  </si>
  <si>
    <t>Step 1: Estimating mature market risk premium</t>
  </si>
  <si>
    <t>To estimate the mature market risk premium, I compute the implied equity risk premium for the S&amp;P 500. To see the latest estimate for this number, go to my website and you can download the excel spreadsheet containing the implied premium</t>
  </si>
  <si>
    <t>http://www.damodaran.com</t>
  </si>
  <si>
    <t>Link to site:</t>
  </si>
  <si>
    <t>Historical monthly ERP:</t>
  </si>
  <si>
    <t>Step 2: Estimate the default spread for the country in question. I offer two choices, one based upon the local currency sovereign rating for the country from Moody's and the other is the CDS spread for the country (if one exists)</t>
  </si>
  <si>
    <t>Moody's ratings:</t>
  </si>
  <si>
    <t>Ratings to spreads:</t>
  </si>
  <si>
    <t>CDS spreads:</t>
  </si>
  <si>
    <t>Bloomberg</t>
  </si>
  <si>
    <t>http://www.moodys.com</t>
  </si>
  <si>
    <t>(You will have to register, but it is free. Look under sovereign ratings)</t>
  </si>
  <si>
    <t>Based upon my estimates of typical spreads for each ratings class. I compute these by averaging CDS spreads and sovereign US$ bond spreads by ratings class, at the start of every year.</t>
  </si>
  <si>
    <t>Step 3: Convert the default spread into a country risk premium</t>
  </si>
  <si>
    <t>Add the mature market premium from step 1 to the country risk premium from step 3 to get a total equity risk premium.</t>
  </si>
  <si>
    <t>If you are interested in a fuller explanation of these concepts, try these references:</t>
  </si>
  <si>
    <t>My paper on equity risk premiums:</t>
  </si>
  <si>
    <t>Watch my lectures on country risk premiums:</t>
  </si>
  <si>
    <t>Row Labels</t>
  </si>
  <si>
    <t>Grand Total</t>
  </si>
  <si>
    <t>Average of Adj. Default Spread</t>
  </si>
  <si>
    <t>Values</t>
  </si>
  <si>
    <t>Average of Country Risk Premium</t>
  </si>
  <si>
    <t>Austria</t>
  </si>
  <si>
    <t>Belgium</t>
  </si>
  <si>
    <t>Cyprus</t>
  </si>
  <si>
    <t>Finland</t>
  </si>
  <si>
    <t>France</t>
  </si>
  <si>
    <t>Germany</t>
  </si>
  <si>
    <t>Greece</t>
  </si>
  <si>
    <t>Ireland</t>
  </si>
  <si>
    <t>Kenya</t>
  </si>
  <si>
    <t>Luxembourg</t>
  </si>
  <si>
    <t>Malta</t>
  </si>
  <si>
    <t>Netherlands</t>
  </si>
  <si>
    <t>Nigeria</t>
  </si>
  <si>
    <t>Portugal</t>
  </si>
  <si>
    <t>Slovenia</t>
  </si>
  <si>
    <t>St. Maarten</t>
  </si>
  <si>
    <t>Zambia</t>
  </si>
  <si>
    <t>US</t>
  </si>
  <si>
    <t>With sovereign ratings default spreads, you have two choices:</t>
  </si>
  <si>
    <t>With CDS spreads, I compute the base number in two steps</t>
  </si>
  <si>
    <t>B+</t>
  </si>
  <si>
    <t>Andorra</t>
  </si>
  <si>
    <t>A-</t>
  </si>
  <si>
    <t>BB-</t>
  </si>
  <si>
    <t>B-</t>
  </si>
  <si>
    <t>Aruba</t>
  </si>
  <si>
    <t>BBB+</t>
  </si>
  <si>
    <t>AAA</t>
  </si>
  <si>
    <t>AA+</t>
  </si>
  <si>
    <t>BBB-</t>
  </si>
  <si>
    <t>BBB</t>
  </si>
  <si>
    <t>AA</t>
  </si>
  <si>
    <t>Benin</t>
  </si>
  <si>
    <t>B</t>
  </si>
  <si>
    <t>AA-</t>
  </si>
  <si>
    <t>Burkina Faso</t>
  </si>
  <si>
    <t>Cameroon</t>
  </si>
  <si>
    <t>Cape Verde</t>
  </si>
  <si>
    <t>Cook Islands</t>
  </si>
  <si>
    <t>BB</t>
  </si>
  <si>
    <t>BB+</t>
  </si>
  <si>
    <t>Curacao</t>
  </si>
  <si>
    <t>CCC+</t>
  </si>
  <si>
    <t>Fiji</t>
  </si>
  <si>
    <t>Gabon</t>
  </si>
  <si>
    <t>Ghana</t>
  </si>
  <si>
    <t>A+</t>
  </si>
  <si>
    <t>Liechtenstein</t>
  </si>
  <si>
    <t>A</t>
  </si>
  <si>
    <t>Montserrat</t>
  </si>
  <si>
    <t>Mozambique</t>
  </si>
  <si>
    <t>Rwanda</t>
  </si>
  <si>
    <t>Uganda</t>
  </si>
  <si>
    <t>In local currency</t>
  </si>
  <si>
    <t>S&amp;P: These are the S&amp;P sovereign local currency ratings</t>
  </si>
  <si>
    <t>Moody's: These are the Moody's local currency rating</t>
  </si>
  <si>
    <t>Moody's equivalent rating for these countries.</t>
  </si>
  <si>
    <t>S&amp;P</t>
  </si>
  <si>
    <t>Moody's</t>
  </si>
  <si>
    <t>CCC</t>
  </si>
  <si>
    <t>CCC-</t>
  </si>
  <si>
    <t>CC+</t>
  </si>
  <si>
    <t>CC</t>
  </si>
  <si>
    <t>Ca2</t>
  </si>
  <si>
    <t>CC-</t>
  </si>
  <si>
    <t>Ca3</t>
  </si>
  <si>
    <t>C+</t>
  </si>
  <si>
    <t>C1</t>
  </si>
  <si>
    <t>C2</t>
  </si>
  <si>
    <t>C-</t>
  </si>
  <si>
    <t>C3</t>
  </si>
  <si>
    <t>Step 4: Compute a total equity risk premium</t>
  </si>
  <si>
    <t>Step 5: Compute regional averages and regional weighted averages</t>
  </si>
  <si>
    <t>For the regional averages, I use a simple average of the total and country risk premiums by region</t>
  </si>
  <si>
    <t xml:space="preserve">For the weighted averages, I use the World Bank GDP estimates from the most recent year. </t>
  </si>
  <si>
    <t>prefer not to scale the default spread.</t>
  </si>
  <si>
    <t>In red: These are countries where S&amp;P has a rating and Moody's does not. The following lookup table is used to estimate the</t>
  </si>
  <si>
    <t>Ca1</t>
  </si>
  <si>
    <t>Source:</t>
  </si>
  <si>
    <t>World Bank</t>
  </si>
  <si>
    <t>To look up the equity risk premium for a country, use this worksheet</t>
  </si>
  <si>
    <t>To look up the equity risk premium for a region, use this worksheet</t>
  </si>
  <si>
    <t>CDS spread</t>
  </si>
  <si>
    <t>Moody's sovereign rating</t>
  </si>
  <si>
    <t>S&amp;P sovereign rating</t>
  </si>
  <si>
    <t>Local currency</t>
  </si>
  <si>
    <t>Country Risk Premium (Rating)</t>
  </si>
  <si>
    <t>Equity Risk Premium (Rating)</t>
  </si>
  <si>
    <t>Country Risk Premium (CDS)</t>
  </si>
  <si>
    <t>Equity Risk Premium (CDS)</t>
  </si>
  <si>
    <t>Country Risk Premium (GDP weighted)</t>
  </si>
  <si>
    <t>Total Equity Risk Premium (GDP weighted)</t>
  </si>
  <si>
    <t>Excess CDS spread (over US CDS)</t>
  </si>
  <si>
    <t>Use the look up table in the next worksheet, to look up the statistics for an individual country or region.</t>
  </si>
  <si>
    <t>S&amp;P Rating</t>
  </si>
  <si>
    <t>Moody's rating</t>
  </si>
  <si>
    <t>Abu Dhabi</t>
  </si>
  <si>
    <t>Republic of the Congo</t>
  </si>
  <si>
    <t>Democratic Republic of Congo</t>
  </si>
  <si>
    <t>Weight</t>
  </si>
  <si>
    <t>NR</t>
  </si>
  <si>
    <t>Weighted Average: CRP</t>
  </si>
  <si>
    <t>Country Risk Premium (simple average))</t>
  </si>
  <si>
    <t>Total Equity Risk Premium (simple average)</t>
  </si>
  <si>
    <t>Weighted Average: Default Spreads</t>
  </si>
  <si>
    <t>Global</t>
  </si>
  <si>
    <t>Côte d'Ivoire</t>
  </si>
  <si>
    <t>Ethiopia</t>
  </si>
  <si>
    <t>Sharjah</t>
  </si>
  <si>
    <t>Andorra (Principality of)</t>
  </si>
  <si>
    <t>Congo (Democratic Republic of)</t>
  </si>
  <si>
    <t>Congo (Republic of)</t>
  </si>
  <si>
    <t>Guernsey (States of)</t>
  </si>
  <si>
    <t>Jersey (States of)</t>
  </si>
  <si>
    <t>Ras Al Khaimah (Emirate of)</t>
  </si>
  <si>
    <t>Turks and Caicos Islands</t>
  </si>
  <si>
    <t>Moody's Rating</t>
  </si>
  <si>
    <t>Year</t>
  </si>
  <si>
    <t>GDP Weight</t>
  </si>
  <si>
    <t>Weight*ERP</t>
  </si>
  <si>
    <t>Weight*CRP</t>
  </si>
  <si>
    <t>Total GDP</t>
  </si>
  <si>
    <t>Weight *ERP</t>
  </si>
  <si>
    <t>Weight*Default Spread</t>
  </si>
  <si>
    <t>CDS Spread adj for US</t>
  </si>
  <si>
    <r>
      <rPr>
        <i/>
        <sz val="12"/>
        <rFont val="Calibri"/>
        <family val="2"/>
      </rPr>
      <t xml:space="preserve">Choice 1: </t>
    </r>
    <r>
      <rPr>
        <sz val="12"/>
        <rFont val="Calibri"/>
        <family val="2"/>
      </rPr>
      <t>Use the default spread as the measure of the additional country risk premium. To make this choice, go into the ERP worksheet and set cell E5 to 1.00.</t>
    </r>
  </si>
  <si>
    <r>
      <rPr>
        <u/>
        <sz val="12"/>
        <rFont val="Calibri"/>
        <family val="2"/>
      </rPr>
      <t>Substep 1:</t>
    </r>
    <r>
      <rPr>
        <sz val="12"/>
        <rFont val="Calibri"/>
        <family val="2"/>
      </rPr>
      <t xml:space="preserve"> Since the base equity premium is computed for the US, and the US has a CDS spread, I subtracted out the US CDS spread from the CDS for other markets.</t>
    </r>
  </si>
  <si>
    <t>Africa &amp; Mid East</t>
  </si>
  <si>
    <t>Latin America &amp; Caribbean</t>
  </si>
  <si>
    <t>Europe</t>
  </si>
  <si>
    <t>Emerging Markets</t>
  </si>
  <si>
    <t>For updating industry average spreadsheets</t>
  </si>
  <si>
    <t>Small Asia (No India, China &amp; Japan)</t>
  </si>
  <si>
    <t>Australia, NZ &amp; Canada</t>
  </si>
  <si>
    <t>ERP</t>
  </si>
  <si>
    <t>Default Spread</t>
  </si>
  <si>
    <t>Tax rate</t>
  </si>
  <si>
    <t>Somalia</t>
  </si>
  <si>
    <t>Syria</t>
  </si>
  <si>
    <t>Guinea</t>
  </si>
  <si>
    <t>Liberia</t>
  </si>
  <si>
    <t>Sudan</t>
  </si>
  <si>
    <t>Zimbabwe</t>
  </si>
  <si>
    <t>Niger</t>
  </si>
  <si>
    <t>Libya</t>
  </si>
  <si>
    <t>Yemen, Republic</t>
  </si>
  <si>
    <t>Togo</t>
  </si>
  <si>
    <t>Mali</t>
  </si>
  <si>
    <t>Haiti</t>
  </si>
  <si>
    <t>Malawi</t>
  </si>
  <si>
    <t>Iran</t>
  </si>
  <si>
    <t>Sierra Leone</t>
  </si>
  <si>
    <t>Guyana</t>
  </si>
  <si>
    <t>Iraq</t>
  </si>
  <si>
    <t>Tanzania</t>
  </si>
  <si>
    <t>Guinea-Bissau</t>
  </si>
  <si>
    <t>Gambia</t>
  </si>
  <si>
    <t>Myanmar</t>
  </si>
  <si>
    <t>Madagascar</t>
  </si>
  <si>
    <t>Algeria</t>
  </si>
  <si>
    <t>Brunei</t>
  </si>
  <si>
    <t>If you cannot find a country on this list, it is because that country does not have a sovereign rating</t>
  </si>
  <si>
    <t>or a sovereign CDS spread. Try the PRS worksheet in this spreadsheet for an alternate estimate.</t>
  </si>
  <si>
    <t>If you cannot find a country on this list, it is because that country does not have a sovereign rating or a sovereign CDS spread. Try the PRS worksheet in this spreadsheet for an alternate estimate.</t>
  </si>
  <si>
    <t>Laos</t>
  </si>
  <si>
    <t>Ca</t>
  </si>
  <si>
    <t>More than</t>
  </si>
  <si>
    <t>Less than</t>
  </si>
  <si>
    <t>PRS Score</t>
  </si>
  <si>
    <t>Final ERP</t>
  </si>
  <si>
    <t>Country Default Spread (based on rating)</t>
  </si>
  <si>
    <t>To construct your own regional ERP, use the data on GDP and ERP for countries in the Regional Weighted Averages Worksheet</t>
  </si>
  <si>
    <t>Kyrgyzstan</t>
  </si>
  <si>
    <t>Kyrgyz Republic</t>
  </si>
  <si>
    <t>Macau</t>
  </si>
  <si>
    <t>United States</t>
  </si>
  <si>
    <t>Tax Rate</t>
  </si>
  <si>
    <t>Corporate Tax Rate</t>
  </si>
  <si>
    <t>Weight * Tax Rate</t>
  </si>
  <si>
    <t>Weight* Tax Rate</t>
  </si>
  <si>
    <t>Index:</t>
  </si>
  <si>
    <t>Period</t>
  </si>
  <si>
    <t>Interval</t>
  </si>
  <si>
    <t>Daily</t>
  </si>
  <si>
    <t xml:space="preserve">Effective date </t>
  </si>
  <si>
    <t>Return</t>
  </si>
  <si>
    <t xml:space="preserve">S&amp;P </t>
  </si>
  <si>
    <t>S&amp;P Emerging BMI Index</t>
  </si>
  <si>
    <t>Cote d'Ivoire</t>
  </si>
  <si>
    <t>Korea, D.P.R.</t>
  </si>
  <si>
    <t>For countries not on the list above, try this frontier market list</t>
  </si>
  <si>
    <t>ERP based on PRS Score</t>
  </si>
  <si>
    <t>Frontier Markets (no sovereign ratings)</t>
  </si>
  <si>
    <t>PRS Composite Risk Score</t>
  </si>
  <si>
    <t>CRP</t>
  </si>
  <si>
    <t>Sovereign CDS, net of US</t>
  </si>
  <si>
    <t>Iran, Islamic Rep.</t>
  </si>
  <si>
    <t>Puerto Rico</t>
  </si>
  <si>
    <t>Uzbekistan</t>
  </si>
  <si>
    <t>Yemen, Rep.</t>
  </si>
  <si>
    <t>Nepal</t>
  </si>
  <si>
    <t>Afghanistan</t>
  </si>
  <si>
    <t>Brunei Darussalam</t>
  </si>
  <si>
    <t>West Bank and Gaza</t>
  </si>
  <si>
    <t>Equatorial Guinea</t>
  </si>
  <si>
    <t>Chad</t>
  </si>
  <si>
    <t>Tajikistan</t>
  </si>
  <si>
    <t>Kosovo</t>
  </si>
  <si>
    <t>Mauritania</t>
  </si>
  <si>
    <t>Swaziland</t>
  </si>
  <si>
    <t>Maldives</t>
  </si>
  <si>
    <t>Burundi</t>
  </si>
  <si>
    <t>Faroe Islands</t>
  </si>
  <si>
    <t>Greenland</t>
  </si>
  <si>
    <t>Lesotho</t>
  </si>
  <si>
    <t>Bhutan</t>
  </si>
  <si>
    <t>Djibouti</t>
  </si>
  <si>
    <t>Central African Republic</t>
  </si>
  <si>
    <t>Timor-Leste</t>
  </si>
  <si>
    <t>Seychelles</t>
  </si>
  <si>
    <t>St. Lucia</t>
  </si>
  <si>
    <t>Antigua and Barbuda</t>
  </si>
  <si>
    <t>Solomon Islands</t>
  </si>
  <si>
    <t>Grenada</t>
  </si>
  <si>
    <t>Gambia, The</t>
  </si>
  <si>
    <t>St. Kitts and Nevis</t>
  </si>
  <si>
    <t>Samoa</t>
  </si>
  <si>
    <t>Vanuatu</t>
  </si>
  <si>
    <t>St. Vincent and the Grenadines</t>
  </si>
  <si>
    <t>Comoros</t>
  </si>
  <si>
    <t>Dominica</t>
  </si>
  <si>
    <t>Tonga</t>
  </si>
  <si>
    <t>Micronesia, Fed. Sts.</t>
  </si>
  <si>
    <t>Palau</t>
  </si>
  <si>
    <t>Marshall Islands</t>
  </si>
  <si>
    <t>Kiribati</t>
  </si>
  <si>
    <t>Tuvalu</t>
  </si>
  <si>
    <t>Bonaire, Saint Eustatius and Saba</t>
  </si>
  <si>
    <t>Gibraltar</t>
  </si>
  <si>
    <t>Guernsey</t>
  </si>
  <si>
    <t>Hong Kong SAR</t>
  </si>
  <si>
    <t>Jersey</t>
  </si>
  <si>
    <t>Korea, Republic of</t>
  </si>
  <si>
    <t>Sint Maarten (Dutch part)</t>
  </si>
  <si>
    <t>St Maarten</t>
  </si>
  <si>
    <t>Yemen</t>
  </si>
  <si>
    <t>Europe average</t>
  </si>
  <si>
    <t>Oceania average</t>
  </si>
  <si>
    <t>North America average</t>
  </si>
  <si>
    <t>Latin America average</t>
  </si>
  <si>
    <t>OECD average</t>
  </si>
  <si>
    <t>Total Equity Risk Premium2</t>
  </si>
  <si>
    <t>Country Risk Premium3</t>
  </si>
  <si>
    <t>CDS % Change</t>
  </si>
  <si>
    <t xml:space="preserve">Ca </t>
  </si>
  <si>
    <t>Below Ca</t>
  </si>
  <si>
    <t>American Samoa</t>
  </si>
  <si>
    <t>Guam</t>
  </si>
  <si>
    <t>Monaco</t>
  </si>
  <si>
    <t>Northern Mariana Islands</t>
  </si>
  <si>
    <t>San Marino</t>
  </si>
  <si>
    <t>Virgin Islands (U.S.)</t>
  </si>
  <si>
    <t>Jersey (Channel Islands)</t>
  </si>
  <si>
    <t>Sint Maarten</t>
  </si>
  <si>
    <t>Dubai</t>
  </si>
  <si>
    <t>CDS Spread net of US</t>
  </si>
  <si>
    <t>Equity Risk Premium</t>
  </si>
  <si>
    <t>Anguilla</t>
  </si>
  <si>
    <t>Congo (Democratic Republic of the)</t>
  </si>
  <si>
    <t>Ivory Coast</t>
  </si>
  <si>
    <t>Palestinian Territory</t>
  </si>
  <si>
    <t>Saint Kitts and Nevis</t>
  </si>
  <si>
    <t>Saint Lucia</t>
  </si>
  <si>
    <t>Saint Vincent and the Grenadines</t>
  </si>
  <si>
    <t>Average of Equity Risk Premium</t>
  </si>
  <si>
    <t>Eswatini</t>
  </si>
  <si>
    <t>Average of Corporate Tax Rate</t>
  </si>
  <si>
    <r>
      <rPr>
        <u/>
        <sz val="12"/>
        <rFont val="Calibri"/>
        <family val="2"/>
      </rPr>
      <t>Substep 2</t>
    </r>
    <r>
      <rPr>
        <sz val="12"/>
        <rFont val="Calibri"/>
        <family val="2"/>
      </rPr>
      <t>: I apply the scaling factor that you chose for the default spreads to this number to get a country risk premium. The default scaling is set at the my most recent year's estimate, but you can change it to 1, if you would</t>
    </r>
  </si>
  <si>
    <t>https://www.youtube.com/watch?v=aIRPvY2SQ94</t>
  </si>
  <si>
    <t>https://www.youtube.com/watch?v=D3IGn6tH03c</t>
  </si>
  <si>
    <t>Guernsey (Channel Islands)</t>
  </si>
  <si>
    <t>Country and Equity Risk Premiums</t>
  </si>
  <si>
    <t>Date of update:</t>
  </si>
  <si>
    <t>My paper on country risk premiums:</t>
  </si>
  <si>
    <t>For simplicity (and since it does not make a big difference), I assume that any country that has a CDS spread lower than the US will have a zero country risk premium and end up with a total equity risk premium equal to the US.</t>
  </si>
  <si>
    <t>North Macedonia</t>
  </si>
  <si>
    <t>Korea, Republic</t>
  </si>
  <si>
    <t>Trinidad &amp; Tobago</t>
  </si>
  <si>
    <t xml:space="preserve">Serbia </t>
  </si>
  <si>
    <t>Sovereign CDS</t>
  </si>
  <si>
    <t>CV(CDS)</t>
  </si>
  <si>
    <t>Date:</t>
  </si>
  <si>
    <t>Updating Sequence</t>
  </si>
  <si>
    <t>1. Relative Risk Worksheet</t>
  </si>
  <si>
    <t>2. Sovereign Ratings</t>
  </si>
  <si>
    <t>3. CDS Worksheet</t>
  </si>
  <si>
    <t>4. Default Spreads</t>
  </si>
  <si>
    <t>5. PRS Worksheet</t>
  </si>
  <si>
    <t>6. Country GDP</t>
  </si>
  <si>
    <t>7. Country tax rates</t>
  </si>
  <si>
    <t>8. Regional Weighted averages</t>
  </si>
  <si>
    <t>eSwatini</t>
  </si>
  <si>
    <t>Weighted Average: ERP</t>
  </si>
  <si>
    <t>Congo</t>
  </si>
  <si>
    <t>S&amp;P Emerging BMI (USD)</t>
  </si>
  <si>
    <t>FC</t>
  </si>
  <si>
    <t>LC</t>
  </si>
  <si>
    <t>Bahamas-Offshore Banks</t>
  </si>
  <si>
    <t>Bahrain-Offshore Banks [1]</t>
  </si>
  <si>
    <t>Cayman Islands-Offshore Banks</t>
  </si>
  <si>
    <t>Democratic Republic of the Congo</t>
  </si>
  <si>
    <t>Hong Kong SAR, China</t>
  </si>
  <si>
    <t>Macao SAR, China</t>
  </si>
  <si>
    <t>Panama-Offshore Banks</t>
  </si>
  <si>
    <t>Taiwan, China</t>
  </si>
  <si>
    <t>Average Tax Rate</t>
  </si>
  <si>
    <t>Bahamas, The</t>
  </si>
  <si>
    <t>Cabo Verde</t>
  </si>
  <si>
    <t>Congo, Dem. Rep.</t>
  </si>
  <si>
    <t>Congo, Rep.</t>
  </si>
  <si>
    <t>Egypt, Arab Rep.</t>
  </si>
  <si>
    <t>Korea, Rep.</t>
  </si>
  <si>
    <t>Lao PDR</t>
  </si>
  <si>
    <t>Nauru</t>
  </si>
  <si>
    <t>Russian Federation</t>
  </si>
  <si>
    <t>Slovak Republic</t>
  </si>
  <si>
    <t>GDP (in billions)</t>
  </si>
  <si>
    <t>New Caledonia</t>
  </si>
  <si>
    <t>French Polynesia</t>
  </si>
  <si>
    <t>-</t>
  </si>
  <si>
    <t>Turkiye</t>
  </si>
  <si>
    <t>Std Dev (BMI)</t>
  </si>
  <si>
    <t>REL VOL</t>
  </si>
  <si>
    <t>Average Relative Volatility</t>
  </si>
  <si>
    <t>https://www.spglobal.com/spdji/en/indices/equity/sp-emerging-bmi/#overview</t>
  </si>
  <si>
    <t>Five years</t>
  </si>
  <si>
    <t>https://pages.stern.nyu.edu/~adamodar/pc/implprem/ERPbymonth.xls</t>
  </si>
  <si>
    <t>https://papers.ssrn.com/sol3/papers.cfm?abstract_id=4398884</t>
  </si>
  <si>
    <t>China, Peoples' Rep.</t>
  </si>
  <si>
    <t>Country Name</t>
  </si>
  <si>
    <t>Channel Islands</t>
  </si>
  <si>
    <t>Czechia</t>
  </si>
  <si>
    <t>Eritrea</t>
  </si>
  <si>
    <t>St. Martin (French part)</t>
  </si>
  <si>
    <t>Korea, Dem. People's Rep.</t>
  </si>
  <si>
    <t>South Sudan</t>
  </si>
  <si>
    <t>Sao Tome and Principe</t>
  </si>
  <si>
    <t>Syrian Arab Republic</t>
  </si>
  <si>
    <t>Venezuela, RB</t>
  </si>
  <si>
    <t>British Virgin Islands</t>
  </si>
  <si>
    <t>GDP (in millions) in 2022</t>
  </si>
  <si>
    <t>Date</t>
  </si>
  <si>
    <t>iShares JP Morgan USD Emerging Markets Bond ETF</t>
  </si>
  <si>
    <t>https://finance.yahoo.com/quote/EMB/</t>
  </si>
  <si>
    <t>Yahoo!</t>
  </si>
  <si>
    <t>Std Dev (JPM Sov Bond)</t>
  </si>
  <si>
    <r>
      <rPr>
        <i/>
        <sz val="12"/>
        <rFont val="Calibri"/>
        <family val="2"/>
      </rPr>
      <t xml:space="preserve">Choice 2: </t>
    </r>
    <r>
      <rPr>
        <sz val="12"/>
        <rFont val="Calibri"/>
        <family val="2"/>
      </rPr>
      <t>Scale the default spread up to reflect the higher risk of equity in the market, relative to the default spread. I used the ratio of the S&amp;P Emerging Market Equity Index std deviation to the iShares Emerging Market Bond Index standard deviation</t>
    </r>
  </si>
  <si>
    <t>Relative Equity Market Volatility</t>
  </si>
  <si>
    <t>Mature Marlet Premium</t>
  </si>
  <si>
    <t>Sovereign Ratings</t>
  </si>
  <si>
    <t>Default Spreads</t>
  </si>
  <si>
    <t>Update Notes</t>
  </si>
  <si>
    <r>
      <t xml:space="preserve">The default spreads have dropped as some of the market fears from the start of 2023 have subsdied. The change in default spredas is computed by looking at percentage changes in sovereign CDS spreads over the period&gt;. (See </t>
    </r>
    <r>
      <rPr>
        <b/>
        <sz val="12"/>
        <rFont val="Geneva"/>
        <family val="2"/>
      </rPr>
      <t>Default Spreads for Ratings</t>
    </r>
    <r>
      <rPr>
        <sz val="12"/>
        <rFont val="Geneva"/>
        <family val="2"/>
        <charset val="1"/>
      </rPr>
      <t xml:space="preserve"> worksheet)</t>
    </r>
  </si>
  <si>
    <r>
      <t xml:space="preserve">The ratings (Moody's and S&amp;P)  have been updated to reflect the most recent ratings. (See </t>
    </r>
    <r>
      <rPr>
        <b/>
        <sz val="12"/>
        <rFont val="Geneva"/>
        <family val="2"/>
      </rPr>
      <t>Ratings Worksheet</t>
    </r>
    <r>
      <rPr>
        <sz val="12"/>
        <rFont val="Geneva"/>
        <family val="2"/>
        <charset val="1"/>
      </rPr>
      <t>)</t>
    </r>
  </si>
  <si>
    <t>The biggest change in this update is in this measure. For the last few years, I have used the coefficient of variation in emerging market bond yields and the standard deviation of returns in emerging market equities. In this iteration, I have replaced the former with an emerging market sovereign bond ETF returns, thus creating more consistency in the calcuatlions. Whiel this change does not create a substantive shift in the numbers in this iteration, I think it is a more solid basis for computing this value in future ones.</t>
  </si>
  <si>
    <t>Bottom Line</t>
  </si>
  <si>
    <t>The combination of a lower base mature market premium and lower sovereign default spreads has led to lower equity risk premiums across the board, a climb down from historically high numbers at the start of the year.</t>
  </si>
  <si>
    <t>https://data.worldbank.org/indicator/NY.GDP.MKTP.CD</t>
  </si>
  <si>
    <t>EMEA</t>
  </si>
  <si>
    <t>For other regional groupings</t>
  </si>
  <si>
    <t>Adj Close</t>
  </si>
  <si>
    <t>Africa average</t>
  </si>
  <si>
    <t>Viet Nam</t>
  </si>
  <si>
    <t>https://papers.ssrn.com/sol3/papers.cfm?abstract_id=4509578</t>
  </si>
  <si>
    <t>WR</t>
  </si>
  <si>
    <t>Venezuela [2]</t>
  </si>
  <si>
    <t>Sovereign</t>
  </si>
  <si>
    <t>LT FC rating</t>
  </si>
  <si>
    <t>SD</t>
  </si>
  <si>
    <t>CDS Spread (7/1/24)</t>
  </si>
  <si>
    <t>GDP (in millions) in 2023</t>
  </si>
  <si>
    <t>GDP in 2023</t>
  </si>
  <si>
    <r>
      <t>The implied equity risk premium for the S&amp;P 500, which is my base premium dropped to 5% in this update. You can review the calcualtion in this spreadsheet. (</t>
    </r>
    <r>
      <rPr>
        <b/>
        <sz val="12"/>
        <rFont val="Helvetica"/>
        <family val="2"/>
      </rPr>
      <t>https://pages.stern.nyu.edu/~adamodar/pc/implprem/ERPJuly24.xlsx</t>
    </r>
    <r>
      <rPr>
        <sz val="12"/>
        <rFont val="Helvetica"/>
        <family val="2"/>
      </rPr>
      <t>)</t>
    </r>
  </si>
  <si>
    <t>Congo, Dem. Republic</t>
  </si>
  <si>
    <t>Congo, Republic</t>
  </si>
  <si>
    <t>Implied ERP for S&amp;P 500</t>
  </si>
  <si>
    <t>See "Relative Equity Volatilty" worksheet</t>
  </si>
  <si>
    <r>
      <rPr>
        <i/>
        <sz val="12"/>
        <color rgb="FF000000"/>
        <rFont val="Symbol"/>
        <family val="1"/>
        <charset val="2"/>
      </rPr>
      <t>s</t>
    </r>
    <r>
      <rPr>
        <i/>
        <vertAlign val="subscript"/>
        <sz val="12"/>
        <color rgb="FF000000"/>
        <rFont val="Times New Roman"/>
        <family val="1"/>
      </rPr>
      <t>Equity</t>
    </r>
  </si>
  <si>
    <r>
      <rPr>
        <i/>
        <sz val="12"/>
        <color rgb="FF000000"/>
        <rFont val="Symbol"/>
        <family val="1"/>
        <charset val="2"/>
      </rPr>
      <t>s</t>
    </r>
    <r>
      <rPr>
        <i/>
        <vertAlign val="subscript"/>
        <sz val="12"/>
        <color rgb="FF000000"/>
        <rFont val="Times New Roman"/>
        <family val="1"/>
      </rPr>
      <t>Bond</t>
    </r>
  </si>
  <si>
    <r>
      <rPr>
        <i/>
        <sz val="12"/>
        <color rgb="FF000000"/>
        <rFont val="Symbol"/>
        <family val="1"/>
        <charset val="2"/>
      </rPr>
      <t>s</t>
    </r>
    <r>
      <rPr>
        <i/>
        <vertAlign val="subscript"/>
        <sz val="12"/>
        <color rgb="FF000000"/>
        <rFont val="Times New Roman"/>
        <family val="1"/>
      </rPr>
      <t xml:space="preserve">Equity/ </t>
    </r>
    <r>
      <rPr>
        <i/>
        <sz val="12"/>
        <color rgb="FF000000"/>
        <rFont val="Symbol"/>
        <family val="1"/>
        <charset val="2"/>
      </rPr>
      <t>s</t>
    </r>
    <r>
      <rPr>
        <i/>
        <vertAlign val="subscript"/>
        <sz val="12"/>
        <color rgb="FF000000"/>
        <rFont val="Times New Roman"/>
        <family val="1"/>
      </rPr>
      <t>Bond</t>
    </r>
  </si>
  <si>
    <r>
      <rPr>
        <i/>
        <sz val="12"/>
        <color rgb="FF000000"/>
        <rFont val="Symbol"/>
        <family val="1"/>
        <charset val="2"/>
      </rPr>
      <t xml:space="preserve">s </t>
    </r>
    <r>
      <rPr>
        <i/>
        <sz val="12"/>
        <color rgb="FF000000"/>
        <rFont val="Times New Roman"/>
        <family val="1"/>
      </rPr>
      <t>(CDS)</t>
    </r>
  </si>
  <si>
    <t xml:space="preserve">CDS </t>
  </si>
  <si>
    <r>
      <rPr>
        <i/>
        <sz val="12"/>
        <color rgb="FF000000"/>
        <rFont val="Symbol"/>
        <family val="1"/>
        <charset val="2"/>
      </rPr>
      <t>s</t>
    </r>
    <r>
      <rPr>
        <i/>
        <vertAlign val="subscript"/>
        <sz val="12"/>
        <color rgb="FF000000"/>
        <rFont val="Times New Roman"/>
        <family val="1"/>
      </rPr>
      <t xml:space="preserve">Equity/ </t>
    </r>
    <r>
      <rPr>
        <i/>
        <sz val="12"/>
        <color rgb="FF000000"/>
        <rFont val="Symbol"/>
        <family val="1"/>
        <charset val="2"/>
      </rPr>
      <t>s</t>
    </r>
    <r>
      <rPr>
        <i/>
        <vertAlign val="subscript"/>
        <sz val="12"/>
        <color rgb="FF000000"/>
        <rFont val="Times New Roman"/>
        <family val="1"/>
      </rPr>
      <t>CDS</t>
    </r>
  </si>
  <si>
    <t>High</t>
  </si>
  <si>
    <t>Low</t>
  </si>
  <si>
    <t>Just Risky markets</t>
  </si>
  <si>
    <t>Looked up for 2023</t>
  </si>
  <si>
    <t>Moody's Rating (unadj)</t>
  </si>
  <si>
    <t>A- </t>
  </si>
  <si>
    <t>BBB </t>
  </si>
  <si>
    <t>AA+ </t>
  </si>
  <si>
    <t>B </t>
  </si>
  <si>
    <t>BB- </t>
  </si>
  <si>
    <t>CCC+ </t>
  </si>
  <si>
    <t>N/A</t>
  </si>
  <si>
    <t>Cayman Islands </t>
  </si>
  <si>
    <t>BB+ </t>
  </si>
  <si>
    <t>B- </t>
  </si>
  <si>
    <t>European Union</t>
  </si>
  <si>
    <t>BBB- </t>
  </si>
  <si>
    <t>SD </t>
  </si>
  <si>
    <t>BB </t>
  </si>
  <si>
    <t>AA </t>
  </si>
  <si>
    <t>A </t>
  </si>
  <si>
    <t>D</t>
  </si>
  <si>
    <t>B+ </t>
  </si>
  <si>
    <t>BBB+ </t>
  </si>
  <si>
    <t>D </t>
  </si>
  <si>
    <t>AA- </t>
  </si>
  <si>
    <t>South Korea</t>
  </si>
  <si>
    <t>St Vincent and the Grenadines</t>
  </si>
  <si>
    <t>FITCH</t>
  </si>
  <si>
    <t>Fitch</t>
  </si>
  <si>
    <t>People's Republic of China</t>
  </si>
  <si>
    <t>North Korea</t>
  </si>
  <si>
    <t>Federated States of Micronesia</t>
  </si>
  <si>
    <t>Holy See</t>
  </si>
  <si>
    <r>
      <rPr>
        <b/>
        <sz val="10"/>
        <rFont val="Helvetica"/>
        <family val="2"/>
      </rPr>
      <t>Estimation note</t>
    </r>
    <r>
      <rPr>
        <sz val="10"/>
        <rFont val="Helvetica"/>
        <family val="2"/>
      </rPr>
      <t>: Those of you who have followed my attempts to estimate the relative equity market volatility know that I have struggled with getting a proxy for returns on emerging market sovereign bonds, and have used the coefficient of varation in yields to make that estimate. I have finally replaced that estimate with a return on an emerging market government bond ETF from iShares. The standard deviations are now computed consistently for emerigng equities and emerigng government bonds. (Using the old yield coefficient of variation approach would have yielded a ratio of 1.49 in this computation.)</t>
    </r>
  </si>
  <si>
    <t>(Jan 1, 2020 - Dec 31, 2024)</t>
  </si>
  <si>
    <t>S&amp;P/Fitch</t>
  </si>
  <si>
    <t>Fitch rating</t>
  </si>
  <si>
    <t>Updated Default Spread (1/1/25)</t>
  </si>
  <si>
    <t>PRS Score in Jan 2025</t>
  </si>
  <si>
    <t xml:space="preserve"> Default Spread (7/1/24)</t>
  </si>
  <si>
    <t>Updated Default Spread (12/31/24)</t>
  </si>
  <si>
    <t>Eastern Europe</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</si>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</sst>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00_);_(* \(#,##0.00\);_(* &quot;-&quot;??_);_(@_)"/>
    <numFmt numFmtId="165" formatCode="[$-409]mmmm\ d\,\ yyyy;@"/>
    <numFmt numFmtId="166" formatCode="0.0"/>
    <numFmt numFmtId="167" formatCode="0.000"/>
    <numFmt numFmtId="168" formatCode="[$-409]d\-mmm\-yy;@"/>
    <numFmt numFmtId="169" formatCode="0.000%"/>
    <numFmt numFmtId="170" formatCode="&quot;$&quot;#,##0"/>
    <numFmt numFmtId="171" formatCode="&quot;$&quot;#,##0.00"/>
  </numFmts>
  <fonts count="80">
    <font>
      <sz val="9"/>
      <name val="Geneva"/>
      <family val="2"/>
      <charset val="1"/>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i/>
      <sz val="9"/>
      <name val="Geneva"/>
      <family val="2"/>
      <charset val="1"/>
    </font>
    <font>
      <b/>
      <i/>
      <sz val="9"/>
      <name val="Geneva"/>
      <family val="2"/>
      <charset val="1"/>
    </font>
    <font>
      <sz val="9"/>
      <name val="Geneva"/>
      <family val="2"/>
      <charset val="1"/>
    </font>
    <font>
      <b/>
      <sz val="12"/>
      <name val="Times"/>
      <family val="1"/>
    </font>
    <font>
      <sz val="12"/>
      <name val="Times"/>
      <family val="1"/>
    </font>
    <font>
      <u/>
      <sz val="9"/>
      <color indexed="12"/>
      <name val="Geneva"/>
      <family val="2"/>
      <charset val="1"/>
    </font>
    <font>
      <sz val="8"/>
      <name val="Geneva"/>
      <family val="2"/>
      <charset val="1"/>
    </font>
    <font>
      <b/>
      <i/>
      <sz val="12"/>
      <name val="Times"/>
      <family val="1"/>
    </font>
    <font>
      <sz val="8"/>
      <name val="Verdana"/>
      <family val="2"/>
    </font>
    <font>
      <sz val="10"/>
      <name val="Arial"/>
      <family val="2"/>
    </font>
    <font>
      <b/>
      <sz val="8"/>
      <name val="Times New Roman"/>
      <family val="1"/>
    </font>
    <font>
      <u/>
      <sz val="8"/>
      <name val="Times New Roman"/>
      <family val="1"/>
    </font>
    <font>
      <sz val="9"/>
      <name val="Geneva"/>
      <family val="2"/>
      <charset val="1"/>
    </font>
    <font>
      <sz val="12"/>
      <name val="Geneva"/>
      <family val="2"/>
      <charset val="1"/>
    </font>
    <font>
      <sz val="12"/>
      <name val="Times New Roman"/>
      <family val="1"/>
    </font>
    <font>
      <sz val="12"/>
      <name val="Calibri"/>
      <family val="2"/>
    </font>
    <font>
      <sz val="10"/>
      <name val="Geneva"/>
      <family val="2"/>
      <charset val="1"/>
    </font>
    <font>
      <b/>
      <sz val="12"/>
      <name val="Calibri"/>
      <family val="2"/>
    </font>
    <font>
      <i/>
      <sz val="12"/>
      <name val="Times"/>
      <family val="1"/>
    </font>
    <font>
      <i/>
      <sz val="12"/>
      <name val="Calibri"/>
      <family val="2"/>
    </font>
    <font>
      <u/>
      <sz val="12"/>
      <name val="Calibri"/>
      <family val="2"/>
    </font>
    <font>
      <sz val="10"/>
      <name val="Times New Roman"/>
      <family val="1"/>
    </font>
    <font>
      <i/>
      <sz val="12"/>
      <name val="Geneva"/>
      <family val="2"/>
      <charset val="1"/>
    </font>
    <font>
      <sz val="10"/>
      <name val="Geogrotesque Rg"/>
    </font>
    <font>
      <b/>
      <sz val="14"/>
      <name val="Geneva"/>
      <family val="2"/>
      <charset val="1"/>
    </font>
    <font>
      <b/>
      <sz val="11"/>
      <color indexed="9"/>
      <name val="Calibri"/>
      <family val="2"/>
    </font>
    <font>
      <sz val="12"/>
      <name val="Calibri"/>
      <family val="2"/>
    </font>
    <font>
      <b/>
      <sz val="9"/>
      <name val="Geneva"/>
      <family val="2"/>
      <charset val="1"/>
    </font>
    <font>
      <sz val="14"/>
      <name val="Geneva"/>
      <family val="2"/>
      <charset val="1"/>
    </font>
    <font>
      <sz val="12"/>
      <name val="Calibri"/>
      <family val="2"/>
      <scheme val="minor"/>
    </font>
    <font>
      <i/>
      <sz val="12"/>
      <color rgb="FF000000"/>
      <name val="Calibri"/>
      <family val="2"/>
      <scheme val="minor"/>
    </font>
    <font>
      <i/>
      <sz val="12"/>
      <color theme="1"/>
      <name val="Calibri"/>
      <family val="2"/>
      <scheme val="minor"/>
    </font>
    <font>
      <sz val="12"/>
      <color rgb="FF000000"/>
      <name val="Calibri"/>
      <family val="2"/>
      <scheme val="minor"/>
    </font>
    <font>
      <b/>
      <sz val="12"/>
      <name val="Calibri"/>
      <family val="2"/>
      <scheme val="minor"/>
    </font>
    <font>
      <sz val="9"/>
      <color rgb="FFFF0000"/>
      <name val="Geneva"/>
      <family val="2"/>
      <charset val="1"/>
    </font>
    <font>
      <b/>
      <sz val="14"/>
      <name val="Calibri"/>
      <family val="2"/>
      <scheme val="minor"/>
    </font>
    <font>
      <i/>
      <sz val="12"/>
      <name val="Calibri"/>
      <family val="2"/>
      <scheme val="minor"/>
    </font>
    <font>
      <b/>
      <i/>
      <sz val="12"/>
      <name val="Calibri"/>
      <family val="2"/>
      <scheme val="minor"/>
    </font>
    <font>
      <u/>
      <sz val="12"/>
      <color indexed="12"/>
      <name val="Calibri"/>
      <family val="2"/>
      <scheme val="minor"/>
    </font>
    <font>
      <sz val="10"/>
      <color rgb="FFFF0000"/>
      <name val="Geneva"/>
      <family val="2"/>
      <charset val="1"/>
    </font>
    <font>
      <sz val="12"/>
      <color theme="1"/>
      <name val="Calibri"/>
      <family val="2"/>
      <scheme val="minor"/>
    </font>
    <font>
      <sz val="10"/>
      <color theme="1"/>
      <name val="Arial"/>
      <family val="2"/>
    </font>
    <font>
      <b/>
      <sz val="12"/>
      <color theme="1"/>
      <name val="Calibri"/>
      <family val="2"/>
      <scheme val="minor"/>
    </font>
    <font>
      <sz val="9"/>
      <color theme="1"/>
      <name val="Geneva"/>
      <family val="2"/>
      <charset val="1"/>
    </font>
    <font>
      <sz val="12"/>
      <color rgb="FF00B050"/>
      <name val="Calibri"/>
      <family val="2"/>
      <scheme val="minor"/>
    </font>
    <font>
      <sz val="10"/>
      <color rgb="FFFF0000"/>
      <name val="Arial"/>
      <family val="2"/>
    </font>
    <font>
      <sz val="12"/>
      <color rgb="FFFF0000"/>
      <name val="Calibri"/>
      <family val="2"/>
      <scheme val="minor"/>
    </font>
    <font>
      <i/>
      <sz val="12"/>
      <color rgb="FF000000"/>
      <name val="Symbol"/>
      <family val="1"/>
      <charset val="2"/>
    </font>
    <font>
      <sz val="15"/>
      <color rgb="FF8B0000"/>
      <name val="Helvetica Neue"/>
      <family val="2"/>
    </font>
    <font>
      <sz val="15"/>
      <color rgb="FF006400"/>
      <name val="Helvetica Neue"/>
      <family val="2"/>
    </font>
    <font>
      <sz val="10"/>
      <color rgb="FF00263A"/>
      <name val="Arial"/>
      <family val="2"/>
    </font>
    <font>
      <b/>
      <sz val="10"/>
      <color rgb="FF000000"/>
      <name val="Calibri"/>
      <family val="2"/>
    </font>
    <font>
      <sz val="10"/>
      <color rgb="FF000000"/>
      <name val="Calibri"/>
      <family val="2"/>
    </font>
    <font>
      <b/>
      <sz val="10"/>
      <name val="Helvetica"/>
      <family val="2"/>
    </font>
    <font>
      <sz val="10"/>
      <name val="Helvetica"/>
      <family val="2"/>
    </font>
    <font>
      <sz val="10"/>
      <color rgb="FF232A31"/>
      <name val="Helvetica Neue"/>
      <family val="2"/>
    </font>
    <font>
      <sz val="12"/>
      <name val="Helvetica"/>
      <family val="2"/>
    </font>
    <font>
      <i/>
      <sz val="12"/>
      <name val="Helvetica"/>
      <family val="2"/>
    </font>
    <font>
      <b/>
      <sz val="12"/>
      <name val="Geneva"/>
      <family val="2"/>
    </font>
    <font>
      <b/>
      <sz val="12"/>
      <name val="Helvetica"/>
      <family val="2"/>
    </font>
    <font>
      <b/>
      <sz val="12"/>
      <color rgb="FF0A0A0A"/>
      <name val="Arial"/>
      <family val="2"/>
    </font>
    <font>
      <i/>
      <sz val="12"/>
      <color rgb="FF000000"/>
      <name val="Times New Roman"/>
      <family val="1"/>
    </font>
    <font>
      <i/>
      <sz val="12"/>
      <color rgb="FF000000"/>
      <name val="Times New Roman"/>
      <family val="1"/>
      <charset val="2"/>
    </font>
    <font>
      <i/>
      <vertAlign val="subscript"/>
      <sz val="12"/>
      <color rgb="FF000000"/>
      <name val="Times New Roman"/>
      <family val="1"/>
    </font>
    <font>
      <sz val="12"/>
      <color rgb="FF000000"/>
      <name val="Times New Roman"/>
      <family val="1"/>
    </font>
    <font>
      <b/>
      <sz val="12"/>
      <color rgb="FF000000"/>
      <name val="Times New Roman"/>
      <family val="1"/>
    </font>
    <font>
      <sz val="12"/>
      <color theme="1"/>
      <name val="Times New Roman"/>
      <family val="1"/>
    </font>
    <font>
      <b/>
      <sz val="12"/>
      <color theme="1"/>
      <name val="Times New Roman"/>
      <family val="1"/>
    </font>
    <font>
      <sz val="10"/>
      <color rgb="FF000000"/>
      <name val="Helvetica"/>
      <family val="2"/>
    </font>
    <font>
      <b/>
      <sz val="10"/>
      <name val="Geneva"/>
      <family val="2"/>
    </font>
    <font>
      <sz val="15"/>
      <color rgb="FF212529"/>
      <name val="Helvetica Neue"/>
      <family val="2"/>
    </font>
    <font>
      <b/>
      <sz val="14"/>
      <color rgb="FF333333"/>
      <name val="Arial"/>
      <family val="2"/>
    </font>
    <font>
      <sz val="11"/>
      <color rgb="FF000000"/>
      <name val="Arial"/>
      <family val="2"/>
    </font>
    <font>
      <sz val="10.8"/>
      <color rgb="FF000000"/>
      <name val="Arial"/>
      <family val="2"/>
    </font>
    <font>
      <sz val="14"/>
      <color rgb="FF232A31"/>
      <name val="Helvetica Neue"/>
      <family val="2"/>
    </font>
  </fonts>
  <fills count="1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4F81BD"/>
        <bgColor indexed="64"/>
      </patternFill>
    </fill>
    <fill>
      <patternFill patternType="solid">
        <fgColor theme="0"/>
        <bgColor indexed="64"/>
      </patternFill>
    </fill>
    <fill>
      <patternFill patternType="solid">
        <fgColor rgb="FFFFFF00"/>
        <bgColor indexed="64"/>
      </patternFill>
    </fill>
    <fill>
      <patternFill patternType="solid">
        <fgColor rgb="FFCCFFCC"/>
        <bgColor indexed="64"/>
      </patternFill>
    </fill>
    <fill>
      <patternFill patternType="solid">
        <fgColor rgb="FFFFFFFF"/>
        <bgColor rgb="FF000000"/>
      </patternFill>
    </fill>
    <fill>
      <patternFill patternType="solid">
        <fgColor theme="0" tint="-0.14999847407452621"/>
        <bgColor indexed="64"/>
      </patternFill>
    </fill>
    <fill>
      <patternFill patternType="solid">
        <fgColor theme="6" tint="-0.249977111117893"/>
        <bgColor theme="6" tint="-0.249977111117893"/>
      </patternFill>
    </fill>
    <fill>
      <patternFill patternType="solid">
        <fgColor theme="6" tint="0.39997558519241921"/>
        <bgColor theme="6" tint="0.39997558519241921"/>
      </patternFill>
    </fill>
    <fill>
      <patternFill patternType="solid">
        <fgColor theme="2"/>
        <bgColor indexed="64"/>
      </patternFill>
    </fill>
    <fill>
      <patternFill patternType="solid">
        <fgColor theme="0" tint="-0.249977111117893"/>
        <bgColor indexed="64"/>
      </patternFill>
    </fill>
    <fill>
      <patternFill patternType="solid">
        <fgColor theme="0" tint="-0.14999847407452621"/>
        <bgColor theme="0" tint="-0.14999847407452621"/>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thin">
        <color theme="6" tint="-0.249977111117893"/>
      </top>
      <bottom style="thin">
        <color theme="6" tint="0.79998168889431442"/>
      </bottom>
      <diagonal/>
    </border>
    <border>
      <left/>
      <right/>
      <top style="thin">
        <color theme="6" tint="-0.249977111117893"/>
      </top>
      <bottom style="thin">
        <color theme="6" tint="0.59999389629810485"/>
      </bottom>
      <diagonal/>
    </border>
    <border>
      <left/>
      <right/>
      <top style="thin">
        <color theme="6" tint="0.79998168889431442"/>
      </top>
      <bottom style="thin">
        <color theme="6" tint="0.79998168889431442"/>
      </bottom>
      <diagonal/>
    </border>
    <border>
      <left style="thin">
        <color indexed="64"/>
      </left>
      <right style="thin">
        <color indexed="64"/>
      </right>
      <top/>
      <bottom/>
      <diagonal/>
    </border>
    <border>
      <left style="thin">
        <color theme="1"/>
      </left>
      <right style="thin">
        <color theme="1"/>
      </right>
      <top style="thin">
        <color theme="1"/>
      </top>
      <bottom style="thin">
        <color theme="1"/>
      </bottom>
      <diagonal/>
    </border>
  </borders>
  <cellStyleXfs count="8">
    <xf numFmtId="0" fontId="0" fillId="0" borderId="0"/>
    <xf numFmtId="0" fontId="30" fillId="4" borderId="0"/>
    <xf numFmtId="164" fontId="14" fillId="0" borderId="0" applyFont="0" applyFill="0" applyBorder="0" applyAlignment="0" applyProtection="0"/>
    <xf numFmtId="0" fontId="10" fillId="0" borderId="0" applyNumberFormat="0" applyFill="0" applyBorder="0" applyAlignment="0" applyProtection="0">
      <alignment vertical="top"/>
      <protection locked="0"/>
    </xf>
    <xf numFmtId="0" fontId="14" fillId="0" borderId="0"/>
    <xf numFmtId="0" fontId="14" fillId="0" borderId="0"/>
    <xf numFmtId="0" fontId="14" fillId="0" borderId="0"/>
    <xf numFmtId="9" fontId="7" fillId="0" borderId="0" applyFont="0" applyFill="0" applyBorder="0" applyAlignment="0" applyProtection="0"/>
  </cellStyleXfs>
  <cellXfs count="272">
    <xf numFmtId="0" fontId="0" fillId="0" borderId="0" xfId="0"/>
    <xf numFmtId="0" fontId="5" fillId="0" borderId="0" xfId="0" applyFont="1"/>
    <xf numFmtId="0" fontId="6" fillId="0" borderId="0" xfId="0" applyFont="1"/>
    <xf numFmtId="0" fontId="8" fillId="0" borderId="0" xfId="0" applyFont="1" applyAlignment="1">
      <alignment horizontal="center"/>
    </xf>
    <xf numFmtId="0" fontId="0" fillId="0" borderId="1" xfId="0" applyBorder="1" applyAlignment="1">
      <alignment horizontal="center"/>
    </xf>
    <xf numFmtId="0" fontId="9" fillId="0" borderId="0" xfId="0" applyFont="1" applyAlignment="1">
      <alignment horizontal="left"/>
    </xf>
    <xf numFmtId="0" fontId="8" fillId="0" borderId="0" xfId="0" applyFont="1" applyAlignment="1">
      <alignment horizontal="centerContinuous"/>
    </xf>
    <xf numFmtId="0" fontId="12" fillId="0" borderId="1" xfId="0" applyFont="1" applyBorder="1"/>
    <xf numFmtId="0" fontId="9" fillId="0" borderId="1" xfId="0" applyFont="1" applyBorder="1"/>
    <xf numFmtId="0" fontId="9" fillId="0" borderId="1" xfId="0" applyFont="1" applyBorder="1" applyAlignment="1">
      <alignment horizontal="center"/>
    </xf>
    <xf numFmtId="10" fontId="9" fillId="0" borderId="1" xfId="7" applyNumberFormat="1" applyFont="1" applyBorder="1"/>
    <xf numFmtId="10" fontId="9" fillId="0" borderId="1" xfId="0" applyNumberFormat="1" applyFont="1" applyBorder="1" applyAlignment="1">
      <alignment horizontal="center"/>
    </xf>
    <xf numFmtId="10" fontId="0" fillId="2" borderId="1" xfId="0" applyNumberFormat="1" applyFill="1" applyBorder="1" applyAlignment="1">
      <alignment horizontal="center"/>
    </xf>
    <xf numFmtId="0" fontId="0" fillId="2" borderId="1" xfId="0" applyFill="1" applyBorder="1" applyAlignment="1">
      <alignment horizontal="center"/>
    </xf>
    <xf numFmtId="10" fontId="9" fillId="0" borderId="2" xfId="0" applyNumberFormat="1" applyFont="1" applyBorder="1" applyAlignment="1">
      <alignment horizontal="center"/>
    </xf>
    <xf numFmtId="0" fontId="0" fillId="0" borderId="1" xfId="0" applyBorder="1"/>
    <xf numFmtId="0" fontId="17" fillId="0" borderId="0" xfId="0" applyFont="1"/>
    <xf numFmtId="0" fontId="5" fillId="0" borderId="1" xfId="0" applyFont="1" applyBorder="1" applyAlignment="1">
      <alignment horizontal="center"/>
    </xf>
    <xf numFmtId="0" fontId="0" fillId="5" borderId="0" xfId="0" applyFill="1" applyAlignment="1">
      <alignment horizontal="center"/>
    </xf>
    <xf numFmtId="0" fontId="0" fillId="0" borderId="0" xfId="0" applyAlignment="1">
      <alignment horizontal="left"/>
    </xf>
    <xf numFmtId="0" fontId="18" fillId="0" borderId="0" xfId="0" applyFont="1"/>
    <xf numFmtId="10" fontId="9" fillId="0" borderId="1" xfId="7" applyNumberFormat="1" applyFont="1" applyBorder="1" applyAlignment="1">
      <alignment horizontal="center"/>
    </xf>
    <xf numFmtId="0" fontId="0" fillId="0" borderId="0" xfId="0" pivotButton="1"/>
    <xf numFmtId="10" fontId="0" fillId="0" borderId="0" xfId="0" applyNumberFormat="1"/>
    <xf numFmtId="10" fontId="34" fillId="0" borderId="1" xfId="0" applyNumberFormat="1" applyFont="1" applyBorder="1" applyAlignment="1">
      <alignment horizontal="center"/>
    </xf>
    <xf numFmtId="0" fontId="0" fillId="0" borderId="0" xfId="0" applyAlignment="1">
      <alignment horizontal="center"/>
    </xf>
    <xf numFmtId="10" fontId="9" fillId="0" borderId="0" xfId="7" applyNumberFormat="1" applyFont="1" applyBorder="1"/>
    <xf numFmtId="10" fontId="9" fillId="0" borderId="0" xfId="0" applyNumberFormat="1" applyFont="1" applyAlignment="1">
      <alignment horizontal="center"/>
    </xf>
    <xf numFmtId="0" fontId="35" fillId="0" borderId="1" xfId="0" applyFont="1" applyBorder="1"/>
    <xf numFmtId="0" fontId="36" fillId="0" borderId="1" xfId="0" applyFont="1" applyBorder="1"/>
    <xf numFmtId="0" fontId="37" fillId="0" borderId="1" xfId="0" applyFont="1" applyBorder="1"/>
    <xf numFmtId="0" fontId="21" fillId="0" borderId="0" xfId="0" applyFont="1"/>
    <xf numFmtId="0" fontId="38" fillId="0" borderId="0" xfId="0" applyFont="1"/>
    <xf numFmtId="0" fontId="34" fillId="0" borderId="1" xfId="6" applyFont="1" applyBorder="1"/>
    <xf numFmtId="0" fontId="34" fillId="0" borderId="1" xfId="6" applyFont="1" applyBorder="1" applyAlignment="1">
      <alignment horizontal="left"/>
    </xf>
    <xf numFmtId="0" fontId="39" fillId="0" borderId="0" xfId="0" applyFont="1"/>
    <xf numFmtId="0" fontId="19" fillId="0" borderId="1" xfId="6" applyFont="1" applyBorder="1" applyAlignment="1">
      <alignment horizontal="left"/>
    </xf>
    <xf numFmtId="0" fontId="40" fillId="0" borderId="0" xfId="0" applyFont="1"/>
    <xf numFmtId="0" fontId="34" fillId="0" borderId="0" xfId="0" applyFont="1"/>
    <xf numFmtId="0" fontId="34" fillId="6" borderId="1" xfId="0" applyFont="1" applyFill="1" applyBorder="1"/>
    <xf numFmtId="0" fontId="34" fillId="0" borderId="0" xfId="0" applyFont="1" applyAlignment="1">
      <alignment horizontal="center"/>
    </xf>
    <xf numFmtId="0" fontId="34" fillId="7" borderId="1" xfId="0" applyFont="1" applyFill="1" applyBorder="1" applyAlignment="1">
      <alignment horizontal="center"/>
    </xf>
    <xf numFmtId="10" fontId="34" fillId="7" borderId="1" xfId="7" applyNumberFormat="1" applyFont="1" applyFill="1" applyBorder="1" applyAlignment="1">
      <alignment horizontal="center"/>
    </xf>
    <xf numFmtId="0" fontId="0" fillId="6" borderId="1" xfId="0" applyFill="1" applyBorder="1"/>
    <xf numFmtId="10" fontId="7" fillId="7" borderId="1" xfId="7" applyNumberFormat="1" applyFont="1" applyFill="1" applyBorder="1"/>
    <xf numFmtId="0" fontId="34" fillId="0" borderId="3" xfId="0" applyFont="1" applyBorder="1"/>
    <xf numFmtId="0" fontId="34" fillId="0" borderId="1" xfId="0" applyFont="1" applyBorder="1"/>
    <xf numFmtId="10" fontId="0" fillId="0" borderId="0" xfId="7" applyNumberFormat="1" applyFont="1"/>
    <xf numFmtId="10" fontId="0" fillId="0" borderId="0" xfId="7" applyNumberFormat="1" applyFont="1" applyAlignment="1">
      <alignment horizontal="center"/>
    </xf>
    <xf numFmtId="0" fontId="22" fillId="8" borderId="0" xfId="0" applyFont="1" applyFill="1" applyAlignment="1">
      <alignment horizontal="left" vertical="center" wrapText="1"/>
    </xf>
    <xf numFmtId="0" fontId="20" fillId="0" borderId="3" xfId="0" applyFont="1" applyBorder="1"/>
    <xf numFmtId="0" fontId="23" fillId="0" borderId="1" xfId="0" applyFont="1" applyBorder="1"/>
    <xf numFmtId="0" fontId="23" fillId="0" borderId="2" xfId="0" applyFont="1" applyBorder="1" applyAlignment="1">
      <alignment horizontal="center"/>
    </xf>
    <xf numFmtId="0" fontId="38" fillId="0" borderId="1" xfId="0" applyFont="1" applyBorder="1" applyAlignment="1">
      <alignment horizontal="center"/>
    </xf>
    <xf numFmtId="10" fontId="38" fillId="0" borderId="1" xfId="7" applyNumberFormat="1" applyFont="1" applyBorder="1" applyAlignment="1">
      <alignment horizontal="center"/>
    </xf>
    <xf numFmtId="10" fontId="38" fillId="0" borderId="2" xfId="0" applyNumberFormat="1" applyFont="1" applyBorder="1" applyAlignment="1">
      <alignment horizontal="center"/>
    </xf>
    <xf numFmtId="0" fontId="34" fillId="0" borderId="1" xfId="0" applyFont="1" applyBorder="1" applyAlignment="1">
      <alignment horizontal="center"/>
    </xf>
    <xf numFmtId="10" fontId="34" fillId="0" borderId="1" xfId="7" applyNumberFormat="1" applyFont="1" applyBorder="1" applyAlignment="1">
      <alignment horizontal="center"/>
    </xf>
    <xf numFmtId="0" fontId="38" fillId="0" borderId="1" xfId="0" applyFont="1" applyBorder="1"/>
    <xf numFmtId="0" fontId="41" fillId="0" borderId="0" xfId="0" applyFont="1"/>
    <xf numFmtId="10" fontId="34" fillId="0" borderId="0" xfId="7" applyNumberFormat="1" applyFont="1"/>
    <xf numFmtId="10" fontId="38" fillId="0" borderId="0" xfId="0" applyNumberFormat="1" applyFont="1"/>
    <xf numFmtId="10" fontId="38" fillId="0" borderId="1" xfId="0" applyNumberFormat="1" applyFont="1" applyBorder="1" applyAlignment="1">
      <alignment horizontal="center"/>
    </xf>
    <xf numFmtId="10" fontId="0" fillId="0" borderId="0" xfId="0" applyNumberFormat="1" applyAlignment="1">
      <alignment horizontal="center"/>
    </xf>
    <xf numFmtId="0" fontId="5" fillId="0" borderId="1" xfId="0" applyFont="1" applyBorder="1"/>
    <xf numFmtId="10" fontId="0" fillId="0" borderId="1" xfId="0" applyNumberFormat="1" applyBorder="1" applyAlignment="1">
      <alignment horizontal="center"/>
    </xf>
    <xf numFmtId="0" fontId="38" fillId="8" borderId="1" xfId="0" applyFont="1" applyFill="1" applyBorder="1" applyAlignment="1">
      <alignment horizontal="left" vertical="center" wrapText="1"/>
    </xf>
    <xf numFmtId="0" fontId="38" fillId="8" borderId="1" xfId="0" applyFont="1" applyFill="1" applyBorder="1" applyAlignment="1">
      <alignment horizontal="center" vertical="center" wrapText="1"/>
    </xf>
    <xf numFmtId="0" fontId="18" fillId="0" borderId="1" xfId="0" applyFont="1" applyBorder="1" applyAlignment="1">
      <alignment horizontal="center"/>
    </xf>
    <xf numFmtId="0" fontId="37" fillId="0" borderId="1" xfId="0" applyFont="1" applyBorder="1" applyAlignment="1">
      <alignment horizontal="center"/>
    </xf>
    <xf numFmtId="0" fontId="42" fillId="0" borderId="0" xfId="0" applyFont="1"/>
    <xf numFmtId="0" fontId="43" fillId="0" borderId="0" xfId="3" applyFont="1" applyAlignment="1" applyProtection="1"/>
    <xf numFmtId="10" fontId="0" fillId="0" borderId="1" xfId="7" applyNumberFormat="1" applyFont="1" applyBorder="1" applyAlignment="1">
      <alignment horizontal="center"/>
    </xf>
    <xf numFmtId="0" fontId="27" fillId="0" borderId="0" xfId="0" applyFont="1"/>
    <xf numFmtId="0" fontId="44" fillId="0" borderId="0" xfId="0" applyFont="1"/>
    <xf numFmtId="166" fontId="26" fillId="0" borderId="0" xfId="0" applyNumberFormat="1" applyFont="1" applyAlignment="1">
      <alignment horizontal="center"/>
    </xf>
    <xf numFmtId="10" fontId="34" fillId="7" borderId="0" xfId="7" applyNumberFormat="1" applyFont="1" applyFill="1" applyAlignment="1">
      <alignment horizontal="center"/>
    </xf>
    <xf numFmtId="0" fontId="0" fillId="0" borderId="0" xfId="0" applyAlignment="1">
      <alignment wrapText="1"/>
    </xf>
    <xf numFmtId="1" fontId="0" fillId="0" borderId="1" xfId="0" applyNumberFormat="1" applyBorder="1"/>
    <xf numFmtId="2" fontId="0" fillId="0" borderId="0" xfId="0" applyNumberFormat="1"/>
    <xf numFmtId="0" fontId="28" fillId="0" borderId="0" xfId="0" applyFont="1"/>
    <xf numFmtId="14" fontId="28" fillId="0" borderId="0" xfId="0" applyNumberFormat="1" applyFont="1" applyAlignment="1">
      <alignment wrapText="1"/>
    </xf>
    <xf numFmtId="0" fontId="28" fillId="0" borderId="0" xfId="0" applyFont="1" applyAlignment="1">
      <alignment wrapText="1"/>
    </xf>
    <xf numFmtId="2" fontId="0" fillId="0" borderId="1" xfId="0" applyNumberFormat="1" applyBorder="1"/>
    <xf numFmtId="2" fontId="0" fillId="2" borderId="1" xfId="0" applyNumberFormat="1" applyFill="1" applyBorder="1" applyAlignment="1">
      <alignment horizontal="center"/>
    </xf>
    <xf numFmtId="0" fontId="34" fillId="0" borderId="0" xfId="0" applyFont="1" applyAlignment="1">
      <alignment horizontal="left"/>
    </xf>
    <xf numFmtId="2" fontId="7" fillId="7" borderId="1" xfId="7" applyNumberFormat="1" applyFont="1" applyFill="1" applyBorder="1" applyAlignment="1">
      <alignment horizontal="center"/>
    </xf>
    <xf numFmtId="10" fontId="7" fillId="7" borderId="1" xfId="7" applyNumberFormat="1" applyFont="1" applyFill="1" applyBorder="1" applyAlignment="1">
      <alignment horizontal="center"/>
    </xf>
    <xf numFmtId="0" fontId="29" fillId="0" borderId="0" xfId="0" applyFont="1"/>
    <xf numFmtId="0" fontId="20" fillId="0" borderId="0" xfId="0" applyFont="1"/>
    <xf numFmtId="0" fontId="20" fillId="0" borderId="0" xfId="0" applyFont="1" applyAlignment="1">
      <alignment horizontal="left"/>
    </xf>
    <xf numFmtId="10" fontId="9" fillId="0" borderId="5" xfId="0" applyNumberFormat="1" applyFont="1" applyBorder="1" applyAlignment="1">
      <alignment horizontal="center"/>
    </xf>
    <xf numFmtId="10" fontId="45" fillId="0" borderId="1" xfId="7" applyNumberFormat="1" applyFont="1" applyBorder="1" applyAlignment="1">
      <alignment horizontal="center"/>
    </xf>
    <xf numFmtId="10" fontId="0" fillId="0" borderId="1" xfId="7" applyNumberFormat="1" applyFont="1" applyBorder="1"/>
    <xf numFmtId="0" fontId="5" fillId="5" borderId="0" xfId="0" applyFont="1" applyFill="1" applyAlignment="1">
      <alignment horizontal="left"/>
    </xf>
    <xf numFmtId="0" fontId="5" fillId="0" borderId="0" xfId="0" applyFont="1" applyAlignment="1">
      <alignment horizontal="center"/>
    </xf>
    <xf numFmtId="0" fontId="42" fillId="0" borderId="1" xfId="0" applyFont="1" applyBorder="1"/>
    <xf numFmtId="167" fontId="0" fillId="0" borderId="1" xfId="0" applyNumberFormat="1" applyBorder="1"/>
    <xf numFmtId="10" fontId="23" fillId="0" borderId="0" xfId="0" applyNumberFormat="1" applyFont="1" applyAlignment="1">
      <alignment horizontal="center"/>
    </xf>
    <xf numFmtId="0" fontId="10" fillId="0" borderId="0" xfId="3" applyAlignment="1" applyProtection="1"/>
    <xf numFmtId="0" fontId="46" fillId="3" borderId="6" xfId="6" applyFont="1" applyFill="1" applyBorder="1" applyAlignment="1">
      <alignment vertical="center"/>
    </xf>
    <xf numFmtId="0" fontId="0" fillId="0" borderId="1" xfId="0" applyBorder="1" applyAlignment="1">
      <alignment horizontal="left"/>
    </xf>
    <xf numFmtId="0" fontId="8" fillId="0" borderId="0" xfId="0" applyFont="1" applyAlignment="1">
      <alignment horizontal="left"/>
    </xf>
    <xf numFmtId="0" fontId="5" fillId="0" borderId="0" xfId="0" applyFont="1" applyAlignment="1">
      <alignment horizontal="left"/>
    </xf>
    <xf numFmtId="166" fontId="20" fillId="0" borderId="5" xfId="0" applyNumberFormat="1" applyFont="1" applyBorder="1" applyAlignment="1">
      <alignment horizontal="left"/>
    </xf>
    <xf numFmtId="0" fontId="9" fillId="0" borderId="7" xfId="0" applyFont="1" applyBorder="1" applyAlignment="1">
      <alignment horizontal="left"/>
    </xf>
    <xf numFmtId="0" fontId="12" fillId="0" borderId="8" xfId="0" applyFont="1" applyBorder="1" applyAlignment="1">
      <alignment horizontal="left"/>
    </xf>
    <xf numFmtId="0" fontId="0" fillId="0" borderId="5" xfId="0" applyBorder="1" applyAlignment="1">
      <alignment horizontal="left"/>
    </xf>
    <xf numFmtId="0" fontId="9" fillId="0" borderId="5" xfId="0" applyFont="1" applyBorder="1" applyAlignment="1">
      <alignment horizontal="center"/>
    </xf>
    <xf numFmtId="0" fontId="12" fillId="0" borderId="5" xfId="0" applyFont="1" applyBorder="1" applyAlignment="1">
      <alignment horizontal="center"/>
    </xf>
    <xf numFmtId="0" fontId="12" fillId="0" borderId="5" xfId="0" applyFont="1" applyBorder="1" applyAlignment="1">
      <alignment horizontal="center" wrapText="1"/>
    </xf>
    <xf numFmtId="0" fontId="12" fillId="0" borderId="9" xfId="0" applyFont="1" applyBorder="1" applyAlignment="1">
      <alignment horizontal="center"/>
    </xf>
    <xf numFmtId="10" fontId="9" fillId="0" borderId="4" xfId="0" applyNumberFormat="1" applyFont="1" applyBorder="1" applyAlignment="1">
      <alignment horizontal="center"/>
    </xf>
    <xf numFmtId="10" fontId="9" fillId="0" borderId="10" xfId="0" applyNumberFormat="1" applyFont="1" applyBorder="1" applyAlignment="1">
      <alignment horizontal="center"/>
    </xf>
    <xf numFmtId="0" fontId="47" fillId="0" borderId="1" xfId="0" applyFont="1" applyBorder="1"/>
    <xf numFmtId="10" fontId="47" fillId="0" borderId="1" xfId="0" applyNumberFormat="1" applyFont="1" applyBorder="1" applyAlignment="1">
      <alignment horizontal="center"/>
    </xf>
    <xf numFmtId="0" fontId="0" fillId="0" borderId="5" xfId="0" applyBorder="1" applyAlignment="1">
      <alignment horizontal="center"/>
    </xf>
    <xf numFmtId="0" fontId="38" fillId="0" borderId="1" xfId="0" applyFont="1" applyBorder="1" applyAlignment="1">
      <alignment horizontal="center" vertical="center" wrapText="1"/>
    </xf>
    <xf numFmtId="10" fontId="34" fillId="0" borderId="1" xfId="7" applyNumberFormat="1" applyFont="1" applyFill="1" applyBorder="1" applyAlignment="1">
      <alignment horizontal="center"/>
    </xf>
    <xf numFmtId="0" fontId="38" fillId="0" borderId="1" xfId="0" applyFont="1" applyBorder="1" applyAlignment="1">
      <alignment horizontal="center" wrapText="1"/>
    </xf>
    <xf numFmtId="2" fontId="9" fillId="0" borderId="1" xfId="0" applyNumberFormat="1" applyFont="1" applyBorder="1" applyAlignment="1">
      <alignment horizontal="center"/>
    </xf>
    <xf numFmtId="2" fontId="0" fillId="0" borderId="0" xfId="0" applyNumberFormat="1" applyAlignment="1">
      <alignment horizontal="center"/>
    </xf>
    <xf numFmtId="0" fontId="31" fillId="0" borderId="3" xfId="0" applyFont="1" applyBorder="1"/>
    <xf numFmtId="1" fontId="0" fillId="0" borderId="1" xfId="0" applyNumberFormat="1" applyBorder="1" applyAlignment="1">
      <alignment horizontal="center"/>
    </xf>
    <xf numFmtId="0" fontId="0" fillId="9" borderId="1" xfId="0" applyFill="1" applyBorder="1" applyAlignment="1">
      <alignment horizontal="center"/>
    </xf>
    <xf numFmtId="10" fontId="7" fillId="9" borderId="1" xfId="7" applyNumberFormat="1" applyFont="1" applyFill="1" applyBorder="1" applyAlignment="1">
      <alignment horizontal="center"/>
    </xf>
    <xf numFmtId="2" fontId="42" fillId="0" borderId="1" xfId="0" applyNumberFormat="1" applyFont="1" applyBorder="1"/>
    <xf numFmtId="2" fontId="34" fillId="0" borderId="1" xfId="0" applyNumberFormat="1" applyFont="1" applyBorder="1" applyAlignment="1">
      <alignment horizontal="center" wrapText="1"/>
    </xf>
    <xf numFmtId="2" fontId="19" fillId="0" borderId="1" xfId="0" applyNumberFormat="1" applyFont="1" applyBorder="1" applyAlignment="1">
      <alignment horizontal="center"/>
    </xf>
    <xf numFmtId="2" fontId="34" fillId="0" borderId="0" xfId="0" applyNumberFormat="1" applyFont="1" applyAlignment="1">
      <alignment horizontal="center"/>
    </xf>
    <xf numFmtId="0" fontId="48" fillId="10" borderId="21" xfId="0" applyFont="1" applyFill="1" applyBorder="1"/>
    <xf numFmtId="0" fontId="48" fillId="10" borderId="22" xfId="0" applyFont="1" applyFill="1" applyBorder="1"/>
    <xf numFmtId="0" fontId="48" fillId="11" borderId="23" xfId="0" applyFont="1" applyFill="1" applyBorder="1" applyAlignment="1">
      <alignment horizontal="left"/>
    </xf>
    <xf numFmtId="10" fontId="48" fillId="11" borderId="23" xfId="0" applyNumberFormat="1" applyFont="1" applyFill="1" applyBorder="1"/>
    <xf numFmtId="0" fontId="49" fillId="0" borderId="1" xfId="0" applyFont="1" applyBorder="1"/>
    <xf numFmtId="0" fontId="45" fillId="0" borderId="1" xfId="0" applyFont="1" applyBorder="1"/>
    <xf numFmtId="14" fontId="38" fillId="0" borderId="1" xfId="7" applyNumberFormat="1" applyFont="1" applyBorder="1" applyAlignment="1">
      <alignment horizontal="center" vertical="center" wrapText="1"/>
    </xf>
    <xf numFmtId="0" fontId="46" fillId="3" borderId="1" xfId="6" applyFont="1" applyFill="1" applyBorder="1" applyAlignment="1">
      <alignment vertical="center"/>
    </xf>
    <xf numFmtId="10" fontId="42" fillId="0" borderId="1" xfId="7" applyNumberFormat="1" applyFont="1" applyBorder="1" applyAlignment="1">
      <alignment horizontal="center"/>
    </xf>
    <xf numFmtId="10" fontId="12" fillId="0" borderId="0" xfId="7" applyNumberFormat="1" applyFont="1" applyFill="1" applyBorder="1" applyAlignment="1">
      <alignment horizontal="center"/>
    </xf>
    <xf numFmtId="10" fontId="9" fillId="13" borderId="1" xfId="0" applyNumberFormat="1" applyFont="1" applyFill="1" applyBorder="1" applyAlignment="1">
      <alignment horizontal="center"/>
    </xf>
    <xf numFmtId="2" fontId="38" fillId="0" borderId="1" xfId="0" applyNumberFormat="1" applyFont="1" applyBorder="1" applyAlignment="1">
      <alignment horizontal="center"/>
    </xf>
    <xf numFmtId="0" fontId="20" fillId="0" borderId="3" xfId="0" quotePrefix="1" applyFont="1" applyBorder="1"/>
    <xf numFmtId="0" fontId="32" fillId="0" borderId="1" xfId="0" applyFont="1" applyBorder="1" applyAlignment="1">
      <alignment horizontal="left"/>
    </xf>
    <xf numFmtId="17" fontId="32" fillId="0" borderId="1" xfId="0" applyNumberFormat="1" applyFont="1" applyBorder="1"/>
    <xf numFmtId="0" fontId="29" fillId="0" borderId="1" xfId="0" applyFont="1" applyBorder="1" applyAlignment="1">
      <alignment horizontal="left"/>
    </xf>
    <xf numFmtId="17" fontId="29" fillId="0" borderId="1" xfId="0" applyNumberFormat="1" applyFont="1" applyBorder="1"/>
    <xf numFmtId="0" fontId="33" fillId="0" borderId="0" xfId="0" applyFont="1"/>
    <xf numFmtId="0" fontId="9" fillId="0" borderId="11" xfId="0" applyFont="1" applyBorder="1"/>
    <xf numFmtId="0" fontId="46" fillId="3" borderId="1" xfId="6" applyFont="1" applyFill="1" applyBorder="1" applyAlignment="1">
      <alignment horizontal="center" vertical="center"/>
    </xf>
    <xf numFmtId="0" fontId="46" fillId="5" borderId="1" xfId="6" applyFont="1" applyFill="1" applyBorder="1" applyAlignment="1">
      <alignment vertical="center"/>
    </xf>
    <xf numFmtId="0" fontId="46" fillId="3" borderId="1" xfId="6" applyFont="1" applyFill="1" applyBorder="1" applyAlignment="1">
      <alignment horizontal="left" vertical="center"/>
    </xf>
    <xf numFmtId="1" fontId="0" fillId="0" borderId="1" xfId="0" applyNumberFormat="1" applyBorder="1" applyAlignment="1">
      <alignment horizontal="center" vertical="center"/>
    </xf>
    <xf numFmtId="0" fontId="0" fillId="0" borderId="1" xfId="0" applyBorder="1" applyAlignment="1">
      <alignment horizontal="center" vertical="center"/>
    </xf>
    <xf numFmtId="0" fontId="48" fillId="0" borderId="0" xfId="0" applyFont="1"/>
    <xf numFmtId="0" fontId="50" fillId="3" borderId="1" xfId="6" applyFont="1" applyFill="1" applyBorder="1" applyAlignment="1">
      <alignment vertical="center"/>
    </xf>
    <xf numFmtId="0" fontId="51" fillId="0" borderId="1" xfId="0" applyFont="1" applyBorder="1"/>
    <xf numFmtId="0" fontId="21" fillId="0" borderId="1" xfId="0" applyFont="1" applyBorder="1" applyAlignment="1">
      <alignment horizontal="center"/>
    </xf>
    <xf numFmtId="10" fontId="39" fillId="0" borderId="0" xfId="7" applyNumberFormat="1" applyFont="1" applyAlignment="1">
      <alignment horizontal="center"/>
    </xf>
    <xf numFmtId="168" fontId="9" fillId="6" borderId="1" xfId="0" applyNumberFormat="1" applyFont="1" applyFill="1" applyBorder="1" applyAlignment="1">
      <alignment horizontal="center"/>
    </xf>
    <xf numFmtId="0" fontId="36" fillId="0" borderId="0" xfId="0" applyFont="1"/>
    <xf numFmtId="0" fontId="0" fillId="0" borderId="0" xfId="0" applyAlignment="1">
      <alignment horizontal="center" wrapText="1"/>
    </xf>
    <xf numFmtId="1" fontId="0" fillId="0" borderId="0" xfId="0" applyNumberFormat="1" applyAlignment="1">
      <alignment horizontal="center"/>
    </xf>
    <xf numFmtId="0" fontId="26" fillId="0" borderId="0" xfId="0" applyFont="1"/>
    <xf numFmtId="0" fontId="0" fillId="12" borderId="1" xfId="0" applyFill="1" applyBorder="1" applyAlignment="1">
      <alignment horizontal="center" wrapText="1"/>
    </xf>
    <xf numFmtId="1" fontId="0" fillId="12" borderId="1" xfId="0" applyNumberFormat="1" applyFill="1" applyBorder="1" applyAlignment="1">
      <alignment horizontal="center"/>
    </xf>
    <xf numFmtId="0" fontId="0" fillId="12" borderId="5" xfId="0" applyFill="1" applyBorder="1" applyAlignment="1">
      <alignment horizontal="center"/>
    </xf>
    <xf numFmtId="0" fontId="53" fillId="0" borderId="0" xfId="0" applyFont="1"/>
    <xf numFmtId="0" fontId="54" fillId="0" borderId="0" xfId="0" applyFont="1"/>
    <xf numFmtId="2" fontId="0" fillId="0" borderId="1" xfId="0" applyNumberFormat="1" applyBorder="1" applyAlignment="1">
      <alignment horizontal="center"/>
    </xf>
    <xf numFmtId="2" fontId="0" fillId="12" borderId="1" xfId="0" applyNumberFormat="1" applyFill="1" applyBorder="1" applyAlignment="1">
      <alignment horizontal="center"/>
    </xf>
    <xf numFmtId="0" fontId="37" fillId="0" borderId="0" xfId="0" applyFont="1"/>
    <xf numFmtId="2" fontId="45" fillId="0" borderId="1" xfId="7" applyNumberFormat="1" applyFont="1" applyBorder="1" applyAlignment="1">
      <alignment wrapText="1"/>
    </xf>
    <xf numFmtId="10" fontId="45" fillId="0" borderId="0" xfId="7" applyNumberFormat="1" applyFont="1" applyAlignment="1">
      <alignment wrapText="1"/>
    </xf>
    <xf numFmtId="10" fontId="45" fillId="0" borderId="1" xfId="7" applyNumberFormat="1" applyFont="1" applyBorder="1" applyAlignment="1">
      <alignment wrapText="1"/>
    </xf>
    <xf numFmtId="10" fontId="45" fillId="0" borderId="12" xfId="7" applyNumberFormat="1" applyFont="1" applyBorder="1"/>
    <xf numFmtId="10" fontId="0" fillId="0" borderId="0" xfId="7" applyNumberFormat="1" applyFont="1" applyBorder="1" applyAlignment="1">
      <alignment horizontal="center"/>
    </xf>
    <xf numFmtId="10" fontId="0" fillId="12" borderId="1" xfId="0" applyNumberFormat="1" applyFill="1" applyBorder="1" applyAlignment="1">
      <alignment horizontal="center"/>
    </xf>
    <xf numFmtId="0" fontId="45" fillId="14" borderId="1" xfId="0" applyFont="1" applyFill="1" applyBorder="1"/>
    <xf numFmtId="2" fontId="28" fillId="0" borderId="0" xfId="0" applyNumberFormat="1" applyFont="1" applyAlignment="1">
      <alignment wrapText="1"/>
    </xf>
    <xf numFmtId="10" fontId="28" fillId="0" borderId="0" xfId="7" applyNumberFormat="1" applyFont="1" applyAlignment="1">
      <alignment wrapText="1"/>
    </xf>
    <xf numFmtId="1" fontId="22" fillId="8" borderId="0" xfId="0" applyNumberFormat="1" applyFont="1" applyFill="1" applyAlignment="1">
      <alignment vertical="center" wrapText="1"/>
    </xf>
    <xf numFmtId="1" fontId="20" fillId="0" borderId="3" xfId="0" applyNumberFormat="1" applyFont="1" applyBorder="1"/>
    <xf numFmtId="1" fontId="18" fillId="0" borderId="0" xfId="0" applyNumberFormat="1" applyFont="1"/>
    <xf numFmtId="169" fontId="10" fillId="0" borderId="0" xfId="7" applyNumberFormat="1" applyFont="1" applyAlignment="1" applyProtection="1"/>
    <xf numFmtId="0" fontId="55" fillId="0" borderId="0" xfId="0" applyFont="1"/>
    <xf numFmtId="0" fontId="60" fillId="0" borderId="0" xfId="0" applyFont="1" applyAlignment="1">
      <alignment horizontal="center"/>
    </xf>
    <xf numFmtId="0" fontId="61" fillId="0" borderId="0" xfId="0" applyFont="1" applyAlignment="1">
      <alignment vertical="center"/>
    </xf>
    <xf numFmtId="0" fontId="61" fillId="0" borderId="1" xfId="0" applyFont="1" applyBorder="1" applyAlignment="1">
      <alignment vertical="center"/>
    </xf>
    <xf numFmtId="0" fontId="62" fillId="0" borderId="1" xfId="0" applyFont="1" applyBorder="1" applyAlignment="1">
      <alignment vertical="center"/>
    </xf>
    <xf numFmtId="0" fontId="61" fillId="12" borderId="1" xfId="0" applyFont="1" applyFill="1" applyBorder="1" applyAlignment="1">
      <alignment vertical="center" wrapText="1"/>
    </xf>
    <xf numFmtId="0" fontId="62" fillId="0" borderId="1" xfId="0" applyFont="1" applyBorder="1" applyAlignment="1">
      <alignment horizontal="center" vertical="center" wrapText="1"/>
    </xf>
    <xf numFmtId="0" fontId="18" fillId="12" borderId="1" xfId="0" applyFont="1" applyFill="1" applyBorder="1" applyAlignment="1">
      <alignment vertical="center" wrapText="1"/>
    </xf>
    <xf numFmtId="0" fontId="18" fillId="0" borderId="0" xfId="0" applyFont="1" applyAlignment="1">
      <alignment vertical="center" wrapText="1"/>
    </xf>
    <xf numFmtId="0" fontId="46" fillId="3" borderId="6" xfId="6" applyFont="1" applyFill="1" applyBorder="1" applyAlignment="1">
      <alignment horizontal="center" vertical="center"/>
    </xf>
    <xf numFmtId="0" fontId="46" fillId="5" borderId="6" xfId="6" applyFont="1" applyFill="1" applyBorder="1" applyAlignment="1">
      <alignment horizontal="center" vertical="center"/>
    </xf>
    <xf numFmtId="0" fontId="46" fillId="0" borderId="6" xfId="6" applyFont="1" applyBorder="1" applyAlignment="1">
      <alignment horizontal="center" vertical="center"/>
    </xf>
    <xf numFmtId="170" fontId="0" fillId="0" borderId="0" xfId="0" applyNumberFormat="1"/>
    <xf numFmtId="0" fontId="4" fillId="0" borderId="1" xfId="0" applyFont="1" applyBorder="1"/>
    <xf numFmtId="10" fontId="48" fillId="0" borderId="0" xfId="7" applyNumberFormat="1" applyFont="1" applyAlignment="1">
      <alignment horizontal="center"/>
    </xf>
    <xf numFmtId="0" fontId="0" fillId="0" borderId="24" xfId="0" applyBorder="1"/>
    <xf numFmtId="10" fontId="3" fillId="14" borderId="1" xfId="7" applyNumberFormat="1" applyFont="1" applyFill="1" applyBorder="1" applyAlignment="1">
      <alignment horizontal="center"/>
    </xf>
    <xf numFmtId="0" fontId="65" fillId="0" borderId="0" xfId="0" applyFont="1"/>
    <xf numFmtId="0" fontId="18" fillId="0" borderId="0" xfId="0" applyFont="1" applyAlignment="1">
      <alignment horizontal="center"/>
    </xf>
    <xf numFmtId="14" fontId="21" fillId="0" borderId="0" xfId="0" applyNumberFormat="1" applyFont="1"/>
    <xf numFmtId="10" fontId="21" fillId="0" borderId="0" xfId="0" applyNumberFormat="1" applyFont="1"/>
    <xf numFmtId="171" fontId="0" fillId="0" borderId="0" xfId="0" applyNumberFormat="1"/>
    <xf numFmtId="0" fontId="6" fillId="0" borderId="4" xfId="0" applyFont="1" applyBorder="1"/>
    <xf numFmtId="10" fontId="0" fillId="0" borderId="1" xfId="0" applyNumberFormat="1" applyBorder="1"/>
    <xf numFmtId="0" fontId="2" fillId="0" borderId="1" xfId="0" applyFont="1" applyBorder="1"/>
    <xf numFmtId="0" fontId="2" fillId="14" borderId="1" xfId="0" applyFont="1" applyFill="1" applyBorder="1"/>
    <xf numFmtId="0" fontId="48" fillId="0" borderId="0" xfId="0" applyFont="1" applyAlignment="1">
      <alignment horizontal="left"/>
    </xf>
    <xf numFmtId="10" fontId="48" fillId="0" borderId="0" xfId="0" applyNumberFormat="1" applyFont="1"/>
    <xf numFmtId="0" fontId="66" fillId="0" borderId="1" xfId="0" applyFont="1" applyBorder="1" applyAlignment="1">
      <alignment horizontal="center" vertical="center"/>
    </xf>
    <xf numFmtId="10" fontId="67" fillId="0" borderId="1" xfId="7" applyNumberFormat="1" applyFont="1" applyFill="1" applyBorder="1" applyAlignment="1">
      <alignment horizontal="center" vertical="center" wrapText="1"/>
    </xf>
    <xf numFmtId="0" fontId="67" fillId="0" borderId="1" xfId="0" applyFont="1" applyBorder="1" applyAlignment="1">
      <alignment horizontal="center" vertical="center"/>
    </xf>
    <xf numFmtId="0" fontId="67" fillId="12" borderId="1" xfId="0" applyFont="1" applyFill="1" applyBorder="1" applyAlignment="1">
      <alignment horizontal="center" vertical="center"/>
    </xf>
    <xf numFmtId="0" fontId="69" fillId="0" borderId="2" xfId="0" applyFont="1" applyBorder="1" applyAlignment="1">
      <alignment horizontal="center" vertical="center"/>
    </xf>
    <xf numFmtId="2" fontId="67" fillId="12" borderId="1" xfId="0" applyNumberFormat="1" applyFont="1" applyFill="1" applyBorder="1" applyAlignment="1">
      <alignment horizontal="center" vertical="center"/>
    </xf>
    <xf numFmtId="0" fontId="69" fillId="0" borderId="1" xfId="0" applyFont="1" applyBorder="1" applyAlignment="1">
      <alignment horizontal="justify" vertical="center"/>
    </xf>
    <xf numFmtId="10" fontId="69" fillId="0" borderId="1" xfId="7" applyNumberFormat="1" applyFont="1" applyFill="1" applyBorder="1" applyAlignment="1">
      <alignment horizontal="center" vertical="center"/>
    </xf>
    <xf numFmtId="10" fontId="69" fillId="0" borderId="1" xfId="0" applyNumberFormat="1" applyFont="1" applyBorder="1" applyAlignment="1">
      <alignment horizontal="center" vertical="center"/>
    </xf>
    <xf numFmtId="2" fontId="69" fillId="12" borderId="1" xfId="0" applyNumberFormat="1" applyFont="1" applyFill="1" applyBorder="1" applyAlignment="1">
      <alignment horizontal="center" vertical="center"/>
    </xf>
    <xf numFmtId="10" fontId="69" fillId="0" borderId="2" xfId="0" applyNumberFormat="1" applyFont="1" applyBorder="1" applyAlignment="1">
      <alignment horizontal="center" vertical="center"/>
    </xf>
    <xf numFmtId="0" fontId="69" fillId="0" borderId="1" xfId="0" applyFont="1" applyBorder="1" applyAlignment="1">
      <alignment horizontal="center" vertical="center"/>
    </xf>
    <xf numFmtId="0" fontId="70" fillId="0" borderId="1" xfId="0" applyFont="1" applyBorder="1" applyAlignment="1">
      <alignment horizontal="justify" vertical="center"/>
    </xf>
    <xf numFmtId="10" fontId="69" fillId="0" borderId="0" xfId="7" applyNumberFormat="1" applyFont="1" applyFill="1" applyBorder="1" applyAlignment="1">
      <alignment horizontal="justify" vertical="center"/>
    </xf>
    <xf numFmtId="0" fontId="69" fillId="0" borderId="0" xfId="0" applyFont="1" applyAlignment="1">
      <alignment horizontal="center" vertical="center"/>
    </xf>
    <xf numFmtId="2" fontId="70" fillId="12" borderId="1" xfId="0" applyNumberFormat="1" applyFont="1" applyFill="1" applyBorder="1" applyAlignment="1">
      <alignment horizontal="center" vertical="center"/>
    </xf>
    <xf numFmtId="2" fontId="69" fillId="0" borderId="0" xfId="0" applyNumberFormat="1" applyFont="1" applyAlignment="1">
      <alignment horizontal="justify" vertical="center"/>
    </xf>
    <xf numFmtId="10" fontId="71" fillId="0" borderId="0" xfId="7" applyNumberFormat="1" applyFont="1" applyFill="1"/>
    <xf numFmtId="0" fontId="71" fillId="0" borderId="0" xfId="0" applyFont="1"/>
    <xf numFmtId="2" fontId="72" fillId="12" borderId="1" xfId="0" applyNumberFormat="1" applyFont="1" applyFill="1" applyBorder="1" applyAlignment="1">
      <alignment horizontal="center"/>
    </xf>
    <xf numFmtId="10" fontId="73" fillId="0" borderId="1" xfId="7" applyNumberFormat="1" applyFont="1" applyBorder="1" applyAlignment="1">
      <alignment horizontal="center"/>
    </xf>
    <xf numFmtId="0" fontId="37" fillId="0" borderId="24" xfId="0" applyFont="1" applyBorder="1"/>
    <xf numFmtId="0" fontId="74" fillId="0" borderId="0" xfId="0" applyFont="1" applyAlignment="1">
      <alignment horizontal="center"/>
    </xf>
    <xf numFmtId="0" fontId="21" fillId="0" borderId="0" xfId="0" applyFont="1" applyAlignment="1">
      <alignment horizontal="center"/>
    </xf>
    <xf numFmtId="0" fontId="46" fillId="5" borderId="6" xfId="6" applyFont="1" applyFill="1" applyBorder="1" applyAlignment="1">
      <alignment vertical="center"/>
    </xf>
    <xf numFmtId="0" fontId="46" fillId="3" borderId="6" xfId="6" applyFont="1" applyFill="1" applyBorder="1" applyAlignment="1">
      <alignment horizontal="left" vertical="center"/>
    </xf>
    <xf numFmtId="0" fontId="46" fillId="0" borderId="6" xfId="6" applyFont="1" applyBorder="1" applyAlignment="1">
      <alignment vertical="center"/>
    </xf>
    <xf numFmtId="0" fontId="46" fillId="0" borderId="6" xfId="6" applyFont="1" applyBorder="1" applyAlignment="1">
      <alignment horizontal="left" vertical="center"/>
    </xf>
    <xf numFmtId="0" fontId="75" fillId="0" borderId="0" xfId="0" applyFont="1"/>
    <xf numFmtId="0" fontId="76" fillId="0" borderId="0" xfId="0" applyFont="1"/>
    <xf numFmtId="0" fontId="77" fillId="0" borderId="0" xfId="0" applyFont="1"/>
    <xf numFmtId="0" fontId="78" fillId="0" borderId="0" xfId="0" applyFont="1"/>
    <xf numFmtId="0" fontId="0" fillId="0" borderId="2" xfId="0" applyBorder="1" applyAlignment="1">
      <alignment horizontal="center"/>
    </xf>
    <xf numFmtId="0" fontId="46" fillId="3" borderId="2" xfId="6" applyFont="1" applyFill="1" applyBorder="1" applyAlignment="1">
      <alignment horizontal="center" vertical="center"/>
    </xf>
    <xf numFmtId="0" fontId="0" fillId="0" borderId="25" xfId="0" applyBorder="1" applyAlignment="1">
      <alignment horizontal="center"/>
    </xf>
    <xf numFmtId="15" fontId="79" fillId="0" borderId="0" xfId="0" applyNumberFormat="1" applyFont="1" applyAlignment="1">
      <alignment wrapText="1"/>
    </xf>
    <xf numFmtId="0" fontId="79" fillId="0" borderId="0" xfId="0" applyFont="1" applyAlignment="1">
      <alignment wrapText="1"/>
    </xf>
    <xf numFmtId="0" fontId="50" fillId="3" borderId="2" xfId="6" applyFont="1" applyFill="1" applyBorder="1" applyAlignment="1">
      <alignment horizontal="center" vertical="center"/>
    </xf>
    <xf numFmtId="0" fontId="50" fillId="3" borderId="1" xfId="6" applyFont="1" applyFill="1" applyBorder="1" applyAlignment="1">
      <alignment horizontal="center" vertical="center"/>
    </xf>
    <xf numFmtId="0" fontId="42" fillId="0" borderId="1" xfId="0" applyFont="1" applyBorder="1" applyAlignment="1">
      <alignment horizontal="center"/>
    </xf>
    <xf numFmtId="0" fontId="1" fillId="0" borderId="1" xfId="0" applyFont="1" applyBorder="1"/>
    <xf numFmtId="0" fontId="23" fillId="0" borderId="1" xfId="0" applyFont="1" applyBorder="1" applyAlignment="1">
      <alignment horizontal="center"/>
    </xf>
    <xf numFmtId="3" fontId="0" fillId="0" borderId="0" xfId="0" applyNumberFormat="1"/>
    <xf numFmtId="0" fontId="10" fillId="0" borderId="0" xfId="3" applyAlignment="1" applyProtection="1">
      <alignment horizontal="left" wrapText="1"/>
    </xf>
    <xf numFmtId="0" fontId="43" fillId="0" borderId="0" xfId="3" applyFont="1" applyAlignment="1" applyProtection="1">
      <alignment horizontal="left" wrapText="1"/>
    </xf>
    <xf numFmtId="0" fontId="8" fillId="0" borderId="0" xfId="0" applyFont="1" applyAlignment="1">
      <alignment horizontal="center"/>
    </xf>
    <xf numFmtId="0" fontId="59" fillId="12" borderId="14" xfId="0" applyFont="1" applyFill="1" applyBorder="1" applyAlignment="1">
      <alignment horizontal="left" vertical="top" wrapText="1"/>
    </xf>
    <xf numFmtId="0" fontId="18" fillId="12" borderId="15" xfId="0" applyFont="1" applyFill="1" applyBorder="1" applyAlignment="1">
      <alignment horizontal="left" vertical="top" wrapText="1"/>
    </xf>
    <xf numFmtId="0" fontId="18" fillId="12" borderId="16" xfId="0" applyFont="1" applyFill="1" applyBorder="1" applyAlignment="1">
      <alignment horizontal="left" vertical="top" wrapText="1"/>
    </xf>
    <xf numFmtId="0" fontId="18" fillId="12" borderId="17" xfId="0" applyFont="1" applyFill="1" applyBorder="1" applyAlignment="1">
      <alignment horizontal="left" vertical="top" wrapText="1"/>
    </xf>
    <xf numFmtId="0" fontId="18" fillId="12" borderId="0" xfId="0" applyFont="1" applyFill="1" applyAlignment="1">
      <alignment horizontal="left" vertical="top" wrapText="1"/>
    </xf>
    <xf numFmtId="0" fontId="18" fillId="12" borderId="18" xfId="0" applyFont="1" applyFill="1" applyBorder="1" applyAlignment="1">
      <alignment horizontal="left" vertical="top" wrapText="1"/>
    </xf>
    <xf numFmtId="0" fontId="18" fillId="12" borderId="19" xfId="0" applyFont="1" applyFill="1" applyBorder="1" applyAlignment="1">
      <alignment horizontal="left" vertical="top" wrapText="1"/>
    </xf>
    <xf numFmtId="0" fontId="18" fillId="12" borderId="20" xfId="0" applyFont="1" applyFill="1" applyBorder="1" applyAlignment="1">
      <alignment horizontal="left" vertical="top" wrapText="1"/>
    </xf>
    <xf numFmtId="0" fontId="18" fillId="12" borderId="13" xfId="0" applyFont="1" applyFill="1" applyBorder="1" applyAlignment="1">
      <alignment horizontal="left" vertical="top" wrapText="1"/>
    </xf>
    <xf numFmtId="0" fontId="5" fillId="0" borderId="0" xfId="0" applyFont="1" applyAlignment="1">
      <alignment horizontal="center"/>
    </xf>
    <xf numFmtId="0" fontId="15" fillId="13" borderId="0" xfId="6" applyFont="1" applyFill="1" applyAlignment="1">
      <alignment horizontal="center"/>
    </xf>
    <xf numFmtId="165" fontId="16" fillId="13" borderId="0" xfId="6" applyNumberFormat="1" applyFont="1" applyFill="1" applyAlignment="1">
      <alignment horizontal="left" wrapText="1"/>
    </xf>
    <xf numFmtId="0" fontId="6" fillId="0" borderId="4" xfId="0" applyFont="1" applyBorder="1" applyAlignment="1">
      <alignment horizontal="center"/>
    </xf>
  </cellXfs>
  <cellStyles count="8">
    <cellStyle name="blp_column_header" xfId="1" xr:uid="{00000000-0005-0000-0000-000000000000}"/>
    <cellStyle name="Comma 2 2" xfId="2" xr:uid="{00000000-0005-0000-0000-000001000000}"/>
    <cellStyle name="Hyperlink" xfId="3" builtinId="8"/>
    <cellStyle name="Normal" xfId="0" builtinId="0"/>
    <cellStyle name="Normal 2" xfId="4" xr:uid="{00000000-0005-0000-0000-000005000000}"/>
    <cellStyle name="Normal 2 2" xfId="5" xr:uid="{00000000-0005-0000-0000-000006000000}"/>
    <cellStyle name="Normal_Sovereign Ratings Summary 11-7-06" xfId="6" xr:uid="{00000000-0005-0000-0000-000007000000}"/>
    <cellStyle name="Percent" xfId="7" builtinId="5"/>
  </cellStyles>
  <dxfs count="32">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numFmt numFmtId="14" formatCode="0.00%"/>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14"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66" formatCode="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64"/>
        </bottom>
      </border>
    </dxf>
    <dxf>
      <font>
        <b val="0"/>
        <i/>
        <strike val="0"/>
        <condense val="0"/>
        <extend val="0"/>
        <outline val="0"/>
        <shadow val="0"/>
        <u val="none"/>
        <vertAlign val="baseline"/>
        <sz val="9"/>
        <color auto="1"/>
        <name val="Geneva"/>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fill>
        <patternFill patternType="solid">
          <fgColor indexed="64"/>
          <bgColor theme="0" tint="-0.249977111117893"/>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alignment horizontal="left" vertical="bottom"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alignment horizontal="center" vertical="bottom" textRotation="0" wrapText="0" indent="0" justifyLastLine="0" shrinkToFit="0" readingOrder="0"/>
    </dxf>
    <dxf>
      <border outline="0">
        <bottom style="thin">
          <color indexed="64"/>
        </bottom>
      </border>
    </dxf>
    <dxf>
      <font>
        <b/>
        <i/>
        <strike val="0"/>
        <condense val="0"/>
        <extend val="0"/>
        <outline val="0"/>
        <shadow val="0"/>
        <u val="none"/>
        <vertAlign val="baseline"/>
        <sz val="12"/>
        <color auto="1"/>
        <name val="Times"/>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1" defaultTableStyle="TableStyleMedium9" defaultPivotStyle="PivotStyleMedium4">
    <tableStyle name="Table Style 1" pivot="0" count="0" xr9:uid="{B1AFBFE3-7FC1-5C4D-8DD6-A6FA14F367A7}"/>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203.264294328706" createdVersion="4" refreshedVersion="8" minRefreshableVersion="3" recordCount="157" xr:uid="{00000000-000A-0000-FFFF-FFFF1E000000}">
  <cacheSource type="worksheet">
    <worksheetSource ref="A1:I158" sheet="Regional breakdown"/>
  </cacheSource>
  <cacheFields count="9">
    <cacheField name="Country" numFmtId="0">
      <sharedItems count="158">
        <s v="Abu Dhabi"/>
        <s v="Albania"/>
        <s v="Andorra (Principality of)"/>
        <s v="Angola"/>
        <s v="Argentina"/>
        <s v="Armenia"/>
        <s v="Aruba"/>
        <s v="Australia"/>
        <s v="Austria"/>
        <s v="Azerbaijan"/>
        <s v="Bahamas"/>
        <s v="Bahrain"/>
        <s v="Bangladesh"/>
        <s v="Barbados"/>
        <s v="Belarus"/>
        <s v="Belgium"/>
        <s v="Belize"/>
        <s v="Benin"/>
        <s v="Bermuda"/>
        <s v="Bolivia"/>
        <s v="Bosnia and Herzegovina"/>
        <s v="Botswana"/>
        <s v="Brazil"/>
        <s v="Bulgaria"/>
        <s v="Burkina Faso"/>
        <s v="Cambodia"/>
        <s v="Cameroon"/>
        <s v="Canada"/>
        <s v="Cape Verde"/>
        <s v="Cayman Islands"/>
        <s v="Chile"/>
        <s v="China"/>
        <s v="Colombia"/>
        <s v="Congo (Democratic Republic of)"/>
        <s v="Congo (Republic of)"/>
        <s v="Cook Islands"/>
        <s v="Costa Rica"/>
        <s v="Côte d'Ivoire"/>
        <s v="Croatia"/>
        <s v="Cuba"/>
        <s v="Curacao"/>
        <s v="Cyprus"/>
        <s v="Czech Republic"/>
        <s v="Denmark"/>
        <s v="Dominican Republic"/>
        <s v="Ecuador"/>
        <s v="Egypt"/>
        <s v="El Salvador"/>
        <s v="Estonia"/>
        <s v="Ethiopia"/>
        <s v="Fiji"/>
        <s v="Finland"/>
        <s v="France"/>
        <s v="Gabon"/>
        <s v="Georgia"/>
        <s v="Germany"/>
        <s v="Ghana"/>
        <s v="Greece"/>
        <s v="Guatemala"/>
        <s v="Guernsey (States of)"/>
        <s v="Honduras"/>
        <s v="Hong Kong"/>
        <s v="Hungary"/>
        <s v="Iceland"/>
        <s v="India"/>
        <s v="Indonesia"/>
        <s v="Iraq"/>
        <s v="Ireland"/>
        <s v="Isle of Man"/>
        <s v="Israel"/>
        <s v="Italy"/>
        <s v="Jamaica"/>
        <s v="Japan"/>
        <s v="Jersey (States of)"/>
        <s v="Jordan"/>
        <s v="Kazakhstan"/>
        <s v="Kenya"/>
        <s v="Korea"/>
        <s v="Kuwait"/>
        <s v="Kyrgyzstan"/>
        <s v="Laos"/>
        <s v="Latvia"/>
        <s v="Lebanon"/>
        <s v="Liechtenstein"/>
        <s v="Lithuania"/>
        <s v="Luxembourg"/>
        <s v="Macao"/>
        <s v="Macedonia"/>
        <s v="Malaysia"/>
        <s v="Maldives"/>
        <s v="Mali"/>
        <s v="Malta"/>
        <s v="Mauritius"/>
        <s v="Mexico"/>
        <s v="Moldova"/>
        <s v="Mongolia"/>
        <s v="Montenegro"/>
        <s v="Montserrat"/>
        <s v="Morocco"/>
        <s v="Mozambique"/>
        <s v="Namibia"/>
        <s v="Nepal"/>
        <s v="Netherlands"/>
        <s v="New Zealand"/>
        <s v="Nicaragua"/>
        <s v="Niger"/>
        <s v="Nigeria"/>
        <s v="Norway"/>
        <s v="Oman"/>
        <s v="Pakistan"/>
        <s v="Panama"/>
        <s v="Papua New Guinea"/>
        <s v="Paraguay"/>
        <s v="Peru"/>
        <s v="Philippines"/>
        <s v="Poland"/>
        <s v="Portugal"/>
        <s v="Qatar"/>
        <s v="Ras Al Khaimah (Emirate of)"/>
        <s v="Romania"/>
        <s v="Rwanda"/>
        <s v="Saudi Arabia"/>
        <s v="Senegal"/>
        <s v="Serbia"/>
        <s v="Sharjah"/>
        <s v="Singapore"/>
        <s v="Slovakia"/>
        <s v="Slovenia"/>
        <s v="Solomon Islands"/>
        <s v="South Africa"/>
        <s v="Spain"/>
        <s v="Sri Lanka"/>
        <s v="St. Maarten"/>
        <s v="St. Vincent &amp; the Grenadines"/>
        <s v="Suriname"/>
        <s v="Swaziland"/>
        <s v="Sweden"/>
        <s v="Switzerland"/>
        <s v="Taiwan"/>
        <s v="Tajikistan"/>
        <s v="Tanzania"/>
        <s v="Thailand"/>
        <s v="Togo"/>
        <s v="Trinidad and Tobago"/>
        <s v="Tunisia"/>
        <s v="Turkey"/>
        <s v="Turks and Caicos Islands"/>
        <s v="Uganda"/>
        <s v="Ukraine"/>
        <s v="United Arab Emirates"/>
        <s v="United Kingdom"/>
        <s v="United States"/>
        <s v="Uruguay"/>
        <s v="Uzbekistan"/>
        <s v="Venezuela"/>
        <s v="Vietnam"/>
        <s v="Zambia"/>
        <s v="Russia" u="1"/>
      </sharedItems>
    </cacheField>
    <cacheField name="GDP (in millions) in 2023" numFmtId="2">
      <sharedItems containsSemiMixedTypes="0" containsString="0" containsNumber="1" minValue="0" maxValue="27360935"/>
    </cacheField>
    <cacheField name="Moody's rating" numFmtId="0">
      <sharedItems/>
    </cacheField>
    <cacheField name="Sovereign CDS" numFmtId="10">
      <sharedItems containsMixedTypes="1" containsNumber="1" minValue="1.4E-3" maxValue="0.32969999999999999"/>
    </cacheField>
    <cacheField name="Adj. Default Spread" numFmtId="10">
      <sharedItems containsSemiMixedTypes="0" containsString="0" containsNumber="1" minValue="0" maxValue="0.17499999999999999"/>
    </cacheField>
    <cacheField name="Equity Risk Premium" numFmtId="10">
      <sharedItems containsSemiMixedTypes="0" containsString="0" containsNumber="1" minValue="4.3299999999999998E-2" maxValue="0.24981313564796848"/>
    </cacheField>
    <cacheField name="Country Risk Premium" numFmtId="10">
      <sharedItems containsSemiMixedTypes="0" containsString="0" containsNumber="1" minValue="0" maxValue="0.20651313564796847"/>
    </cacheField>
    <cacheField name="Corporate Tax Rate" numFmtId="10">
      <sharedItems containsSemiMixedTypes="0" containsString="0" containsNumber="1" minValue="0" maxValue="0.36"/>
    </cacheField>
    <cacheField name="Region" numFmtId="0">
      <sharedItems count="9">
        <s v="Middle East"/>
        <s v="Eastern Europe &amp; Russia"/>
        <s v="Western Europe"/>
        <s v="Africa"/>
        <s v="Central and South America"/>
        <s v="Caribbean"/>
        <s v="Australia &amp; New Zealand"/>
        <s v="Asia"/>
        <s v="North Americ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x v="0"/>
    <n v="310000"/>
    <s v="Aa2"/>
    <n v="7.6E-3"/>
    <n v="4.8889784279692525E-3"/>
    <n v="4.906936151585832E-2"/>
    <n v="5.7693615158583194E-3"/>
    <n v="0.15"/>
    <x v="0"/>
  </r>
  <r>
    <x v="1"/>
    <n v="22977.677860797856"/>
    <s v="Ba3"/>
    <s v="NA"/>
    <n v="3.5619699975204554E-2"/>
    <n v="8.5333919615539183E-2"/>
    <n v="4.2033919615539185E-2"/>
    <n v="0.15"/>
    <x v="1"/>
  </r>
  <r>
    <x v="2"/>
    <n v="3352"/>
    <s v="Baa1"/>
    <s v="NA"/>
    <n v="1.5830977766757577E-2"/>
    <n v="6.1981742051350749E-2"/>
    <n v="1.8681742051350748E-2"/>
    <n v="0.1898"/>
    <x v="2"/>
  </r>
  <r>
    <x v="3"/>
    <n v="84722.957642375652"/>
    <s v="B3"/>
    <n v="6.7400000000000002E-2"/>
    <n v="6.4371549301595152E-2"/>
    <n v="0.11926325995880119"/>
    <n v="7.5963259958801196E-2"/>
    <n v="0.25"/>
    <x v="3"/>
  </r>
  <r>
    <x v="4"/>
    <n v="640591.41066388343"/>
    <s v="Ca"/>
    <s v="NA"/>
    <n v="0.11884873749896685"/>
    <n v="0.18355043113550823"/>
    <n v="0.14025043113550822"/>
    <n v="0.35"/>
    <x v="4"/>
  </r>
  <r>
    <x v="5"/>
    <n v="24212.134631064004"/>
    <s v="Ba3"/>
    <s v="NA"/>
    <n v="3.5619699975204554E-2"/>
    <n v="8.5333919615539183E-2"/>
    <n v="4.2033919615539185E-2"/>
    <n v="0.18"/>
    <x v="1"/>
  </r>
  <r>
    <x v="6"/>
    <n v="3544.7077880566426"/>
    <s v="Baa3"/>
    <s v="NA"/>
    <n v="2.1767594429291676E-2"/>
    <n v="6.8987395320607284E-2"/>
    <n v="2.5687395320607286E-2"/>
    <n v="0.25"/>
    <x v="5"/>
  </r>
  <r>
    <x v="7"/>
    <n v="1723827.2153347062"/>
    <s v="Aaa"/>
    <n v="1.8E-3"/>
    <n v="0"/>
    <n v="4.3299999999999998E-2"/>
    <n v="0"/>
    <n v="0.3"/>
    <x v="6"/>
  </r>
  <r>
    <x v="8"/>
    <n v="516034.14411595033"/>
    <s v="Aa1"/>
    <n v="2.5999999999999999E-3"/>
    <n v="3.9577444416893943E-3"/>
    <n v="4.7970435512837688E-2"/>
    <n v="4.6704355128376869E-3"/>
    <n v="0.24"/>
    <x v="2"/>
  </r>
  <r>
    <x v="9"/>
    <n v="72356.176470588238"/>
    <s v="Ba1"/>
    <s v="NA"/>
    <n v="2.4794104884701216E-2"/>
    <n v="7.2558904830424348E-2"/>
    <n v="2.9258904830424343E-2"/>
    <n v="0.2"/>
    <x v="1"/>
  </r>
  <r>
    <x v="10"/>
    <n v="11210"/>
    <s v="B1"/>
    <s v="NA"/>
    <n v="4.4582827093148182E-2"/>
    <n v="9.5911082394612768E-2"/>
    <n v="5.261108239461277E-2"/>
    <n v="0"/>
    <x v="5"/>
  </r>
  <r>
    <x v="11"/>
    <n v="43205"/>
    <s v="B2"/>
    <n v="2.5100000000000001E-2"/>
    <n v="5.4477188197371677E-2"/>
    <n v="0.10758717117670699"/>
    <n v="6.4287171176707E-2"/>
    <n v="0"/>
    <x v="0"/>
  </r>
  <r>
    <x v="12"/>
    <n v="437415.33104099432"/>
    <s v="B2"/>
    <s v="NA"/>
    <n v="5.4477188197371677E-2"/>
    <n v="0.10758717117670699"/>
    <n v="6.4287171176707E-2"/>
    <n v="0.3"/>
    <x v="7"/>
  </r>
  <r>
    <x v="13"/>
    <n v="6393.5641896134503"/>
    <s v="B3"/>
    <s v="NA"/>
    <n v="6.4371549301595152E-2"/>
    <n v="0.11926325995880119"/>
    <n v="7.5963259958801196E-2"/>
    <n v="5.5E-2"/>
    <x v="5"/>
  </r>
  <r>
    <x v="14"/>
    <n v="71857.382745606592"/>
    <s v="C"/>
    <s v="NA"/>
    <n v="0.17499999999999999"/>
    <n v="0.24981313564796848"/>
    <n v="0.20651313564796847"/>
    <n v="0.18"/>
    <x v="1"/>
  </r>
  <r>
    <x v="15"/>
    <n v="632216.57707510924"/>
    <s v="Aa3"/>
    <n v="4.3E-3"/>
    <n v="5.9366166625340932E-3"/>
    <n v="5.0305653269256533E-2"/>
    <n v="7.0056532692565317E-3"/>
    <n v="0.25"/>
    <x v="2"/>
  </r>
  <r>
    <x v="16"/>
    <n v="3281.5"/>
    <s v="Caa1"/>
    <s v="NA"/>
    <n v="7.4265910405818647E-2"/>
    <n v="0.13093934874089544"/>
    <n v="8.7639348740895434E-2"/>
    <n v="0.2853"/>
    <x v="4"/>
  </r>
  <r>
    <x v="17"/>
    <n v="19673.284686002258"/>
    <s v="B1"/>
    <s v="NA"/>
    <n v="4.4582827093148182E-2"/>
    <n v="9.5911082394612768E-2"/>
    <n v="5.261108239461277E-2"/>
    <n v="0.3"/>
    <x v="3"/>
  </r>
  <r>
    <x v="18"/>
    <n v="7827.98"/>
    <s v="A2"/>
    <s v="NA"/>
    <n v="8.3811058765187203E-3"/>
    <n v="5.319033402718569E-2"/>
    <n v="9.8903340271856918E-3"/>
    <n v="0"/>
    <x v="5"/>
  </r>
  <r>
    <x v="19"/>
    <n v="45849.832906413896"/>
    <s v="Caa3"/>
    <s v="NA"/>
    <n v="9.9060015290519873E-2"/>
    <n v="0.16019825357131978"/>
    <n v="0.11689825357131978"/>
    <n v="0.25"/>
    <x v="4"/>
  </r>
  <r>
    <x v="20"/>
    <n v="27054.889362885206"/>
    <s v="B3"/>
    <s v="NA"/>
    <n v="6.4371549301595152E-2"/>
    <n v="0.11926325995880119"/>
    <n v="7.5963259958801196E-2"/>
    <n v="0.1"/>
    <x v="1"/>
  </r>
  <r>
    <x v="21"/>
    <n v="19395.765126312748"/>
    <s v="A3"/>
    <s v="NA"/>
    <n v="1.1873233325068186E-2"/>
    <n v="5.731130653851306E-2"/>
    <n v="1.4011306538513063E-2"/>
    <n v="0.22"/>
    <x v="3"/>
  </r>
  <r>
    <x v="22"/>
    <n v="2173665.6559372735"/>
    <s v="Ba1"/>
    <n v="3.2300000000000002E-2"/>
    <n v="2.4794104884701216E-2"/>
    <n v="7.2558904830424348E-2"/>
    <n v="2.9258904830424343E-2"/>
    <n v="0.34"/>
    <x v="4"/>
  </r>
  <r>
    <x v="23"/>
    <n v="101584.38467278588"/>
    <s v="Baa1"/>
    <n v="1.43E-2"/>
    <n v="1.5830977766757577E-2"/>
    <n v="6.1981742051350749E-2"/>
    <n v="1.8681742051350748E-2"/>
    <n v="0.1"/>
    <x v="1"/>
  </r>
  <r>
    <x v="24"/>
    <n v="20324.617838967646"/>
    <s v="Caa1"/>
    <s v="NA"/>
    <n v="7.4265910405818647E-2"/>
    <n v="0.13093934874089544"/>
    <n v="8.7639348740895434E-2"/>
    <n v="0.28000000000000003"/>
    <x v="3"/>
  </r>
  <r>
    <x v="25"/>
    <n v="31772.759998857127"/>
    <s v="B2"/>
    <s v="NA"/>
    <n v="5.4477188197371677E-2"/>
    <n v="0.10758717117670699"/>
    <n v="6.4287171176707E-2"/>
    <n v="0.2"/>
    <x v="7"/>
  </r>
  <r>
    <x v="26"/>
    <n v="47945.510090052856"/>
    <s v="Caa1"/>
    <n v="7.0699999999999999E-2"/>
    <n v="7.4265910405818647E-2"/>
    <n v="0.13093934874089544"/>
    <n v="8.7639348740895434E-2"/>
    <n v="0.33"/>
    <x v="3"/>
  </r>
  <r>
    <x v="27"/>
    <n v="2140085.5677914512"/>
    <s v="Aaa"/>
    <n v="3.8E-3"/>
    <n v="0"/>
    <n v="4.3299999999999998E-2"/>
    <n v="0"/>
    <n v="0.26500000000000001"/>
    <x v="8"/>
  </r>
  <r>
    <x v="28"/>
    <n v="1936"/>
    <s v="B2"/>
    <s v="NA"/>
    <n v="5.4477188197371677E-2"/>
    <n v="0.10758717117670699"/>
    <n v="6.4287171176707E-2"/>
    <n v="0"/>
    <x v="3"/>
  </r>
  <r>
    <x v="29"/>
    <n v="6600.8440015372053"/>
    <s v="Aa3"/>
    <s v="NA"/>
    <n v="5.9366166625340932E-3"/>
    <n v="5.0305653269256533E-2"/>
    <n v="7.0056532692565317E-3"/>
    <n v="0"/>
    <x v="5"/>
  </r>
  <r>
    <x v="30"/>
    <n v="335533.33166921913"/>
    <s v="A2"/>
    <n v="1.17E-2"/>
    <n v="8.3811058765187203E-3"/>
    <n v="5.319033402718569E-2"/>
    <n v="9.8903340271856918E-3"/>
    <n v="0.27"/>
    <x v="4"/>
  </r>
  <r>
    <x v="31"/>
    <n v="17794781.986104459"/>
    <s v="A1"/>
    <n v="9.7000000000000003E-3"/>
    <n v="6.9842548970989338E-3"/>
    <n v="5.1541945022654745E-2"/>
    <n v="8.2419450226547449E-3"/>
    <n v="0.25"/>
    <x v="7"/>
  </r>
  <r>
    <x v="32"/>
    <n v="363540.15623486834"/>
    <s v="Baa2"/>
    <n v="3.3700000000000001E-2"/>
    <n v="1.885748822216712E-2"/>
    <n v="6.5553251561167813E-2"/>
    <n v="2.2253251561167808E-2"/>
    <n v="0.35"/>
    <x v="4"/>
  </r>
  <r>
    <x v="33"/>
    <n v="66383.287002996891"/>
    <s v="B3"/>
    <s v="NA"/>
    <n v="6.4371549301595152E-2"/>
    <n v="0.11926325995880119"/>
    <n v="7.5963259958801196E-2"/>
    <n v="0.3"/>
    <x v="3"/>
  </r>
  <r>
    <x v="34"/>
    <n v="15321.055818326313"/>
    <s v="Caa2"/>
    <s v="NA"/>
    <n v="8.9165654186296364E-2"/>
    <n v="0.14852216478922553"/>
    <n v="0.10522216478922554"/>
    <n v="0.28000000000000003"/>
    <x v="3"/>
  </r>
  <r>
    <x v="35"/>
    <n v="1414"/>
    <s v="B1"/>
    <s v="NA"/>
    <n v="4.4582827093148182E-2"/>
    <n v="9.5911082394612768E-2"/>
    <n v="5.261108239461277E-2"/>
    <n v="0.2974"/>
    <x v="6"/>
  </r>
  <r>
    <x v="36"/>
    <n v="86497.941439017435"/>
    <s v="Ba3"/>
    <n v="2.4500000000000001E-2"/>
    <n v="3.5619699975204554E-2"/>
    <n v="8.5333919615539183E-2"/>
    <n v="4.2033919615539185E-2"/>
    <n v="0.3"/>
    <x v="4"/>
  </r>
  <r>
    <x v="37"/>
    <n v="78788.828906863448"/>
    <s v="Ba2"/>
    <s v="NA"/>
    <n v="2.9799487560955448E-2"/>
    <n v="7.8465632096660243E-2"/>
    <n v="3.5165632096660238E-2"/>
    <n v="0.25"/>
    <x v="3"/>
  </r>
  <r>
    <x v="38"/>
    <n v="82688.842717392588"/>
    <s v="A3"/>
    <n v="1.26E-2"/>
    <n v="1.1873233325068186E-2"/>
    <n v="5.731130653851306E-2"/>
    <n v="1.4011306538513063E-2"/>
    <n v="0.18"/>
    <x v="1"/>
  </r>
  <r>
    <x v="39"/>
    <n v="107351"/>
    <s v="Ca"/>
    <s v="NA"/>
    <n v="0.11884873749896685"/>
    <n v="0.18355043113550823"/>
    <n v="0.14025043113550822"/>
    <n v="0.2853"/>
    <x v="5"/>
  </r>
  <r>
    <x v="40"/>
    <n v="3073.8403254328496"/>
    <s v="Baa3"/>
    <s v="NA"/>
    <n v="2.1767594429291676E-2"/>
    <n v="6.8987395320607284E-2"/>
    <n v="2.5687395320607286E-2"/>
    <n v="0.22"/>
    <x v="5"/>
  </r>
  <r>
    <x v="41"/>
    <n v="32229.622669195112"/>
    <s v="A3"/>
    <n v="9.9000000000000008E-3"/>
    <n v="1.1873233325068186E-2"/>
    <n v="5.731130653851306E-2"/>
    <n v="1.4011306538513063E-2"/>
    <n v="0.125"/>
    <x v="2"/>
  </r>
  <r>
    <x v="42"/>
    <n v="330858.33987168607"/>
    <s v="Aa3"/>
    <n v="5.0000000000000001E-3"/>
    <n v="5.9366166625340932E-3"/>
    <n v="5.0305653269256533E-2"/>
    <n v="7.0056532692565317E-3"/>
    <n v="0.19"/>
    <x v="1"/>
  </r>
  <r>
    <x v="43"/>
    <n v="404198.75753797416"/>
    <s v="Aaa"/>
    <n v="1.8E-3"/>
    <n v="0"/>
    <n v="4.3299999999999998E-2"/>
    <n v="0"/>
    <n v="0.22"/>
    <x v="2"/>
  </r>
  <r>
    <x v="44"/>
    <n v="121444.27931393079"/>
    <s v="Ba3"/>
    <s v="NA"/>
    <n v="3.5619699975204554E-2"/>
    <n v="8.5333919615539183E-2"/>
    <n v="4.2033919615539185E-2"/>
    <n v="0.27"/>
    <x v="5"/>
  </r>
  <r>
    <x v="45"/>
    <n v="118844.826"/>
    <s v="Caa3"/>
    <n v="0.1908"/>
    <n v="9.9060015290519873E-2"/>
    <n v="0.16019825357131978"/>
    <n v="0.11689825357131978"/>
    <n v="0.25"/>
    <x v="4"/>
  </r>
  <r>
    <x v="46"/>
    <n v="395926.07516300579"/>
    <s v="Caa1"/>
    <n v="6.3500000000000001E-2"/>
    <n v="7.4265910405818647E-2"/>
    <n v="0.13093934874089544"/>
    <n v="8.7639348740895434E-2"/>
    <n v="0.22500000000000001"/>
    <x v="3"/>
  </r>
  <r>
    <x v="47"/>
    <n v="34015.620000000003"/>
    <s v="B3"/>
    <n v="4.2000000000000003E-2"/>
    <n v="6.4371549301595152E-2"/>
    <n v="0.11926325995880119"/>
    <n v="7.5963259958801196E-2"/>
    <n v="0.3"/>
    <x v="4"/>
  </r>
  <r>
    <x v="48"/>
    <n v="40744.848827953661"/>
    <s v="A1"/>
    <n v="8.0999999999999996E-3"/>
    <n v="6.9842548970989338E-3"/>
    <n v="5.1541945022654745E-2"/>
    <n v="8.2419450226547449E-3"/>
    <n v="0.2"/>
    <x v="1"/>
  </r>
  <r>
    <x v="49"/>
    <n v="163697.92759398237"/>
    <s v="Caa2"/>
    <n v="0.32969999999999999"/>
    <n v="8.9165654186296364E-2"/>
    <n v="0.14852216478922553"/>
    <n v="0.10522216478922554"/>
    <n v="0.3"/>
    <x v="3"/>
  </r>
  <r>
    <x v="50"/>
    <n v="5494.7975407336471"/>
    <s v="B1"/>
    <s v="NA"/>
    <n v="4.4582827093148182E-2"/>
    <n v="9.5911082394612768E-2"/>
    <n v="5.261108239461277E-2"/>
    <n v="0.2"/>
    <x v="7"/>
  </r>
  <r>
    <x v="51"/>
    <n v="300187.20269608375"/>
    <s v="Aa1"/>
    <n v="3.3E-3"/>
    <n v="3.9577444416893943E-3"/>
    <n v="4.7970435512837688E-2"/>
    <n v="4.6704355128376869E-3"/>
    <n v="0.2"/>
    <x v="2"/>
  </r>
  <r>
    <x v="52"/>
    <n v="3030904.0896078963"/>
    <s v="Aa3"/>
    <n v="6.8999999999999999E-3"/>
    <n v="5.9366166625340932E-3"/>
    <n v="5.0305653269256533E-2"/>
    <n v="7.0056532692565317E-3"/>
    <n v="0.25"/>
    <x v="2"/>
  </r>
  <r>
    <x v="53"/>
    <n v="20516.134388660783"/>
    <s v="Caa2"/>
    <s v="NA"/>
    <n v="8.9165654186296364E-2"/>
    <n v="0.14852216478922553"/>
    <n v="0.10522216478922554"/>
    <n v="0.3"/>
    <x v="3"/>
  </r>
  <r>
    <x v="54"/>
    <n v="30535.530479022662"/>
    <s v="Ba2"/>
    <s v="NA"/>
    <n v="2.9799487560955448E-2"/>
    <n v="7.8465632096660243E-2"/>
    <n v="3.5165632096660238E-2"/>
    <n v="0.15"/>
    <x v="1"/>
  </r>
  <r>
    <x v="55"/>
    <n v="4456081.016705961"/>
    <s v="Aaa"/>
    <n v="2.8E-3"/>
    <n v="0"/>
    <n v="4.3299999999999998E-2"/>
    <n v="0"/>
    <n v="0.3"/>
    <x v="2"/>
  </r>
  <r>
    <x v="56"/>
    <n v="76370.394412416266"/>
    <s v="Caa2"/>
    <s v="NA"/>
    <n v="8.9165654186296364E-2"/>
    <n v="0.14852216478922553"/>
    <n v="0.10522216478922554"/>
    <n v="0.25"/>
    <x v="3"/>
  </r>
  <r>
    <x v="57"/>
    <n v="238206.31263252773"/>
    <s v="Ba1"/>
    <n v="1.17E-2"/>
    <n v="2.4794104884701216E-2"/>
    <n v="7.2558904830424348E-2"/>
    <n v="2.9258904830424343E-2"/>
    <n v="0.22"/>
    <x v="2"/>
  </r>
  <r>
    <x v="58"/>
    <n v="102050.47386363636"/>
    <s v="Ba1"/>
    <s v="NA"/>
    <n v="2.4794104884701216E-2"/>
    <n v="7.2558904830424348E-2"/>
    <n v="2.9258904830424343E-2"/>
    <n v="0.25"/>
    <x v="4"/>
  </r>
  <r>
    <x v="59"/>
    <n v="3446"/>
    <s v="A1"/>
    <s v="NA"/>
    <n v="6.9842548970989338E-3"/>
    <n v="5.1541945022654745E-2"/>
    <n v="8.2419450226547449E-3"/>
    <n v="0"/>
    <x v="2"/>
  </r>
  <r>
    <x v="60"/>
    <n v="34400.509852043651"/>
    <s v="B1"/>
    <s v="NA"/>
    <n v="4.4582827093148182E-2"/>
    <n v="9.5911082394612768E-2"/>
    <n v="5.261108239461277E-2"/>
    <n v="0.25"/>
    <x v="4"/>
  </r>
  <r>
    <x v="61"/>
    <n v="382054.57429852907"/>
    <s v="Aa3"/>
    <n v="6.4000000000000003E-3"/>
    <n v="5.9366166625340932E-3"/>
    <n v="5.0305653269256533E-2"/>
    <n v="7.0056532692565317E-3"/>
    <n v="0.16500000000000001"/>
    <x v="7"/>
  </r>
  <r>
    <x v="62"/>
    <n v="212388.90645872394"/>
    <s v="Baa2"/>
    <n v="1.7899999999999999E-2"/>
    <n v="1.885748822216712E-2"/>
    <n v="6.5553251561167813E-2"/>
    <n v="2.2253251561167808E-2"/>
    <n v="0.09"/>
    <x v="1"/>
  </r>
  <r>
    <x v="63"/>
    <n v="31020.032583197215"/>
    <s v="A1"/>
    <n v="3.0999999999999999E-3"/>
    <n v="6.9842548970989338E-3"/>
    <n v="5.1541945022654745E-2"/>
    <n v="8.2419450226547449E-3"/>
    <n v="0.2"/>
    <x v="2"/>
  </r>
  <r>
    <x v="64"/>
    <n v="3549918.9187775319"/>
    <s v="Baa3"/>
    <n v="9.4999999999999998E-3"/>
    <n v="2.1767594429291676E-2"/>
    <n v="6.8987395320607284E-2"/>
    <n v="2.5687395320607286E-2"/>
    <n v="0.3"/>
    <x v="7"/>
  </r>
  <r>
    <x v="65"/>
    <n v="1371171.152331155"/>
    <s v="Baa2"/>
    <n v="1.3100000000000001E-2"/>
    <n v="1.885748822216712E-2"/>
    <n v="6.5553251561167813E-2"/>
    <n v="2.2253251561167808E-2"/>
    <n v="0.22"/>
    <x v="7"/>
  </r>
  <r>
    <x v="66"/>
    <n v="250842.78213946417"/>
    <s v="Caa1"/>
    <n v="4.1500000000000002E-2"/>
    <n v="7.4265910405818647E-2"/>
    <n v="0.13093934874089544"/>
    <n v="8.7639348740895434E-2"/>
    <n v="0.15"/>
    <x v="0"/>
  </r>
  <r>
    <x v="67"/>
    <n v="545629.45040373516"/>
    <s v="Aa3"/>
    <n v="3.0999999999999999E-3"/>
    <n v="5.9366166625340932E-3"/>
    <n v="5.0305653269256533E-2"/>
    <n v="7.0056532692565317E-3"/>
    <n v="0.125"/>
    <x v="2"/>
  </r>
  <r>
    <x v="68"/>
    <n v="0"/>
    <s v="Aa3"/>
    <s v="NA"/>
    <n v="5.9366166625340932E-3"/>
    <n v="5.0305653269256533E-2"/>
    <n v="7.0056532692565317E-3"/>
    <n v="0"/>
    <x v="2"/>
  </r>
  <r>
    <x v="69"/>
    <n v="509901.49570210325"/>
    <s v="Baa1"/>
    <n v="1.44E-2"/>
    <n v="1.5830977766757577E-2"/>
    <n v="6.1981742051350749E-2"/>
    <n v="1.8681742051350748E-2"/>
    <n v="0.23"/>
    <x v="0"/>
  </r>
  <r>
    <x v="70"/>
    <n v="2254851.2127318047"/>
    <s v="Baa3"/>
    <n v="1.18E-2"/>
    <n v="2.1767594429291676E-2"/>
    <n v="6.8987395320607284E-2"/>
    <n v="2.5687395320607286E-2"/>
    <n v="0.24"/>
    <x v="2"/>
  </r>
  <r>
    <x v="71"/>
    <n v="19423.355367237178"/>
    <s v="B1"/>
    <s v="NA"/>
    <n v="4.4582827093148182E-2"/>
    <n v="9.5911082394612768E-2"/>
    <n v="5.261108239461277E-2"/>
    <n v="0.25"/>
    <x v="5"/>
  </r>
  <r>
    <x v="72"/>
    <n v="4212945.1597814029"/>
    <s v="A1"/>
    <n v="3.3E-3"/>
    <n v="6.9842548970989338E-3"/>
    <n v="5.1541945022654745E-2"/>
    <n v="8.2419450226547449E-3"/>
    <n v="0.30620000000000003"/>
    <x v="7"/>
  </r>
  <r>
    <x v="73"/>
    <n v="4890"/>
    <s v="Aa2"/>
    <s v="NA"/>
    <n v="4.8889784279692525E-3"/>
    <n v="4.906936151585832E-2"/>
    <n v="5.7693615158583194E-3"/>
    <n v="0"/>
    <x v="2"/>
  </r>
  <r>
    <x v="74"/>
    <n v="50813.642348674643"/>
    <s v="Ba3"/>
    <s v="NA"/>
    <n v="3.5619699975204554E-2"/>
    <n v="8.5333919615539183E-2"/>
    <n v="4.2033919615539185E-2"/>
    <n v="0.2"/>
    <x v="0"/>
  </r>
  <r>
    <x v="75"/>
    <n v="261421.12108557209"/>
    <s v="Baa1"/>
    <n v="1.3599999999999999E-2"/>
    <n v="1.5830977766757577E-2"/>
    <n v="6.1981742051350749E-2"/>
    <n v="1.8681742051350748E-2"/>
    <n v="0.2"/>
    <x v="1"/>
  </r>
  <r>
    <x v="76"/>
    <n v="107440.57583804752"/>
    <s v="Caa1"/>
    <n v="5.9200000000000003E-2"/>
    <n v="7.4265910405818647E-2"/>
    <n v="0.13093934874089544"/>
    <n v="8.7639348740895434E-2"/>
    <n v="0.3"/>
    <x v="3"/>
  </r>
  <r>
    <x v="77"/>
    <n v="1712792.8542023688"/>
    <s v="Aa2"/>
    <n v="4.7999999999999996E-3"/>
    <n v="4.8889784279692525E-3"/>
    <n v="4.906936151585832E-2"/>
    <n v="5.7693615158583194E-3"/>
    <n v="0.25"/>
    <x v="7"/>
  </r>
  <r>
    <x v="78"/>
    <n v="11000"/>
    <s v="A1"/>
    <n v="9.4000000000000004E-3"/>
    <n v="6.9842548970989338E-3"/>
    <n v="5.1541945022654745E-2"/>
    <n v="8.2419450226547449E-3"/>
    <n v="0.15"/>
    <x v="0"/>
  </r>
  <r>
    <x v="79"/>
    <n v="13987.627908838138"/>
    <s v="B3"/>
    <s v="NA"/>
    <n v="6.4371549301595152E-2"/>
    <n v="0.11926325995880119"/>
    <n v="7.5963259958801196E-2"/>
    <n v="0.1"/>
    <x v="1"/>
  </r>
  <r>
    <x v="80"/>
    <n v="15843.155731255179"/>
    <s v="Caa3"/>
    <s v="NA"/>
    <n v="9.9060015290519873E-2"/>
    <n v="0.16019825357131978"/>
    <n v="0.11689825357131978"/>
    <n v="0.26860000000000001"/>
    <x v="7"/>
  </r>
  <r>
    <x v="81"/>
    <n v="43627.078481287048"/>
    <s v="A3"/>
    <n v="8.5000000000000006E-3"/>
    <n v="1.1873233325068186E-2"/>
    <n v="5.731130653851306E-2"/>
    <n v="1.4011306538513063E-2"/>
    <n v="0.2"/>
    <x v="1"/>
  </r>
  <r>
    <x v="82"/>
    <n v="17937.256175140981"/>
    <s v="C"/>
    <s v="NA"/>
    <n v="0.17499999999999999"/>
    <n v="0.24981313564796848"/>
    <n v="0.20651313564796847"/>
    <n v="0.17"/>
    <x v="0"/>
  </r>
  <r>
    <x v="83"/>
    <n v="7364.6545151398359"/>
    <s v="Aaa"/>
    <s v="NA"/>
    <n v="0"/>
    <n v="4.3299999999999998E-2"/>
    <n v="0"/>
    <n v="0.125"/>
    <x v="2"/>
  </r>
  <r>
    <x v="84"/>
    <n v="77836.396962771963"/>
    <s v="A2"/>
    <n v="9.5999999999999992E-3"/>
    <n v="8.3811058765187203E-3"/>
    <n v="5.319033402718569E-2"/>
    <n v="9.8903340271856918E-3"/>
    <n v="0.15"/>
    <x v="1"/>
  </r>
  <r>
    <x v="85"/>
    <n v="85755.006123597588"/>
    <s v="Aaa"/>
    <s v="NA"/>
    <n v="0"/>
    <n v="4.3299999999999998E-2"/>
    <n v="0"/>
    <n v="0.24940000000000001"/>
    <x v="2"/>
  </r>
  <r>
    <x v="86"/>
    <n v="47061.843715856485"/>
    <s v="Aa3"/>
    <s v="NA"/>
    <n v="5.9366166625340932E-3"/>
    <n v="5.0305653269256533E-2"/>
    <n v="7.0056532692565317E-3"/>
    <n v="0.26860000000000001"/>
    <x v="7"/>
  </r>
  <r>
    <x v="87"/>
    <n v="14761.237042205697"/>
    <s v="Ba3"/>
    <s v="NA"/>
    <n v="3.5619699975204554E-2"/>
    <n v="8.5333919615539183E-2"/>
    <n v="4.2033919615539185E-2"/>
    <n v="0.1"/>
    <x v="1"/>
  </r>
  <r>
    <x v="88"/>
    <n v="399648.82854650426"/>
    <s v="A3"/>
    <n v="8.5000000000000006E-3"/>
    <n v="1.1873233325068186E-2"/>
    <n v="5.731130653851306E-2"/>
    <n v="1.4011306538513063E-2"/>
    <n v="0.24"/>
    <x v="7"/>
  </r>
  <r>
    <x v="89"/>
    <n v="6600"/>
    <s v="Caa2"/>
    <s v="NA"/>
    <n v="8.9165654186296364E-2"/>
    <n v="0.14852216478922553"/>
    <n v="0.10522216478922554"/>
    <n v="0.26860000000000001"/>
    <x v="7"/>
  </r>
  <r>
    <x v="90"/>
    <n v="20904.898296250143"/>
    <s v="Caa2"/>
    <s v="NA"/>
    <n v="8.9165654186296364E-2"/>
    <n v="0.14852216478922553"/>
    <n v="0.10522216478922554"/>
    <n v="0.26860000000000001"/>
    <x v="3"/>
  </r>
  <r>
    <x v="91"/>
    <n v="20956.999452431664"/>
    <s v="A2"/>
    <s v="NA"/>
    <n v="8.3811058765187203E-3"/>
    <n v="5.319033402718569E-2"/>
    <n v="9.8903340271856918E-3"/>
    <n v="0.35"/>
    <x v="2"/>
  </r>
  <r>
    <x v="92"/>
    <n v="14397.127281382942"/>
    <s v="Baa3"/>
    <s v="NA"/>
    <n v="2.1767594429291676E-2"/>
    <n v="6.8987395320607284E-2"/>
    <n v="2.5687395320607286E-2"/>
    <n v="0.15"/>
    <x v="3"/>
  </r>
  <r>
    <x v="93"/>
    <n v="1788886.8210468132"/>
    <s v="Baa2"/>
    <n v="2.2200000000000001E-2"/>
    <n v="1.885748822216712E-2"/>
    <n v="6.5553251561167813E-2"/>
    <n v="2.2253251561167808E-2"/>
    <n v="0.3"/>
    <x v="4"/>
  </r>
  <r>
    <x v="94"/>
    <n v="16539.436547294972"/>
    <s v="B3"/>
    <s v="NA"/>
    <n v="6.4371549301595152E-2"/>
    <n v="0.11926325995880119"/>
    <n v="7.5963259958801196E-2"/>
    <n v="0.12"/>
    <x v="1"/>
  </r>
  <r>
    <x v="95"/>
    <n v="19872.180369627498"/>
    <s v="B2"/>
    <s v="NA"/>
    <n v="5.4477188197371677E-2"/>
    <n v="0.10758717117670699"/>
    <n v="6.4287171176707E-2"/>
    <n v="0.25"/>
    <x v="7"/>
  </r>
  <r>
    <x v="96"/>
    <n v="7404.5419645077918"/>
    <s v="B1"/>
    <s v="NA"/>
    <n v="4.4582827093148182E-2"/>
    <n v="9.5911082394612768E-2"/>
    <n v="5.261108239461277E-2"/>
    <n v="0.15"/>
    <x v="1"/>
  </r>
  <r>
    <x v="97"/>
    <n v="16199"/>
    <s v="Baa3"/>
    <s v="NA"/>
    <n v="2.1767594429291676E-2"/>
    <n v="6.8987395320607284E-2"/>
    <n v="2.5687395320607286E-2"/>
    <n v="0.2853"/>
    <x v="5"/>
  </r>
  <r>
    <x v="98"/>
    <n v="141109.37320941436"/>
    <s v="Ba1"/>
    <n v="1.5100000000000001E-2"/>
    <n v="2.4794104884701216E-2"/>
    <n v="7.2558904830424348E-2"/>
    <n v="2.9258904830424343E-2"/>
    <n v="0.32"/>
    <x v="3"/>
  </r>
  <r>
    <x v="99"/>
    <n v="20624.597846549506"/>
    <s v="Caa2"/>
    <s v="NA"/>
    <n v="8.9165654186296364E-2"/>
    <n v="0.14852216478922553"/>
    <n v="0.10522216478922554"/>
    <n v="0.32"/>
    <x v="3"/>
  </r>
  <r>
    <x v="100"/>
    <n v="12351.024843746696"/>
    <s v="B1"/>
    <s v="NA"/>
    <n v="4.4582827093148182E-2"/>
    <n v="9.5911082394612768E-2"/>
    <n v="5.261108239461277E-2"/>
    <n v="0.32"/>
    <x v="3"/>
  </r>
  <r>
    <x v="101"/>
    <n v="40908.073366845521"/>
    <s v="Ba3"/>
    <s v="NA"/>
    <n v="3.5619699975204554E-2"/>
    <n v="8.5333919615539183E-2"/>
    <n v="4.2033919615539185E-2"/>
    <n v="0.25"/>
    <x v="7"/>
  </r>
  <r>
    <x v="102"/>
    <n v="1118124.7498862941"/>
    <s v="Aaa"/>
    <n v="2.5000000000000001E-3"/>
    <n v="0"/>
    <n v="4.3299999999999998E-2"/>
    <n v="0"/>
    <n v="0.25800000000000001"/>
    <x v="2"/>
  </r>
  <r>
    <x v="103"/>
    <n v="253465.70323214593"/>
    <s v="Aaa"/>
    <n v="2E-3"/>
    <n v="0"/>
    <n v="4.3299999999999998E-2"/>
    <n v="0"/>
    <n v="0.28000000000000003"/>
    <x v="6"/>
  </r>
  <r>
    <x v="104"/>
    <n v="17829.215283799655"/>
    <s v="B2"/>
    <n v="6.5699999999999995E-2"/>
    <n v="5.4477188197371677E-2"/>
    <n v="0.10758717117670699"/>
    <n v="6.4287171176707E-2"/>
    <n v="0.3"/>
    <x v="4"/>
  </r>
  <r>
    <x v="105"/>
    <n v="16819.170420565319"/>
    <s v="Caa3"/>
    <s v="NA"/>
    <n v="9.9060015290519873E-2"/>
    <n v="0.16019825357131978"/>
    <n v="0.11689825357131978"/>
    <n v="0.26860000000000001"/>
    <x v="3"/>
  </r>
  <r>
    <x v="106"/>
    <n v="362814.95169607276"/>
    <s v="Caa1"/>
    <n v="6.4399999999999999E-2"/>
    <n v="7.4265910405818647E-2"/>
    <n v="0.13093934874089544"/>
    <n v="8.7639348740895434E-2"/>
    <n v="0.3"/>
    <x v="3"/>
  </r>
  <r>
    <x v="107"/>
    <n v="485513.31650363043"/>
    <s v="Aaa"/>
    <n v="1.9E-3"/>
    <n v="0"/>
    <n v="4.3299999999999998E-2"/>
    <n v="0"/>
    <n v="0.22"/>
    <x v="2"/>
  </r>
  <r>
    <x v="108"/>
    <n v="108192.45773732119"/>
    <s v="Ba1"/>
    <n v="1.6299999999999999E-2"/>
    <n v="2.4794104884701216E-2"/>
    <n v="7.2558904830424348E-2"/>
    <n v="2.9258904830424343E-2"/>
    <n v="0.15"/>
    <x v="0"/>
  </r>
  <r>
    <x v="109"/>
    <n v="338368.45531787578"/>
    <s v="Caa2"/>
    <n v="0.16489999999999999"/>
    <n v="8.9165654186296364E-2"/>
    <n v="0.14852216478922553"/>
    <n v="0.10522216478922554"/>
    <n v="0.28999999999999998"/>
    <x v="7"/>
  </r>
  <r>
    <x v="110"/>
    <n v="83382.399999999994"/>
    <s v="Baa3"/>
    <n v="3.0800000000000001E-2"/>
    <n v="2.1767594429291676E-2"/>
    <n v="6.8987395320607284E-2"/>
    <n v="2.5687395320607286E-2"/>
    <n v="0.25"/>
    <x v="4"/>
  </r>
  <r>
    <x v="111"/>
    <n v="30932.496249791653"/>
    <s v="B2"/>
    <s v="NA"/>
    <n v="5.4477188197371677E-2"/>
    <n v="0.10758717117670699"/>
    <n v="6.4287171176707E-2"/>
    <n v="0.3"/>
    <x v="7"/>
  </r>
  <r>
    <x v="112"/>
    <n v="42956.263543948167"/>
    <s v="Baa3"/>
    <s v="NA"/>
    <n v="2.1767594429291676E-2"/>
    <n v="6.8987395320607284E-2"/>
    <n v="2.5687395320607286E-2"/>
    <n v="0.1"/>
    <x v="4"/>
  </r>
  <r>
    <x v="113"/>
    <n v="267603.24865525268"/>
    <s v="Baa1"/>
    <n v="1.47E-2"/>
    <n v="1.5830977766757577E-2"/>
    <n v="6.1981742051350749E-2"/>
    <n v="1.8681742051350748E-2"/>
    <n v="0.29499999999999998"/>
    <x v="4"/>
  </r>
  <r>
    <x v="114"/>
    <n v="437146.37272994244"/>
    <s v="Baa2"/>
    <n v="1.21E-2"/>
    <n v="1.885748822216712E-2"/>
    <n v="6.5553251561167813E-2"/>
    <n v="2.2253251561167808E-2"/>
    <n v="0.25"/>
    <x v="7"/>
  </r>
  <r>
    <x v="115"/>
    <n v="811229.10068756633"/>
    <s v="A2"/>
    <n v="1.0500000000000001E-2"/>
    <n v="8.3811058765187203E-3"/>
    <n v="5.319033402718569E-2"/>
    <n v="9.8903340271856918E-3"/>
    <n v="0.19"/>
    <x v="1"/>
  </r>
  <r>
    <x v="116"/>
    <n v="287080.01357449719"/>
    <s v="A3"/>
    <n v="5.7999999999999996E-3"/>
    <n v="1.1873233325068186E-2"/>
    <n v="5.731130653851306E-2"/>
    <n v="1.4011306538513063E-2"/>
    <n v="0.21"/>
    <x v="2"/>
  </r>
  <r>
    <x v="117"/>
    <n v="235770.4037349"/>
    <s v="Aa2"/>
    <n v="7.7000000000000002E-3"/>
    <n v="4.8889784279692525E-3"/>
    <n v="4.906936151585832E-2"/>
    <n v="5.7693615158583194E-3"/>
    <n v="0.1"/>
    <x v="0"/>
  </r>
  <r>
    <x v="118"/>
    <n v="11000"/>
    <s v="A3"/>
    <s v="NA"/>
    <n v="1.1873233325068186E-2"/>
    <n v="5.731130653851306E-2"/>
    <n v="1.4011306538513063E-2"/>
    <n v="0"/>
    <x v="0"/>
  </r>
  <r>
    <x v="119"/>
    <n v="351002.57962967013"/>
    <s v="Baa3"/>
    <n v="2.3900000000000001E-2"/>
    <n v="2.1767594429291676E-2"/>
    <n v="6.8987395320607284E-2"/>
    <n v="2.5687395320607286E-2"/>
    <n v="0.16"/>
    <x v="1"/>
  </r>
  <r>
    <x v="120"/>
    <n v="14097.76864766952"/>
    <s v="B2"/>
    <n v="4.5499999999999999E-2"/>
    <n v="5.4477188197371677E-2"/>
    <n v="0.10758717117670699"/>
    <n v="6.4287171176707E-2"/>
    <n v="0.3"/>
    <x v="3"/>
  </r>
  <r>
    <x v="121"/>
    <n v="1067582.9333333333"/>
    <s v="Aa3"/>
    <n v="1.0500000000000001E-2"/>
    <n v="5.9366166625340932E-3"/>
    <n v="5.0305653269256533E-2"/>
    <n v="7.0056532692565317E-3"/>
    <n v="0.2"/>
    <x v="0"/>
  </r>
  <r>
    <x v="122"/>
    <n v="31013.986429186058"/>
    <s v="B1"/>
    <n v="6.2300000000000001E-2"/>
    <n v="4.4582827093148182E-2"/>
    <n v="9.5911082394612768E-2"/>
    <n v="5.261108239461277E-2"/>
    <n v="0.3"/>
    <x v="3"/>
  </r>
  <r>
    <x v="123"/>
    <n v="75187.125426737548"/>
    <s v="Ba2"/>
    <n v="1.26E-2"/>
    <n v="2.9799487560955448E-2"/>
    <n v="7.8465632096660243E-2"/>
    <n v="3.5165632096660238E-2"/>
    <n v="0.15"/>
    <x v="1"/>
  </r>
  <r>
    <x v="124"/>
    <n v="24800"/>
    <s v="Ba1"/>
    <e v="#N/A"/>
    <n v="2.4794104884701216E-2"/>
    <n v="7.2558904830424348E-2"/>
    <n v="2.9258904830424343E-2"/>
    <n v="0"/>
    <x v="0"/>
  </r>
  <r>
    <x v="125"/>
    <n v="501427.50008005853"/>
    <s v="Aaa"/>
    <e v="#N/A"/>
    <n v="0"/>
    <n v="4.3299999999999998E-2"/>
    <n v="0"/>
    <n v="0.17"/>
    <x v="7"/>
  </r>
  <r>
    <x v="126"/>
    <n v="132793.62228307096"/>
    <s v="A3"/>
    <n v="5.4999999999999997E-3"/>
    <n v="1.1873233325068186E-2"/>
    <n v="5.731130653851306E-2"/>
    <n v="1.4011306538513063E-2"/>
    <n v="0.21"/>
    <x v="1"/>
  </r>
  <r>
    <x v="127"/>
    <n v="68216.781410522774"/>
    <s v="A3"/>
    <n v="7.1999999999999998E-3"/>
    <n v="1.1873233325068186E-2"/>
    <n v="5.731130653851306E-2"/>
    <n v="1.4011306538513063E-2"/>
    <n v="0.19"/>
    <x v="1"/>
  </r>
  <r>
    <x v="128"/>
    <n v="1631.2867011151561"/>
    <s v="Caa1"/>
    <e v="#N/A"/>
    <n v="7.4265910405818647E-2"/>
    <n v="0.13093934874089544"/>
    <n v="8.7639348740895434E-2"/>
    <n v="0.3"/>
    <x v="7"/>
  </r>
  <r>
    <x v="129"/>
    <n v="377781.60098587308"/>
    <s v="Ba2"/>
    <n v="0.03"/>
    <n v="2.9799487560955448E-2"/>
    <n v="7.8465632096660243E-2"/>
    <n v="3.5165632096660238E-2"/>
    <n v="0.27"/>
    <x v="3"/>
  </r>
  <r>
    <x v="130"/>
    <n v="1580694.7125157141"/>
    <s v="Baa1"/>
    <n v="6.7000000000000002E-3"/>
    <n v="1.5830977766757577E-2"/>
    <n v="6.1981742051350749E-2"/>
    <n v="1.8681742051350748E-2"/>
    <n v="0.25"/>
    <x v="2"/>
  </r>
  <r>
    <x v="131"/>
    <n v="84356.860421129953"/>
    <s v="Ca"/>
    <s v="NA"/>
    <n v="0.11884873749896685"/>
    <n v="0.18355043113550823"/>
    <n v="0.14025043113550822"/>
    <n v="0.24"/>
    <x v="7"/>
  </r>
  <r>
    <x v="132"/>
    <n v="11900"/>
    <s v="Ba2"/>
    <e v="#N/A"/>
    <n v="2.9799487560955448E-2"/>
    <n v="7.8465632096660243E-2"/>
    <n v="3.5165632096660238E-2"/>
    <n v="0.2853"/>
    <x v="5"/>
  </r>
  <r>
    <x v="133"/>
    <n v="8100"/>
    <s v="B3"/>
    <e v="#N/A"/>
    <n v="6.4371549301595152E-2"/>
    <n v="0.11926325995880119"/>
    <n v="7.5963259958801196E-2"/>
    <n v="0.2853"/>
    <x v="5"/>
  </r>
  <r>
    <x v="134"/>
    <n v="3782.4372960432288"/>
    <s v="Caa1"/>
    <e v="#N/A"/>
    <n v="7.4265910405818647E-2"/>
    <n v="0.13093934874089544"/>
    <n v="8.7639348740895434E-2"/>
    <n v="0.36"/>
    <x v="4"/>
  </r>
  <r>
    <x v="135"/>
    <n v="4597.8558450427581"/>
    <s v="B2"/>
    <e v="#N/A"/>
    <n v="5.4477188197371677E-2"/>
    <n v="0.10758717117670699"/>
    <n v="6.4287171176707E-2"/>
    <n v="0.27500000000000002"/>
    <x v="3"/>
  </r>
  <r>
    <x v="136"/>
    <n v="593267.70103340817"/>
    <s v="Aaa"/>
    <n v="2E-3"/>
    <n v="0"/>
    <n v="4.3299999999999998E-2"/>
    <n v="0"/>
    <n v="0.20600000000000002"/>
    <x v="2"/>
  </r>
  <r>
    <x v="137"/>
    <n v="884940.40223040886"/>
    <s v="Aaa"/>
    <n v="1.4E-3"/>
    <n v="0"/>
    <n v="4.3299999999999998E-2"/>
    <n v="0"/>
    <n v="0.14599999999999999"/>
    <x v="2"/>
  </r>
  <r>
    <x v="138"/>
    <n v="791610"/>
    <s v="Aa3"/>
    <e v="#N/A"/>
    <n v="5.9366166625340932E-3"/>
    <n v="5.0305653269256533E-2"/>
    <n v="7.0056532692565317E-3"/>
    <n v="0.2"/>
    <x v="7"/>
  </r>
  <r>
    <x v="139"/>
    <n v="12060.602008847782"/>
    <s v="B3"/>
    <e v="#N/A"/>
    <n v="6.4371549301595152E-2"/>
    <n v="0.11926325995880119"/>
    <n v="7.5963259958801196E-2"/>
    <n v="0.18"/>
    <x v="1"/>
  </r>
  <r>
    <x v="140"/>
    <n v="79158.286333523982"/>
    <s v="B1"/>
    <e v="#N/A"/>
    <n v="4.4582827093148182E-2"/>
    <n v="9.5911082394612768E-2"/>
    <n v="5.261108239461277E-2"/>
    <n v="0.3"/>
    <x v="3"/>
  </r>
  <r>
    <x v="141"/>
    <n v="514944.99383357755"/>
    <s v="Baa1"/>
    <n v="7.0000000000000001E-3"/>
    <n v="1.5830977766757577E-2"/>
    <n v="6.1981742051350749E-2"/>
    <n v="1.8681742051350748E-2"/>
    <n v="0.2"/>
    <x v="7"/>
  </r>
  <r>
    <x v="142"/>
    <n v="9171.2618350626417"/>
    <s v="B3"/>
    <e v="#N/A"/>
    <n v="6.4371549301595152E-2"/>
    <n v="0.11926325995880119"/>
    <n v="7.5963259958801196E-2"/>
    <n v="0.26860000000000001"/>
    <x v="3"/>
  </r>
  <r>
    <x v="143"/>
    <n v="28139.944790291105"/>
    <s v="Ba2"/>
    <e v="#N/A"/>
    <n v="2.9799487560955448E-2"/>
    <n v="7.8465632096660243E-2"/>
    <n v="3.5165632096660238E-2"/>
    <n v="0.3"/>
    <x v="5"/>
  </r>
  <r>
    <x v="144"/>
    <n v="48529.595416653261"/>
    <s v="Caa2"/>
    <n v="0.1024"/>
    <n v="8.9165654186296364E-2"/>
    <n v="0.14852216478922553"/>
    <n v="0.10522216478922554"/>
    <n v="0.15"/>
    <x v="3"/>
  </r>
  <r>
    <x v="145"/>
    <n v="1108022.3732595111"/>
    <s v="B1"/>
    <n v="3.6200000000000003E-2"/>
    <n v="4.4582827093148182E-2"/>
    <n v="9.5911082394612768E-2"/>
    <n v="5.261108239461277E-2"/>
    <n v="0.25"/>
    <x v="2"/>
  </r>
  <r>
    <x v="146"/>
    <n v="1402.0543909473399"/>
    <s v="Baa1"/>
    <e v="#N/A"/>
    <n v="1.5830977766757577E-2"/>
    <n v="6.1981742051350749E-2"/>
    <n v="1.8681742051350748E-2"/>
    <n v="0"/>
    <x v="5"/>
  </r>
  <r>
    <x v="147"/>
    <n v="49272.882213623001"/>
    <s v="B3"/>
    <e v="#N/A"/>
    <n v="6.4371549301595152E-2"/>
    <n v="0.11926325995880119"/>
    <n v="7.5963259958801196E-2"/>
    <n v="0.3"/>
    <x v="3"/>
  </r>
  <r>
    <x v="148"/>
    <n v="178757.02138680895"/>
    <s v="Ca"/>
    <s v="NA"/>
    <n v="0.11884873749896685"/>
    <n v="0.18355043113550823"/>
    <n v="0.14025043113550822"/>
    <n v="0.18"/>
    <x v="1"/>
  </r>
  <r>
    <x v="149"/>
    <n v="504173.45132743364"/>
    <s v="Aa2"/>
    <e v="#N/A"/>
    <n v="4.8889784279692525E-3"/>
    <n v="4.906936151585832E-2"/>
    <n v="5.7693615158583194E-3"/>
    <n v="0.25"/>
    <x v="0"/>
  </r>
  <r>
    <x v="150"/>
    <n v="3340032.3806680357"/>
    <s v="Aa3"/>
    <n v="3.8999999999999998E-3"/>
    <n v="5.9366166625340932E-3"/>
    <n v="5.0305653269256533E-2"/>
    <n v="7.0056532692565317E-3"/>
    <n v="0.25"/>
    <x v="2"/>
  </r>
  <r>
    <x v="151"/>
    <n v="27360935"/>
    <s v="Aaa"/>
    <n v="4.1000000000000003E-3"/>
    <n v="0"/>
    <n v="4.3299999999999998E-2"/>
    <n v="0"/>
    <n v="0.25"/>
    <x v="8"/>
  </r>
  <r>
    <x v="152"/>
    <n v="77240.831587166962"/>
    <s v="Baa1"/>
    <n v="1.2699999999999999E-2"/>
    <n v="1.5830977766757577E-2"/>
    <n v="6.1981742051350749E-2"/>
    <n v="1.8681742051350748E-2"/>
    <n v="0.25"/>
    <x v="4"/>
  </r>
  <r>
    <x v="153"/>
    <n v="90889.149306731269"/>
    <s v="Ba3"/>
    <e v="#N/A"/>
    <n v="3.5619699975204554E-2"/>
    <n v="8.5333919615539183E-2"/>
    <n v="4.2033919615539185E-2"/>
    <n v="0.15"/>
    <x v="1"/>
  </r>
  <r>
    <x v="154"/>
    <n v="98400"/>
    <s v="C"/>
    <n v="0.1008"/>
    <n v="0.17499999999999999"/>
    <n v="0.24981313564796848"/>
    <n v="0.20651313564796847"/>
    <n v="0.34"/>
    <x v="4"/>
  </r>
  <r>
    <x v="155"/>
    <n v="429716.96904959279"/>
    <s v="Ba2"/>
    <n v="1.6500000000000001E-2"/>
    <n v="2.9799487560955448E-2"/>
    <n v="7.8465632096660243E-2"/>
    <n v="3.5165632096660238E-2"/>
    <n v="0.2"/>
    <x v="7"/>
  </r>
  <r>
    <x v="156"/>
    <n v="28162.630953928499"/>
    <s v="Caa2"/>
    <s v="NA"/>
    <n v="8.9165654186296364E-2"/>
    <n v="0.14852216478922553"/>
    <n v="0.10522216478922554"/>
    <n v="0.3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0" applyNumberFormats="0" applyBorderFormats="0" applyFontFormats="0" applyPatternFormats="0" applyAlignmentFormats="0" applyWidthHeightFormats="1" dataCaption="Values" updatedVersion="8" minRefreshableVersion="3" useAutoFormatting="1" itemPrintTitles="1" createdVersion="4" indent="0" outline="1" outlineData="1" gridDropZones="1" multipleFieldFilters="0">
  <location ref="A3:E14" firstHeaderRow="1" firstDataRow="2" firstDataCol="1"/>
  <pivotFields count="9">
    <pivotField axis="axisRow" showAll="0">
      <items count="1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1"/>
        <item x="82"/>
        <item x="83"/>
        <item x="84"/>
        <item x="85"/>
        <item x="86"/>
        <item x="87"/>
        <item x="88"/>
        <item x="89"/>
        <item x="91"/>
        <item x="92"/>
        <item x="93"/>
        <item x="94"/>
        <item x="95"/>
        <item x="96"/>
        <item x="97"/>
        <item x="98"/>
        <item x="99"/>
        <item x="100"/>
        <item x="102"/>
        <item x="103"/>
        <item x="104"/>
        <item x="106"/>
        <item x="107"/>
        <item x="108"/>
        <item x="109"/>
        <item x="110"/>
        <item x="111"/>
        <item x="112"/>
        <item x="113"/>
        <item x="114"/>
        <item x="115"/>
        <item x="116"/>
        <item x="117"/>
        <item x="118"/>
        <item x="119"/>
        <item m="1" x="157"/>
        <item x="120"/>
        <item x="121"/>
        <item x="122"/>
        <item x="123"/>
        <item x="124"/>
        <item x="125"/>
        <item x="126"/>
        <item x="127"/>
        <item x="128"/>
        <item x="129"/>
        <item x="130"/>
        <item x="131"/>
        <item x="132"/>
        <item x="133"/>
        <item x="134"/>
        <item x="135"/>
        <item x="136"/>
        <item x="137"/>
        <item x="138"/>
        <item x="139"/>
        <item x="140"/>
        <item x="141"/>
        <item x="143"/>
        <item x="144"/>
        <item x="145"/>
        <item x="146"/>
        <item x="147"/>
        <item x="148"/>
        <item x="149"/>
        <item x="150"/>
        <item x="151"/>
        <item x="152"/>
        <item x="154"/>
        <item x="155"/>
        <item x="156"/>
        <item x="90"/>
        <item x="142"/>
        <item x="153"/>
        <item x="105"/>
        <item x="80"/>
        <item x="101"/>
        <item t="default"/>
      </items>
    </pivotField>
    <pivotField numFmtId="2" subtotalTop="0" showAll="0" defaultSubtotal="0"/>
    <pivotField showAll="0" defaultSubtotal="0"/>
    <pivotField subtotalTop="0" showAll="0" defaultSubtotal="0"/>
    <pivotField dataField="1" numFmtId="10" showAll="0"/>
    <pivotField dataField="1" numFmtId="10" showAll="0" defaultSubtotal="0"/>
    <pivotField dataField="1" numFmtId="10" showAll="0"/>
    <pivotField dataField="1" numFmtId="10" showAll="0" defaultSubtotal="0"/>
    <pivotField axis="axisRow" showAll="0">
      <items count="10">
        <item sd="0" x="3"/>
        <item sd="0" x="7"/>
        <item sd="0" x="6"/>
        <item sd="0" x="5"/>
        <item sd="0" x="4"/>
        <item sd="0" x="1"/>
        <item sd="0" x="0"/>
        <item sd="0" x="8"/>
        <item sd="0" x="2"/>
        <item t="default" sd="0"/>
      </items>
    </pivotField>
  </pivotFields>
  <rowFields count="2">
    <field x="8"/>
    <field x="0"/>
  </rowFields>
  <rowItems count="10">
    <i>
      <x/>
    </i>
    <i>
      <x v="1"/>
    </i>
    <i>
      <x v="2"/>
    </i>
    <i>
      <x v="3"/>
    </i>
    <i>
      <x v="4"/>
    </i>
    <i>
      <x v="5"/>
    </i>
    <i>
      <x v="6"/>
    </i>
    <i>
      <x v="7"/>
    </i>
    <i>
      <x v="8"/>
    </i>
    <i t="grand">
      <x/>
    </i>
  </rowItems>
  <colFields count="1">
    <field x="-2"/>
  </colFields>
  <colItems count="4">
    <i>
      <x/>
    </i>
    <i i="1">
      <x v="1"/>
    </i>
    <i i="2">
      <x v="2"/>
    </i>
    <i i="3">
      <x v="3"/>
    </i>
  </colItems>
  <dataFields count="4">
    <dataField name="Average of Adj. Default Spread" fld="4" subtotal="average" baseField="0" baseItem="0"/>
    <dataField name="Average of Country Risk Premium" fld="6" subtotal="average" baseField="0" baseItem="0"/>
    <dataField name="Average of Equity Risk Premium" fld="5" subtotal="average" baseField="0" baseItem="0"/>
    <dataField name="Average of Corporate Tax Rate" fld="7" subtotal="average" baseField="0" baseItem="0"/>
  </dataFields>
  <formats count="11">
    <format dxfId="10">
      <pivotArea outline="0" collapsedLevelsAreSubtotals="1" fieldPosition="0"/>
    </format>
    <format dxfId="9">
      <pivotArea collapsedLevelsAreSubtotals="1" fieldPosition="0">
        <references count="1">
          <reference field="8" count="1">
            <x v="0"/>
          </reference>
        </references>
      </pivotArea>
    </format>
    <format dxfId="8">
      <pivotArea collapsedLevelsAreSubtotals="1" fieldPosition="0">
        <references count="1">
          <reference field="8" count="1">
            <x v="1"/>
          </reference>
        </references>
      </pivotArea>
    </format>
    <format dxfId="7">
      <pivotArea collapsedLevelsAreSubtotals="1" fieldPosition="0">
        <references count="1">
          <reference field="8" count="1">
            <x v="2"/>
          </reference>
        </references>
      </pivotArea>
    </format>
    <format dxfId="6">
      <pivotArea collapsedLevelsAreSubtotals="1" fieldPosition="0">
        <references count="1">
          <reference field="8" count="1">
            <x v="3"/>
          </reference>
        </references>
      </pivotArea>
    </format>
    <format dxfId="5">
      <pivotArea collapsedLevelsAreSubtotals="1" fieldPosition="0">
        <references count="1">
          <reference field="8" count="1">
            <x v="4"/>
          </reference>
        </references>
      </pivotArea>
    </format>
    <format dxfId="4">
      <pivotArea collapsedLevelsAreSubtotals="1" fieldPosition="0">
        <references count="1">
          <reference field="8" count="1">
            <x v="5"/>
          </reference>
        </references>
      </pivotArea>
    </format>
    <format dxfId="3">
      <pivotArea collapsedLevelsAreSubtotals="1" fieldPosition="0">
        <references count="1">
          <reference field="8" count="1">
            <x v="6"/>
          </reference>
        </references>
      </pivotArea>
    </format>
    <format dxfId="2">
      <pivotArea collapsedLevelsAreSubtotals="1" fieldPosition="0">
        <references count="1">
          <reference field="8" count="1">
            <x v="7"/>
          </reference>
        </references>
      </pivotArea>
    </format>
    <format dxfId="1">
      <pivotArea collapsedLevelsAreSubtotals="1" fieldPosition="0">
        <references count="1">
          <reference field="8" count="1">
            <x v="8"/>
          </reference>
        </references>
      </pivotArea>
    </format>
    <format dxfId="0">
      <pivotArea dataOnly="0" labelOnly="1" fieldPosition="0">
        <references count="1">
          <reference field="8" count="0"/>
        </references>
      </pivotArea>
    </format>
  </formats>
  <pivotTableStyleInfo name="PivotStyleMedium4"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7:I164" totalsRowShown="0" headerRowDxfId="31" dataDxfId="29" headerRowBorderDxfId="30" tableBorderDxfId="28" totalsRowBorderDxfId="27">
  <autoFilter ref="A7:I164" xr:uid="{00000000-0009-0000-0100-000001000000}"/>
  <tableColumns count="9">
    <tableColumn id="1" xr3:uid="{00000000-0010-0000-0000-000001000000}" name="Country" dataDxfId="26"/>
    <tableColumn id="2" xr3:uid="{00000000-0010-0000-0000-000002000000}" name="Africa" dataDxfId="25"/>
    <tableColumn id="3" xr3:uid="{00000000-0010-0000-0000-000003000000}" name="Moody's rating" dataDxfId="24"/>
    <tableColumn id="4" xr3:uid="{00000000-0010-0000-0000-000004000000}" name="Rating-based Default Spread" dataDxfId="23" dataCellStyle="Percent"/>
    <tableColumn id="5" xr3:uid="{00000000-0010-0000-0000-000005000000}" name="Total Equity Risk Premium" dataDxfId="22" dataCellStyle="Percent"/>
    <tableColumn id="6" xr3:uid="{00000000-0010-0000-0000-000006000000}" name="Country Risk Premium" dataDxfId="21"/>
    <tableColumn id="7" xr3:uid="{00000000-0010-0000-0000-000007000000}" name="Sovereign CDS, net of US" dataDxfId="20">
      <calculatedColumnFormula>VLOOKUP(A8,'10-year CDS Spreads'!$A$2:$D$158,4,FALSE)</calculatedColumnFormula>
    </tableColumn>
    <tableColumn id="8" xr3:uid="{00000000-0010-0000-0000-000008000000}" name="Total Equity Risk Premium2" dataDxfId="19"/>
    <tableColumn id="9" xr3:uid="{00000000-0010-0000-0000-000009000000}" name="Country Risk Premium3" dataDxfId="1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66:E187" totalsRowShown="0" headerRowDxfId="17" tableBorderDxfId="16">
  <autoFilter ref="A166:E187" xr:uid="{00000000-0009-0000-0100-000002000000}"/>
  <tableColumns count="5">
    <tableColumn id="1" xr3:uid="{00000000-0010-0000-0100-000001000000}" name="Country" dataDxfId="15"/>
    <tableColumn id="2" xr3:uid="{00000000-0010-0000-0100-000002000000}" name="PRS Composite Risk Score" dataDxfId="14"/>
    <tableColumn id="3" xr3:uid="{00000000-0010-0000-0100-000003000000}" name="ERP" dataDxfId="13" dataCellStyle="Percent"/>
    <tableColumn id="4" xr3:uid="{00000000-0010-0000-0100-000004000000}" name="CRP" dataDxfId="12" dataCellStyle="Percent"/>
    <tableColumn id="5" xr3:uid="{00000000-0010-0000-0100-000005000000}" name="Default Spread" dataDxfId="11" dataCellStyle="Percen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moodys.com/" TargetMode="External"/><Relationship Id="rId2" Type="http://schemas.openxmlformats.org/officeDocument/2006/relationships/hyperlink" Target="http://www.stern.nyu.edu/~adamodar/pc/implprem/ERPbymonth.xls" TargetMode="External"/><Relationship Id="rId1" Type="http://schemas.openxmlformats.org/officeDocument/2006/relationships/hyperlink" Target="http://www.damodaran.com/" TargetMode="External"/><Relationship Id="rId4" Type="http://schemas.openxmlformats.org/officeDocument/2006/relationships/hyperlink" Target="https://papers.ssrn.com/sol3/papers.cfm?abstract_id=4398884"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data.worldbank.org/data-catalog/GDP-ranking-table"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tradingeconomics.com/angola/rating" TargetMode="External"/><Relationship Id="rId299" Type="http://schemas.openxmlformats.org/officeDocument/2006/relationships/hyperlink" Target="https://www.wikirating.com/philippines" TargetMode="External"/><Relationship Id="rId21" Type="http://schemas.openxmlformats.org/officeDocument/2006/relationships/hyperlink" Target="https://tradingeconomics.com/ireland/rating" TargetMode="External"/><Relationship Id="rId63" Type="http://schemas.openxmlformats.org/officeDocument/2006/relationships/hyperlink" Target="https://tradingeconomics.com/aruba/rating" TargetMode="External"/><Relationship Id="rId159" Type="http://schemas.openxmlformats.org/officeDocument/2006/relationships/hyperlink" Target="https://www.wikirating.com/afghanistan" TargetMode="External"/><Relationship Id="rId324" Type="http://schemas.openxmlformats.org/officeDocument/2006/relationships/hyperlink" Target="https://www.wikirating.com/spain" TargetMode="External"/><Relationship Id="rId170" Type="http://schemas.openxmlformats.org/officeDocument/2006/relationships/hyperlink" Target="https://www.wikirating.com/bahamas" TargetMode="External"/><Relationship Id="rId226" Type="http://schemas.openxmlformats.org/officeDocument/2006/relationships/hyperlink" Target="https://www.wikirating.com/grenada" TargetMode="External"/><Relationship Id="rId268" Type="http://schemas.openxmlformats.org/officeDocument/2006/relationships/hyperlink" Target="https://www.wikirating.com/mali" TargetMode="External"/><Relationship Id="rId32" Type="http://schemas.openxmlformats.org/officeDocument/2006/relationships/hyperlink" Target="https://tradingeconomics.com/bermuda/rating" TargetMode="External"/><Relationship Id="rId74" Type="http://schemas.openxmlformats.org/officeDocument/2006/relationships/hyperlink" Target="https://tradingeconomics.com/trinidad-and-tobago/rating" TargetMode="External"/><Relationship Id="rId128" Type="http://schemas.openxmlformats.org/officeDocument/2006/relationships/hyperlink" Target="https://tradingeconomics.com/iraq/rating" TargetMode="External"/><Relationship Id="rId335" Type="http://schemas.openxmlformats.org/officeDocument/2006/relationships/hyperlink" Target="https://www.wikirating.com/timor-leste" TargetMode="External"/><Relationship Id="rId5" Type="http://schemas.openxmlformats.org/officeDocument/2006/relationships/hyperlink" Target="https://tradingeconomics.com/liechtenstein/rating" TargetMode="External"/><Relationship Id="rId181" Type="http://schemas.openxmlformats.org/officeDocument/2006/relationships/hyperlink" Target="https://www.wikirating.com/botswana" TargetMode="External"/><Relationship Id="rId237" Type="http://schemas.openxmlformats.org/officeDocument/2006/relationships/hyperlink" Target="https://www.wikirating.com/indonesia" TargetMode="External"/><Relationship Id="rId279" Type="http://schemas.openxmlformats.org/officeDocument/2006/relationships/hyperlink" Target="https://www.wikirating.com/morocco" TargetMode="External"/><Relationship Id="rId43" Type="http://schemas.openxmlformats.org/officeDocument/2006/relationships/hyperlink" Target="https://tradingeconomics.com/latvia/rating" TargetMode="External"/><Relationship Id="rId139" Type="http://schemas.openxmlformats.org/officeDocument/2006/relationships/hyperlink" Target="https://tradingeconomics.com/republic-of-the-congo/rating" TargetMode="External"/><Relationship Id="rId290" Type="http://schemas.openxmlformats.org/officeDocument/2006/relationships/hyperlink" Target="https://www.wikirating.com/north-macedonia" TargetMode="External"/><Relationship Id="rId304" Type="http://schemas.openxmlformats.org/officeDocument/2006/relationships/hyperlink" Target="https://www.wikirating.com/russia" TargetMode="External"/><Relationship Id="rId346" Type="http://schemas.openxmlformats.org/officeDocument/2006/relationships/hyperlink" Target="https://www.wikirating.com/united-kingdom" TargetMode="External"/><Relationship Id="rId85" Type="http://schemas.openxmlformats.org/officeDocument/2006/relationships/hyperlink" Target="https://tradingeconomics.com/seychelles/rating" TargetMode="External"/><Relationship Id="rId150" Type="http://schemas.openxmlformats.org/officeDocument/2006/relationships/hyperlink" Target="https://tradingeconomics.com/sri-lanka/rating" TargetMode="External"/><Relationship Id="rId192" Type="http://schemas.openxmlformats.org/officeDocument/2006/relationships/hyperlink" Target="https://www.wikirating.com/chad" TargetMode="External"/><Relationship Id="rId206" Type="http://schemas.openxmlformats.org/officeDocument/2006/relationships/hyperlink" Target="https://www.wikirating.com/djibouti" TargetMode="External"/><Relationship Id="rId248" Type="http://schemas.openxmlformats.org/officeDocument/2006/relationships/hyperlink" Target="https://www.wikirating.com/kiribati" TargetMode="External"/><Relationship Id="rId12" Type="http://schemas.openxmlformats.org/officeDocument/2006/relationships/hyperlink" Target="https://tradingeconomics.com/singapore/rating" TargetMode="External"/><Relationship Id="rId108" Type="http://schemas.openxmlformats.org/officeDocument/2006/relationships/hyperlink" Target="https://tradingeconomics.com/zambia/rating" TargetMode="External"/><Relationship Id="rId315" Type="http://schemas.openxmlformats.org/officeDocument/2006/relationships/hyperlink" Target="https://www.wikirating.com/seychelles" TargetMode="External"/><Relationship Id="rId54" Type="http://schemas.openxmlformats.org/officeDocument/2006/relationships/hyperlink" Target="https://tradingeconomics.com/bulgaria/rating" TargetMode="External"/><Relationship Id="rId96" Type="http://schemas.openxmlformats.org/officeDocument/2006/relationships/hyperlink" Target="https://tradingeconomics.com/bangladesh/rating" TargetMode="External"/><Relationship Id="rId161" Type="http://schemas.openxmlformats.org/officeDocument/2006/relationships/hyperlink" Target="https://www.wikirating.com/algeria" TargetMode="External"/><Relationship Id="rId217" Type="http://schemas.openxmlformats.org/officeDocument/2006/relationships/hyperlink" Target="https://www.wikirating.com/fiji" TargetMode="External"/><Relationship Id="rId259" Type="http://schemas.openxmlformats.org/officeDocument/2006/relationships/hyperlink" Target="https://www.wikirating.com/libya" TargetMode="External"/><Relationship Id="rId23" Type="http://schemas.openxmlformats.org/officeDocument/2006/relationships/hyperlink" Target="https://tradingeconomics.com/belgium/rating" TargetMode="External"/><Relationship Id="rId119" Type="http://schemas.openxmlformats.org/officeDocument/2006/relationships/hyperlink" Target="https://tradingeconomics.com/kenya/rating" TargetMode="External"/><Relationship Id="rId270" Type="http://schemas.openxmlformats.org/officeDocument/2006/relationships/hyperlink" Target="https://www.wikirating.com/marshall-islands" TargetMode="External"/><Relationship Id="rId326" Type="http://schemas.openxmlformats.org/officeDocument/2006/relationships/hyperlink" Target="https://www.wikirating.com/sudan" TargetMode="External"/><Relationship Id="rId65" Type="http://schemas.openxmlformats.org/officeDocument/2006/relationships/hyperlink" Target="https://tradingeconomics.com/mauritius/rating" TargetMode="External"/><Relationship Id="rId130" Type="http://schemas.openxmlformats.org/officeDocument/2006/relationships/hyperlink" Target="https://tradingeconomics.com/congo/rating" TargetMode="External"/><Relationship Id="rId172" Type="http://schemas.openxmlformats.org/officeDocument/2006/relationships/hyperlink" Target="https://www.wikirating.com/bangladesh" TargetMode="External"/><Relationship Id="rId228" Type="http://schemas.openxmlformats.org/officeDocument/2006/relationships/hyperlink" Target="https://www.wikirating.com/guinea" TargetMode="External"/><Relationship Id="rId281" Type="http://schemas.openxmlformats.org/officeDocument/2006/relationships/hyperlink" Target="https://www.wikirating.com/myanmar" TargetMode="External"/><Relationship Id="rId337" Type="http://schemas.openxmlformats.org/officeDocument/2006/relationships/hyperlink" Target="https://www.wikirating.com/tonga" TargetMode="External"/><Relationship Id="rId34" Type="http://schemas.openxmlformats.org/officeDocument/2006/relationships/hyperlink" Target="https://tradingeconomics.com/saudi-arabia/rating" TargetMode="External"/><Relationship Id="rId76" Type="http://schemas.openxmlformats.org/officeDocument/2006/relationships/hyperlink" Target="https://tradingeconomics.com/guatemala/rating" TargetMode="External"/><Relationship Id="rId141" Type="http://schemas.openxmlformats.org/officeDocument/2006/relationships/hyperlink" Target="https://tradingeconomics.com/suriname/rating" TargetMode="External"/><Relationship Id="rId7" Type="http://schemas.openxmlformats.org/officeDocument/2006/relationships/hyperlink" Target="https://tradingeconomics.com/netherlands/rating" TargetMode="External"/><Relationship Id="rId183" Type="http://schemas.openxmlformats.org/officeDocument/2006/relationships/hyperlink" Target="https://www.wikirating.com/brunei" TargetMode="External"/><Relationship Id="rId239" Type="http://schemas.openxmlformats.org/officeDocument/2006/relationships/hyperlink" Target="https://www.wikirating.com/iraq" TargetMode="External"/><Relationship Id="rId250" Type="http://schemas.openxmlformats.org/officeDocument/2006/relationships/hyperlink" Target="https://www.wikirating.com/south-korea" TargetMode="External"/><Relationship Id="rId292" Type="http://schemas.openxmlformats.org/officeDocument/2006/relationships/hyperlink" Target="https://www.wikirating.com/oman" TargetMode="External"/><Relationship Id="rId306" Type="http://schemas.openxmlformats.org/officeDocument/2006/relationships/hyperlink" Target="https://www.wikirating.com/saint-kitts-and-nevis" TargetMode="External"/><Relationship Id="rId45" Type="http://schemas.openxmlformats.org/officeDocument/2006/relationships/hyperlink" Target="https://tradingeconomics.com/portugal/rating" TargetMode="External"/><Relationship Id="rId87" Type="http://schemas.openxmlformats.org/officeDocument/2006/relationships/hyperlink" Target="https://tradingeconomics.com/armenia/rating" TargetMode="External"/><Relationship Id="rId110" Type="http://schemas.openxmlformats.org/officeDocument/2006/relationships/hyperlink" Target="https://tradingeconomics.com/uganda/rating" TargetMode="External"/><Relationship Id="rId348" Type="http://schemas.openxmlformats.org/officeDocument/2006/relationships/hyperlink" Target="https://www.wikirating.com/uruguay" TargetMode="External"/><Relationship Id="rId152" Type="http://schemas.openxmlformats.org/officeDocument/2006/relationships/hyperlink" Target="https://tradingeconomics.com/venezuela/rating" TargetMode="External"/><Relationship Id="rId194" Type="http://schemas.openxmlformats.org/officeDocument/2006/relationships/hyperlink" Target="https://www.wikirating.com/peoples-republic-of-china" TargetMode="External"/><Relationship Id="rId208" Type="http://schemas.openxmlformats.org/officeDocument/2006/relationships/hyperlink" Target="https://www.wikirating.com/dominican-republic" TargetMode="External"/><Relationship Id="rId261" Type="http://schemas.openxmlformats.org/officeDocument/2006/relationships/hyperlink" Target="https://www.wikirating.com/lithuania" TargetMode="External"/><Relationship Id="rId14" Type="http://schemas.openxmlformats.org/officeDocument/2006/relationships/hyperlink" Target="https://tradingeconomics.com/austria/rating" TargetMode="External"/><Relationship Id="rId56" Type="http://schemas.openxmlformats.org/officeDocument/2006/relationships/hyperlink" Target="https://tradingeconomics.com/uruguay/rating" TargetMode="External"/><Relationship Id="rId317" Type="http://schemas.openxmlformats.org/officeDocument/2006/relationships/hyperlink" Target="https://www.wikirating.com/singapore" TargetMode="External"/><Relationship Id="rId98" Type="http://schemas.openxmlformats.org/officeDocument/2006/relationships/hyperlink" Target="https://tradingeconomics.com/montenegro/rating" TargetMode="External"/><Relationship Id="rId121" Type="http://schemas.openxmlformats.org/officeDocument/2006/relationships/hyperlink" Target="https://tradingeconomics.com/moldova/rating" TargetMode="External"/><Relationship Id="rId163" Type="http://schemas.openxmlformats.org/officeDocument/2006/relationships/hyperlink" Target="https://www.wikirating.com/angola" TargetMode="External"/><Relationship Id="rId219" Type="http://schemas.openxmlformats.org/officeDocument/2006/relationships/hyperlink" Target="https://www.wikirating.com/france" TargetMode="External"/><Relationship Id="rId230" Type="http://schemas.openxmlformats.org/officeDocument/2006/relationships/hyperlink" Target="https://www.wikirating.com/guyana" TargetMode="External"/><Relationship Id="rId251" Type="http://schemas.openxmlformats.org/officeDocument/2006/relationships/hyperlink" Target="https://www.wikirating.com/kosovo" TargetMode="External"/><Relationship Id="rId25" Type="http://schemas.openxmlformats.org/officeDocument/2006/relationships/hyperlink" Target="https://tradingeconomics.com/macau/rating" TargetMode="External"/><Relationship Id="rId46" Type="http://schemas.openxmlformats.org/officeDocument/2006/relationships/hyperlink" Target="https://tradingeconomics.com/spain/rating" TargetMode="External"/><Relationship Id="rId67" Type="http://schemas.openxmlformats.org/officeDocument/2006/relationships/hyperlink" Target="https://tradingeconomics.com/panama/rating" TargetMode="External"/><Relationship Id="rId272" Type="http://schemas.openxmlformats.org/officeDocument/2006/relationships/hyperlink" Target="https://www.wikirating.com/mauritius" TargetMode="External"/><Relationship Id="rId293" Type="http://schemas.openxmlformats.org/officeDocument/2006/relationships/hyperlink" Target="https://www.wikirating.com/pakistan" TargetMode="External"/><Relationship Id="rId307" Type="http://schemas.openxmlformats.org/officeDocument/2006/relationships/hyperlink" Target="https://www.wikirating.com/saint-lucia" TargetMode="External"/><Relationship Id="rId328" Type="http://schemas.openxmlformats.org/officeDocument/2006/relationships/hyperlink" Target="https://www.wikirating.com/sweden" TargetMode="External"/><Relationship Id="rId349" Type="http://schemas.openxmlformats.org/officeDocument/2006/relationships/hyperlink" Target="https://www.wikirating.com/uzbekistan" TargetMode="External"/><Relationship Id="rId88" Type="http://schemas.openxmlformats.org/officeDocument/2006/relationships/hyperlink" Target="https://tradingeconomics.com/jamaica/rating" TargetMode="External"/><Relationship Id="rId111" Type="http://schemas.openxmlformats.org/officeDocument/2006/relationships/hyperlink" Target="https://tradingeconomics.com/bosnia-and-herzegovina/rating" TargetMode="External"/><Relationship Id="rId132" Type="http://schemas.openxmlformats.org/officeDocument/2006/relationships/hyperlink" Target="https://tradingeconomics.com/tunisia/rating" TargetMode="External"/><Relationship Id="rId153" Type="http://schemas.openxmlformats.org/officeDocument/2006/relationships/hyperlink" Target="https://tradingeconomics.com/lebanon/rating" TargetMode="External"/><Relationship Id="rId174" Type="http://schemas.openxmlformats.org/officeDocument/2006/relationships/hyperlink" Target="https://www.wikirating.com/belarus" TargetMode="External"/><Relationship Id="rId195" Type="http://schemas.openxmlformats.org/officeDocument/2006/relationships/hyperlink" Target="https://www.wikirating.com/ivory-coast" TargetMode="External"/><Relationship Id="rId209" Type="http://schemas.openxmlformats.org/officeDocument/2006/relationships/hyperlink" Target="https://www.wikirating.com/ecuador" TargetMode="External"/><Relationship Id="rId220" Type="http://schemas.openxmlformats.org/officeDocument/2006/relationships/hyperlink" Target="https://www.wikirating.com/gabon" TargetMode="External"/><Relationship Id="rId241" Type="http://schemas.openxmlformats.org/officeDocument/2006/relationships/hyperlink" Target="https://www.wikirating.com/israel" TargetMode="External"/><Relationship Id="rId15" Type="http://schemas.openxmlformats.org/officeDocument/2006/relationships/hyperlink" Target="https://tradingeconomics.com/finland/rating" TargetMode="External"/><Relationship Id="rId36" Type="http://schemas.openxmlformats.org/officeDocument/2006/relationships/hyperlink" Target="https://tradingeconomics.com/iceland/rating" TargetMode="External"/><Relationship Id="rId57" Type="http://schemas.openxmlformats.org/officeDocument/2006/relationships/hyperlink" Target="https://tradingeconomics.com/indonesia/rating" TargetMode="External"/><Relationship Id="rId262" Type="http://schemas.openxmlformats.org/officeDocument/2006/relationships/hyperlink" Target="https://www.wikirating.com/luxembourg" TargetMode="External"/><Relationship Id="rId283" Type="http://schemas.openxmlformats.org/officeDocument/2006/relationships/hyperlink" Target="https://www.wikirating.com/nauru" TargetMode="External"/><Relationship Id="rId318" Type="http://schemas.openxmlformats.org/officeDocument/2006/relationships/hyperlink" Target="https://www.wikirating.com/slovakia" TargetMode="External"/><Relationship Id="rId339" Type="http://schemas.openxmlformats.org/officeDocument/2006/relationships/hyperlink" Target="https://www.wikirating.com/tunisia" TargetMode="External"/><Relationship Id="rId78" Type="http://schemas.openxmlformats.org/officeDocument/2006/relationships/hyperlink" Target="https://tradingeconomics.com/brazil/rating" TargetMode="External"/><Relationship Id="rId99" Type="http://schemas.openxmlformats.org/officeDocument/2006/relationships/hyperlink" Target="https://tradingeconomics.com/senegal/rating" TargetMode="External"/><Relationship Id="rId101" Type="http://schemas.openxmlformats.org/officeDocument/2006/relationships/hyperlink" Target="https://tradingeconomics.com/bahrain/rating" TargetMode="External"/><Relationship Id="rId122" Type="http://schemas.openxmlformats.org/officeDocument/2006/relationships/hyperlink" Target="https://tradingeconomics.com/solomon-islands/rating" TargetMode="External"/><Relationship Id="rId143" Type="http://schemas.openxmlformats.org/officeDocument/2006/relationships/hyperlink" Target="https://tradingeconomics.com/laos/rating" TargetMode="External"/><Relationship Id="rId164" Type="http://schemas.openxmlformats.org/officeDocument/2006/relationships/hyperlink" Target="https://www.wikirating.com/antigua-and-barbuda" TargetMode="External"/><Relationship Id="rId185" Type="http://schemas.openxmlformats.org/officeDocument/2006/relationships/hyperlink" Target="https://www.wikirating.com/burkina-faso" TargetMode="External"/><Relationship Id="rId350" Type="http://schemas.openxmlformats.org/officeDocument/2006/relationships/hyperlink" Target="https://www.wikirating.com/vanuatu" TargetMode="External"/><Relationship Id="rId9" Type="http://schemas.openxmlformats.org/officeDocument/2006/relationships/hyperlink" Target="https://tradingeconomics.com/norway/rating" TargetMode="External"/><Relationship Id="rId210" Type="http://schemas.openxmlformats.org/officeDocument/2006/relationships/hyperlink" Target="https://www.wikirating.com/egypt" TargetMode="External"/><Relationship Id="rId26" Type="http://schemas.openxmlformats.org/officeDocument/2006/relationships/hyperlink" Target="https://tradingeconomics.com/united-kingdom/rating" TargetMode="External"/><Relationship Id="rId231" Type="http://schemas.openxmlformats.org/officeDocument/2006/relationships/hyperlink" Target="https://www.wikirating.com/haiti" TargetMode="External"/><Relationship Id="rId252" Type="http://schemas.openxmlformats.org/officeDocument/2006/relationships/hyperlink" Target="https://www.wikirating.com/kuwait" TargetMode="External"/><Relationship Id="rId273" Type="http://schemas.openxmlformats.org/officeDocument/2006/relationships/hyperlink" Target="https://www.wikirating.com/mexico" TargetMode="External"/><Relationship Id="rId294" Type="http://schemas.openxmlformats.org/officeDocument/2006/relationships/hyperlink" Target="https://www.wikirating.com/palau" TargetMode="External"/><Relationship Id="rId308" Type="http://schemas.openxmlformats.org/officeDocument/2006/relationships/hyperlink" Target="https://www.wikirating.com/saint-vincent-and-the-grenadines" TargetMode="External"/><Relationship Id="rId329" Type="http://schemas.openxmlformats.org/officeDocument/2006/relationships/hyperlink" Target="https://www.wikirating.com/switzerland" TargetMode="External"/><Relationship Id="rId47" Type="http://schemas.openxmlformats.org/officeDocument/2006/relationships/hyperlink" Target="https://tradingeconomics.com/malaysia/rating" TargetMode="External"/><Relationship Id="rId68" Type="http://schemas.openxmlformats.org/officeDocument/2006/relationships/hyperlink" Target="https://tradingeconomics.com/greece/rating" TargetMode="External"/><Relationship Id="rId89" Type="http://schemas.openxmlformats.org/officeDocument/2006/relationships/hyperlink" Target="https://tradingeconomics.com/jordan/rating" TargetMode="External"/><Relationship Id="rId112" Type="http://schemas.openxmlformats.org/officeDocument/2006/relationships/hyperlink" Target="https://tradingeconomics.com/cape-verde/rating" TargetMode="External"/><Relationship Id="rId133" Type="http://schemas.openxmlformats.org/officeDocument/2006/relationships/hyperlink" Target="https://tradingeconomics.com/belize/rating" TargetMode="External"/><Relationship Id="rId154" Type="http://schemas.openxmlformats.org/officeDocument/2006/relationships/hyperlink" Target="https://tradingeconomics.com/cuba/rating" TargetMode="External"/><Relationship Id="rId175" Type="http://schemas.openxmlformats.org/officeDocument/2006/relationships/hyperlink" Target="https://www.wikirating.com/belgium" TargetMode="External"/><Relationship Id="rId340" Type="http://schemas.openxmlformats.org/officeDocument/2006/relationships/hyperlink" Target="https://www.wikirating.com/turkey" TargetMode="External"/><Relationship Id="rId196" Type="http://schemas.openxmlformats.org/officeDocument/2006/relationships/hyperlink" Target="https://www.wikirating.com/colombia" TargetMode="External"/><Relationship Id="rId200" Type="http://schemas.openxmlformats.org/officeDocument/2006/relationships/hyperlink" Target="https://www.wikirating.com/costa-rica" TargetMode="External"/><Relationship Id="rId16" Type="http://schemas.openxmlformats.org/officeDocument/2006/relationships/hyperlink" Target="https://tradingeconomics.com/new-zealand/rating" TargetMode="External"/><Relationship Id="rId221" Type="http://schemas.openxmlformats.org/officeDocument/2006/relationships/hyperlink" Target="https://www.wikirating.com/gambia" TargetMode="External"/><Relationship Id="rId242" Type="http://schemas.openxmlformats.org/officeDocument/2006/relationships/hyperlink" Target="https://www.wikirating.com/italy" TargetMode="External"/><Relationship Id="rId263" Type="http://schemas.openxmlformats.org/officeDocument/2006/relationships/hyperlink" Target="https://www.wikirating.com/macau" TargetMode="External"/><Relationship Id="rId284" Type="http://schemas.openxmlformats.org/officeDocument/2006/relationships/hyperlink" Target="https://www.wikirating.com/nepal" TargetMode="External"/><Relationship Id="rId319" Type="http://schemas.openxmlformats.org/officeDocument/2006/relationships/hyperlink" Target="https://www.wikirating.com/slovenia" TargetMode="External"/><Relationship Id="rId37" Type="http://schemas.openxmlformats.org/officeDocument/2006/relationships/hyperlink" Target="https://tradingeconomics.com/lithuania/rating" TargetMode="External"/><Relationship Id="rId58" Type="http://schemas.openxmlformats.org/officeDocument/2006/relationships/hyperlink" Target="https://tradingeconomics.com/peru/rating" TargetMode="External"/><Relationship Id="rId79" Type="http://schemas.openxmlformats.org/officeDocument/2006/relationships/hyperlink" Target="https://tradingeconomics.com/georgia/rating" TargetMode="External"/><Relationship Id="rId102" Type="http://schemas.openxmlformats.org/officeDocument/2006/relationships/hyperlink" Target="https://tradingeconomics.com/rwanda/rating" TargetMode="External"/><Relationship Id="rId123" Type="http://schemas.openxmlformats.org/officeDocument/2006/relationships/hyperlink" Target="https://tradingeconomics.com/st-vincent-and-the-grenadines/rating" TargetMode="External"/><Relationship Id="rId144" Type="http://schemas.openxmlformats.org/officeDocument/2006/relationships/hyperlink" Target="https://tradingeconomics.com/mali/rating" TargetMode="External"/><Relationship Id="rId330" Type="http://schemas.openxmlformats.org/officeDocument/2006/relationships/hyperlink" Target="https://www.wikirating.com/syria" TargetMode="External"/><Relationship Id="rId90" Type="http://schemas.openxmlformats.org/officeDocument/2006/relationships/hyperlink" Target="https://tradingeconomics.com/albania/rating" TargetMode="External"/><Relationship Id="rId165" Type="http://schemas.openxmlformats.org/officeDocument/2006/relationships/hyperlink" Target="https://www.wikirating.com/argentina" TargetMode="External"/><Relationship Id="rId186" Type="http://schemas.openxmlformats.org/officeDocument/2006/relationships/hyperlink" Target="https://www.wikirating.com/burundi" TargetMode="External"/><Relationship Id="rId351" Type="http://schemas.openxmlformats.org/officeDocument/2006/relationships/hyperlink" Target="https://www.wikirating.com/holy-see" TargetMode="External"/><Relationship Id="rId211" Type="http://schemas.openxmlformats.org/officeDocument/2006/relationships/hyperlink" Target="https://www.wikirating.com/el-salvador" TargetMode="External"/><Relationship Id="rId232" Type="http://schemas.openxmlformats.org/officeDocument/2006/relationships/hyperlink" Target="https://www.wikirating.com/honduras" TargetMode="External"/><Relationship Id="rId253" Type="http://schemas.openxmlformats.org/officeDocument/2006/relationships/hyperlink" Target="https://www.wikirating.com/kyrgyzstan" TargetMode="External"/><Relationship Id="rId274" Type="http://schemas.openxmlformats.org/officeDocument/2006/relationships/hyperlink" Target="https://www.wikirating.com/federated-states-of-micronesia" TargetMode="External"/><Relationship Id="rId295" Type="http://schemas.openxmlformats.org/officeDocument/2006/relationships/hyperlink" Target="https://www.wikirating.com/panama" TargetMode="External"/><Relationship Id="rId309" Type="http://schemas.openxmlformats.org/officeDocument/2006/relationships/hyperlink" Target="https://www.wikirating.com/samoa" TargetMode="External"/><Relationship Id="rId27" Type="http://schemas.openxmlformats.org/officeDocument/2006/relationships/hyperlink" Target="https://tradingeconomics.com/south-korea/rating" TargetMode="External"/><Relationship Id="rId48" Type="http://schemas.openxmlformats.org/officeDocument/2006/relationships/hyperlink" Target="https://tradingeconomics.com/botswana/rating" TargetMode="External"/><Relationship Id="rId69" Type="http://schemas.openxmlformats.org/officeDocument/2006/relationships/hyperlink" Target="https://tradingeconomics.com/oman/rating" TargetMode="External"/><Relationship Id="rId113" Type="http://schemas.openxmlformats.org/officeDocument/2006/relationships/hyperlink" Target="https://tradingeconomics.com/kyrgyzstan/rating" TargetMode="External"/><Relationship Id="rId134" Type="http://schemas.openxmlformats.org/officeDocument/2006/relationships/hyperlink" Target="https://tradingeconomics.com/bolivia/rating" TargetMode="External"/><Relationship Id="rId320" Type="http://schemas.openxmlformats.org/officeDocument/2006/relationships/hyperlink" Target="https://www.wikirating.com/solomon-islands" TargetMode="External"/><Relationship Id="rId80" Type="http://schemas.openxmlformats.org/officeDocument/2006/relationships/hyperlink" Target="https://tradingeconomics.com/macedonia/rating" TargetMode="External"/><Relationship Id="rId155" Type="http://schemas.openxmlformats.org/officeDocument/2006/relationships/hyperlink" Target="https://tradingeconomics.com/puerto-rico/rating" TargetMode="External"/><Relationship Id="rId176" Type="http://schemas.openxmlformats.org/officeDocument/2006/relationships/hyperlink" Target="https://www.wikirating.com/belize" TargetMode="External"/><Relationship Id="rId197" Type="http://schemas.openxmlformats.org/officeDocument/2006/relationships/hyperlink" Target="https://www.wikirating.com/comoros" TargetMode="External"/><Relationship Id="rId341" Type="http://schemas.openxmlformats.org/officeDocument/2006/relationships/hyperlink" Target="https://www.wikirating.com/turkmenistan" TargetMode="External"/><Relationship Id="rId201" Type="http://schemas.openxmlformats.org/officeDocument/2006/relationships/hyperlink" Target="https://www.wikirating.com/croatia" TargetMode="External"/><Relationship Id="rId222" Type="http://schemas.openxmlformats.org/officeDocument/2006/relationships/hyperlink" Target="https://www.wikirating.com/georgia" TargetMode="External"/><Relationship Id="rId243" Type="http://schemas.openxmlformats.org/officeDocument/2006/relationships/hyperlink" Target="https://www.wikirating.com/jamaica" TargetMode="External"/><Relationship Id="rId264" Type="http://schemas.openxmlformats.org/officeDocument/2006/relationships/hyperlink" Target="https://www.wikirating.com/madagascar" TargetMode="External"/><Relationship Id="rId285" Type="http://schemas.openxmlformats.org/officeDocument/2006/relationships/hyperlink" Target="https://www.wikirating.com/netherlands" TargetMode="External"/><Relationship Id="rId17" Type="http://schemas.openxmlformats.org/officeDocument/2006/relationships/hyperlink" Target="https://tradingeconomics.com/france/rating" TargetMode="External"/><Relationship Id="rId38" Type="http://schemas.openxmlformats.org/officeDocument/2006/relationships/hyperlink" Target="https://tradingeconomics.com/slovenia/rating" TargetMode="External"/><Relationship Id="rId59" Type="http://schemas.openxmlformats.org/officeDocument/2006/relationships/hyperlink" Target="https://tradingeconomics.com/hungary/rating" TargetMode="External"/><Relationship Id="rId103" Type="http://schemas.openxmlformats.org/officeDocument/2006/relationships/hyperlink" Target="https://tradingeconomics.com/tanzania/rating" TargetMode="External"/><Relationship Id="rId124" Type="http://schemas.openxmlformats.org/officeDocument/2006/relationships/hyperlink" Target="https://tradingeconomics.com/swaziland/rating" TargetMode="External"/><Relationship Id="rId310" Type="http://schemas.openxmlformats.org/officeDocument/2006/relationships/hyperlink" Target="https://www.wikirating.com/san-marino" TargetMode="External"/><Relationship Id="rId70" Type="http://schemas.openxmlformats.org/officeDocument/2006/relationships/hyperlink" Target="https://tradingeconomics.com/azerbaijan/rating" TargetMode="External"/><Relationship Id="rId91" Type="http://schemas.openxmlformats.org/officeDocument/2006/relationships/hyperlink" Target="https://tradingeconomics.com/bahamas/rating" TargetMode="External"/><Relationship Id="rId145" Type="http://schemas.openxmlformats.org/officeDocument/2006/relationships/hyperlink" Target="https://tradingeconomics.com/niger/rating" TargetMode="External"/><Relationship Id="rId166" Type="http://schemas.openxmlformats.org/officeDocument/2006/relationships/hyperlink" Target="https://www.wikirating.com/armenia" TargetMode="External"/><Relationship Id="rId187" Type="http://schemas.openxmlformats.org/officeDocument/2006/relationships/hyperlink" Target="https://www.wikirating.com/cambodia" TargetMode="External"/><Relationship Id="rId331" Type="http://schemas.openxmlformats.org/officeDocument/2006/relationships/hyperlink" Target="https://www.wikirating.com/taiwan" TargetMode="External"/><Relationship Id="rId352" Type="http://schemas.openxmlformats.org/officeDocument/2006/relationships/hyperlink" Target="https://www.wikirating.com/venezuela" TargetMode="External"/><Relationship Id="rId1" Type="http://schemas.openxmlformats.org/officeDocument/2006/relationships/hyperlink" Target="https://tradingeconomics.com/australia/rating" TargetMode="External"/><Relationship Id="rId212" Type="http://schemas.openxmlformats.org/officeDocument/2006/relationships/hyperlink" Target="https://www.wikirating.com/equatorial-guinea" TargetMode="External"/><Relationship Id="rId233" Type="http://schemas.openxmlformats.org/officeDocument/2006/relationships/hyperlink" Target="https://www.wikirating.com/hong-kong" TargetMode="External"/><Relationship Id="rId254" Type="http://schemas.openxmlformats.org/officeDocument/2006/relationships/hyperlink" Target="https://www.wikirating.com/laos" TargetMode="External"/><Relationship Id="rId28" Type="http://schemas.openxmlformats.org/officeDocument/2006/relationships/hyperlink" Target="https://tradingeconomics.com/cayman-islands/rating" TargetMode="External"/><Relationship Id="rId49" Type="http://schemas.openxmlformats.org/officeDocument/2006/relationships/hyperlink" Target="https://tradingeconomics.com/andorra/rating" TargetMode="External"/><Relationship Id="rId114" Type="http://schemas.openxmlformats.org/officeDocument/2006/relationships/hyperlink" Target="https://tradingeconomics.com/papua-new-guinea/rating" TargetMode="External"/><Relationship Id="rId275" Type="http://schemas.openxmlformats.org/officeDocument/2006/relationships/hyperlink" Target="https://www.wikirating.com/moldova" TargetMode="External"/><Relationship Id="rId296" Type="http://schemas.openxmlformats.org/officeDocument/2006/relationships/hyperlink" Target="https://www.wikirating.com/papua-new-guinea" TargetMode="External"/><Relationship Id="rId300" Type="http://schemas.openxmlformats.org/officeDocument/2006/relationships/hyperlink" Target="https://www.wikirating.com/poland" TargetMode="External"/><Relationship Id="rId60" Type="http://schemas.openxmlformats.org/officeDocument/2006/relationships/hyperlink" Target="https://tradingeconomics.com/kazakhstan/rating" TargetMode="External"/><Relationship Id="rId81" Type="http://schemas.openxmlformats.org/officeDocument/2006/relationships/hyperlink" Target="https://tradingeconomics.com/costa-rica/rating" TargetMode="External"/><Relationship Id="rId135" Type="http://schemas.openxmlformats.org/officeDocument/2006/relationships/hyperlink" Target="https://tradingeconomics.com/burkina-faso/rating" TargetMode="External"/><Relationship Id="rId156" Type="http://schemas.openxmlformats.org/officeDocument/2006/relationships/hyperlink" Target="https://tradingeconomics.com/grenada/rating" TargetMode="External"/><Relationship Id="rId177" Type="http://schemas.openxmlformats.org/officeDocument/2006/relationships/hyperlink" Target="https://www.wikirating.com/benin" TargetMode="External"/><Relationship Id="rId198" Type="http://schemas.openxmlformats.org/officeDocument/2006/relationships/hyperlink" Target="https://www.wikirating.com/democratic-republic-of-the-congo" TargetMode="External"/><Relationship Id="rId321" Type="http://schemas.openxmlformats.org/officeDocument/2006/relationships/hyperlink" Target="https://www.wikirating.com/somalia" TargetMode="External"/><Relationship Id="rId342" Type="http://schemas.openxmlformats.org/officeDocument/2006/relationships/hyperlink" Target="https://www.wikirating.com/tuvalu" TargetMode="External"/><Relationship Id="rId202" Type="http://schemas.openxmlformats.org/officeDocument/2006/relationships/hyperlink" Target="https://www.wikirating.com/cuba" TargetMode="External"/><Relationship Id="rId223" Type="http://schemas.openxmlformats.org/officeDocument/2006/relationships/hyperlink" Target="https://www.wikirating.com/germany" TargetMode="External"/><Relationship Id="rId244" Type="http://schemas.openxmlformats.org/officeDocument/2006/relationships/hyperlink" Target="https://www.wikirating.com/japan" TargetMode="External"/><Relationship Id="rId18" Type="http://schemas.openxmlformats.org/officeDocument/2006/relationships/hyperlink" Target="https://tradingeconomics.com/taiwan/rating" TargetMode="External"/><Relationship Id="rId39" Type="http://schemas.openxmlformats.org/officeDocument/2006/relationships/hyperlink" Target="https://tradingeconomics.com/malta/rating" TargetMode="External"/><Relationship Id="rId265" Type="http://schemas.openxmlformats.org/officeDocument/2006/relationships/hyperlink" Target="https://www.wikirating.com/malawi" TargetMode="External"/><Relationship Id="rId286" Type="http://schemas.openxmlformats.org/officeDocument/2006/relationships/hyperlink" Target="https://www.wikirating.com/new-zealand" TargetMode="External"/><Relationship Id="rId50" Type="http://schemas.openxmlformats.org/officeDocument/2006/relationships/hyperlink" Target="https://tradingeconomics.com/croatia/rating" TargetMode="External"/><Relationship Id="rId104" Type="http://schemas.openxmlformats.org/officeDocument/2006/relationships/hyperlink" Target="https://tradingeconomics.com/mongolia/rating" TargetMode="External"/><Relationship Id="rId125" Type="http://schemas.openxmlformats.org/officeDocument/2006/relationships/hyperlink" Target="https://tradingeconomics.com/cameroon/rating" TargetMode="External"/><Relationship Id="rId146" Type="http://schemas.openxmlformats.org/officeDocument/2006/relationships/hyperlink" Target="https://tradingeconomics.com/russia/rating" TargetMode="External"/><Relationship Id="rId167" Type="http://schemas.openxmlformats.org/officeDocument/2006/relationships/hyperlink" Target="https://www.wikirating.com/australia" TargetMode="External"/><Relationship Id="rId188" Type="http://schemas.openxmlformats.org/officeDocument/2006/relationships/hyperlink" Target="https://www.wikirating.com/cameroon" TargetMode="External"/><Relationship Id="rId311" Type="http://schemas.openxmlformats.org/officeDocument/2006/relationships/hyperlink" Target="https://www.wikirating.com/sao-tome-and-principe" TargetMode="External"/><Relationship Id="rId332" Type="http://schemas.openxmlformats.org/officeDocument/2006/relationships/hyperlink" Target="https://www.wikirating.com/tajikistan" TargetMode="External"/><Relationship Id="rId353" Type="http://schemas.openxmlformats.org/officeDocument/2006/relationships/hyperlink" Target="https://www.wikirating.com/vietnam" TargetMode="External"/><Relationship Id="rId71" Type="http://schemas.openxmlformats.org/officeDocument/2006/relationships/hyperlink" Target="https://tradingeconomics.com/morocco/rating" TargetMode="External"/><Relationship Id="rId92" Type="http://schemas.openxmlformats.org/officeDocument/2006/relationships/hyperlink" Target="https://tradingeconomics.com/honduras/rating" TargetMode="External"/><Relationship Id="rId213" Type="http://schemas.openxmlformats.org/officeDocument/2006/relationships/hyperlink" Target="https://www.wikirating.com/eritrea" TargetMode="External"/><Relationship Id="rId234" Type="http://schemas.openxmlformats.org/officeDocument/2006/relationships/hyperlink" Target="https://www.wikirating.com/hungary" TargetMode="External"/><Relationship Id="rId2" Type="http://schemas.openxmlformats.org/officeDocument/2006/relationships/hyperlink" Target="https://tradingeconomics.com/canada/rating" TargetMode="External"/><Relationship Id="rId29" Type="http://schemas.openxmlformats.org/officeDocument/2006/relationships/hyperlink" Target="https://tradingeconomics.com/czech-republic/rating" TargetMode="External"/><Relationship Id="rId255" Type="http://schemas.openxmlformats.org/officeDocument/2006/relationships/hyperlink" Target="https://www.wikirating.com/latvia" TargetMode="External"/><Relationship Id="rId276" Type="http://schemas.openxmlformats.org/officeDocument/2006/relationships/hyperlink" Target="https://www.wikirating.com/monaco" TargetMode="External"/><Relationship Id="rId297" Type="http://schemas.openxmlformats.org/officeDocument/2006/relationships/hyperlink" Target="https://www.wikirating.com/paraguay" TargetMode="External"/><Relationship Id="rId40" Type="http://schemas.openxmlformats.org/officeDocument/2006/relationships/hyperlink" Target="https://tradingeconomics.com/slovakia/rating" TargetMode="External"/><Relationship Id="rId115" Type="http://schemas.openxmlformats.org/officeDocument/2006/relationships/hyperlink" Target="https://tradingeconomics.com/tajikistan/rating" TargetMode="External"/><Relationship Id="rId136" Type="http://schemas.openxmlformats.org/officeDocument/2006/relationships/hyperlink" Target="https://tradingeconomics.com/ecuador/rating" TargetMode="External"/><Relationship Id="rId157" Type="http://schemas.openxmlformats.org/officeDocument/2006/relationships/hyperlink" Target="https://tradingeconomics.com/kosovo/rating" TargetMode="External"/><Relationship Id="rId178" Type="http://schemas.openxmlformats.org/officeDocument/2006/relationships/hyperlink" Target="https://www.wikirating.com/bhutan" TargetMode="External"/><Relationship Id="rId301" Type="http://schemas.openxmlformats.org/officeDocument/2006/relationships/hyperlink" Target="https://www.wikirating.com/portugal" TargetMode="External"/><Relationship Id="rId322" Type="http://schemas.openxmlformats.org/officeDocument/2006/relationships/hyperlink" Target="https://www.wikirating.com/south-africa" TargetMode="External"/><Relationship Id="rId343" Type="http://schemas.openxmlformats.org/officeDocument/2006/relationships/hyperlink" Target="https://www.wikirating.com/uganda" TargetMode="External"/><Relationship Id="rId61" Type="http://schemas.openxmlformats.org/officeDocument/2006/relationships/hyperlink" Target="https://tradingeconomics.com/mexico/rating" TargetMode="External"/><Relationship Id="rId82" Type="http://schemas.openxmlformats.org/officeDocument/2006/relationships/hyperlink" Target="https://tradingeconomics.com/dominican-republic/rating" TargetMode="External"/><Relationship Id="rId199" Type="http://schemas.openxmlformats.org/officeDocument/2006/relationships/hyperlink" Target="https://www.wikirating.com/republic-of-the-congo" TargetMode="External"/><Relationship Id="rId203" Type="http://schemas.openxmlformats.org/officeDocument/2006/relationships/hyperlink" Target="https://www.wikirating.com/cyprus" TargetMode="External"/><Relationship Id="rId19" Type="http://schemas.openxmlformats.org/officeDocument/2006/relationships/hyperlink" Target="https://tradingeconomics.com/united-arab-emirates/rating" TargetMode="External"/><Relationship Id="rId224" Type="http://schemas.openxmlformats.org/officeDocument/2006/relationships/hyperlink" Target="https://www.wikirating.com/ghana" TargetMode="External"/><Relationship Id="rId245" Type="http://schemas.openxmlformats.org/officeDocument/2006/relationships/hyperlink" Target="https://www.wikirating.com/jordan" TargetMode="External"/><Relationship Id="rId266" Type="http://schemas.openxmlformats.org/officeDocument/2006/relationships/hyperlink" Target="https://www.wikirating.com/malaysia" TargetMode="External"/><Relationship Id="rId287" Type="http://schemas.openxmlformats.org/officeDocument/2006/relationships/hyperlink" Target="https://www.wikirating.com/nicaragua" TargetMode="External"/><Relationship Id="rId30" Type="http://schemas.openxmlformats.org/officeDocument/2006/relationships/hyperlink" Target="https://tradingeconomics.com/estonia/rating" TargetMode="External"/><Relationship Id="rId105" Type="http://schemas.openxmlformats.org/officeDocument/2006/relationships/hyperlink" Target="https://tradingeconomics.com/cambodia/rating" TargetMode="External"/><Relationship Id="rId126" Type="http://schemas.openxmlformats.org/officeDocument/2006/relationships/hyperlink" Target="https://tradingeconomics.com/egypt/rating" TargetMode="External"/><Relationship Id="rId147" Type="http://schemas.openxmlformats.org/officeDocument/2006/relationships/hyperlink" Target="https://tradingeconomics.com/argentina/rating" TargetMode="External"/><Relationship Id="rId168" Type="http://schemas.openxmlformats.org/officeDocument/2006/relationships/hyperlink" Target="https://www.wikirating.com/austria" TargetMode="External"/><Relationship Id="rId312" Type="http://schemas.openxmlformats.org/officeDocument/2006/relationships/hyperlink" Target="https://www.wikirating.com/saudi-arabia" TargetMode="External"/><Relationship Id="rId333" Type="http://schemas.openxmlformats.org/officeDocument/2006/relationships/hyperlink" Target="https://www.wikirating.com/tanzania" TargetMode="External"/><Relationship Id="rId354" Type="http://schemas.openxmlformats.org/officeDocument/2006/relationships/hyperlink" Target="https://www.wikirating.com/yemen" TargetMode="External"/><Relationship Id="rId51" Type="http://schemas.openxmlformats.org/officeDocument/2006/relationships/hyperlink" Target="https://tradingeconomics.com/cyprus/rating" TargetMode="External"/><Relationship Id="rId72" Type="http://schemas.openxmlformats.org/officeDocument/2006/relationships/hyperlink" Target="https://tradingeconomics.com/paraguay/rating" TargetMode="External"/><Relationship Id="rId93" Type="http://schemas.openxmlformats.org/officeDocument/2006/relationships/hyperlink" Target="https://tradingeconomics.com/namibia/rating" TargetMode="External"/><Relationship Id="rId189" Type="http://schemas.openxmlformats.org/officeDocument/2006/relationships/hyperlink" Target="https://www.wikirating.com/canada" TargetMode="External"/><Relationship Id="rId3" Type="http://schemas.openxmlformats.org/officeDocument/2006/relationships/hyperlink" Target="https://tradingeconomics.com/denmark/rating" TargetMode="External"/><Relationship Id="rId214" Type="http://schemas.openxmlformats.org/officeDocument/2006/relationships/hyperlink" Target="https://www.wikirating.com/estonia" TargetMode="External"/><Relationship Id="rId235" Type="http://schemas.openxmlformats.org/officeDocument/2006/relationships/hyperlink" Target="https://www.wikirating.com/iceland" TargetMode="External"/><Relationship Id="rId256" Type="http://schemas.openxmlformats.org/officeDocument/2006/relationships/hyperlink" Target="https://www.wikirating.com/lebanon" TargetMode="External"/><Relationship Id="rId277" Type="http://schemas.openxmlformats.org/officeDocument/2006/relationships/hyperlink" Target="https://www.wikirating.com/mongolia" TargetMode="External"/><Relationship Id="rId298" Type="http://schemas.openxmlformats.org/officeDocument/2006/relationships/hyperlink" Target="https://www.wikirating.com/peru" TargetMode="External"/><Relationship Id="rId116" Type="http://schemas.openxmlformats.org/officeDocument/2006/relationships/hyperlink" Target="https://tradingeconomics.com/togo/rating" TargetMode="External"/><Relationship Id="rId137" Type="http://schemas.openxmlformats.org/officeDocument/2006/relationships/hyperlink" Target="https://tradingeconomics.com/el-salvador/rating" TargetMode="External"/><Relationship Id="rId158" Type="http://schemas.openxmlformats.org/officeDocument/2006/relationships/hyperlink" Target="https://tradingeconomics.com/nepal/rating" TargetMode="External"/><Relationship Id="rId302" Type="http://schemas.openxmlformats.org/officeDocument/2006/relationships/hyperlink" Target="https://www.wikirating.com/qatar" TargetMode="External"/><Relationship Id="rId323" Type="http://schemas.openxmlformats.org/officeDocument/2006/relationships/hyperlink" Target="https://www.wikirating.com/south-sudan" TargetMode="External"/><Relationship Id="rId344" Type="http://schemas.openxmlformats.org/officeDocument/2006/relationships/hyperlink" Target="https://www.wikirating.com/ukraine" TargetMode="External"/><Relationship Id="rId20" Type="http://schemas.openxmlformats.org/officeDocument/2006/relationships/hyperlink" Target="https://tradingeconomics.com/hong-kong/rating" TargetMode="External"/><Relationship Id="rId41" Type="http://schemas.openxmlformats.org/officeDocument/2006/relationships/hyperlink" Target="https://tradingeconomics.com/chile/rating" TargetMode="External"/><Relationship Id="rId62" Type="http://schemas.openxmlformats.org/officeDocument/2006/relationships/hyperlink" Target="https://tradingeconomics.com/india/rating" TargetMode="External"/><Relationship Id="rId83" Type="http://schemas.openxmlformats.org/officeDocument/2006/relationships/hyperlink" Target="https://tradingeconomics.com/ivory-coast/rating" TargetMode="External"/><Relationship Id="rId179" Type="http://schemas.openxmlformats.org/officeDocument/2006/relationships/hyperlink" Target="https://www.wikirating.com/bolivia" TargetMode="External"/><Relationship Id="rId190" Type="http://schemas.openxmlformats.org/officeDocument/2006/relationships/hyperlink" Target="https://www.wikirating.com/cape-verde" TargetMode="External"/><Relationship Id="rId204" Type="http://schemas.openxmlformats.org/officeDocument/2006/relationships/hyperlink" Target="https://www.wikirating.com/czech-republic" TargetMode="External"/><Relationship Id="rId225" Type="http://schemas.openxmlformats.org/officeDocument/2006/relationships/hyperlink" Target="https://www.wikirating.com/greece" TargetMode="External"/><Relationship Id="rId246" Type="http://schemas.openxmlformats.org/officeDocument/2006/relationships/hyperlink" Target="https://www.wikirating.com/kazakhstan" TargetMode="External"/><Relationship Id="rId267" Type="http://schemas.openxmlformats.org/officeDocument/2006/relationships/hyperlink" Target="https://www.wikirating.com/maldives" TargetMode="External"/><Relationship Id="rId288" Type="http://schemas.openxmlformats.org/officeDocument/2006/relationships/hyperlink" Target="https://www.wikirating.com/niger" TargetMode="External"/><Relationship Id="rId106" Type="http://schemas.openxmlformats.org/officeDocument/2006/relationships/hyperlink" Target="https://tradingeconomics.com/lesotho/rating" TargetMode="External"/><Relationship Id="rId127" Type="http://schemas.openxmlformats.org/officeDocument/2006/relationships/hyperlink" Target="https://tradingeconomics.com/gabon/rating" TargetMode="External"/><Relationship Id="rId313" Type="http://schemas.openxmlformats.org/officeDocument/2006/relationships/hyperlink" Target="https://www.wikirating.com/senegal" TargetMode="External"/><Relationship Id="rId10" Type="http://schemas.openxmlformats.org/officeDocument/2006/relationships/hyperlink" Target="https://tradingeconomics.com/sweden/rating" TargetMode="External"/><Relationship Id="rId31" Type="http://schemas.openxmlformats.org/officeDocument/2006/relationships/hyperlink" Target="https://tradingeconomics.com/kuwait/rating" TargetMode="External"/><Relationship Id="rId52" Type="http://schemas.openxmlformats.org/officeDocument/2006/relationships/hyperlink" Target="https://tradingeconomics.com/thailand/rating" TargetMode="External"/><Relationship Id="rId73" Type="http://schemas.openxmlformats.org/officeDocument/2006/relationships/hyperlink" Target="https://tradingeconomics.com/san-marino/rating" TargetMode="External"/><Relationship Id="rId94" Type="http://schemas.openxmlformats.org/officeDocument/2006/relationships/hyperlink" Target="https://tradingeconomics.com/benin/rating" TargetMode="External"/><Relationship Id="rId148" Type="http://schemas.openxmlformats.org/officeDocument/2006/relationships/hyperlink" Target="https://tradingeconomics.com/belarus/rating" TargetMode="External"/><Relationship Id="rId169" Type="http://schemas.openxmlformats.org/officeDocument/2006/relationships/hyperlink" Target="https://www.wikirating.com/azerbaijan" TargetMode="External"/><Relationship Id="rId334" Type="http://schemas.openxmlformats.org/officeDocument/2006/relationships/hyperlink" Target="https://www.wikirating.com/thailand" TargetMode="External"/><Relationship Id="rId355" Type="http://schemas.openxmlformats.org/officeDocument/2006/relationships/hyperlink" Target="https://www.wikirating.com/zambia" TargetMode="External"/><Relationship Id="rId4" Type="http://schemas.openxmlformats.org/officeDocument/2006/relationships/hyperlink" Target="https://tradingeconomics.com/germany/rating" TargetMode="External"/><Relationship Id="rId180" Type="http://schemas.openxmlformats.org/officeDocument/2006/relationships/hyperlink" Target="https://www.wikirating.com/bosnia-and-herzegovina" TargetMode="External"/><Relationship Id="rId215" Type="http://schemas.openxmlformats.org/officeDocument/2006/relationships/hyperlink" Target="https://www.wikirating.com/eswatini" TargetMode="External"/><Relationship Id="rId236" Type="http://schemas.openxmlformats.org/officeDocument/2006/relationships/hyperlink" Target="https://www.wikirating.com/india" TargetMode="External"/><Relationship Id="rId257" Type="http://schemas.openxmlformats.org/officeDocument/2006/relationships/hyperlink" Target="https://www.wikirating.com/lesotho" TargetMode="External"/><Relationship Id="rId278" Type="http://schemas.openxmlformats.org/officeDocument/2006/relationships/hyperlink" Target="https://www.wikirating.com/montenegro" TargetMode="External"/><Relationship Id="rId303" Type="http://schemas.openxmlformats.org/officeDocument/2006/relationships/hyperlink" Target="https://www.wikirating.com/romania" TargetMode="External"/><Relationship Id="rId42" Type="http://schemas.openxmlformats.org/officeDocument/2006/relationships/hyperlink" Target="https://tradingeconomics.com/israel/rating" TargetMode="External"/><Relationship Id="rId84" Type="http://schemas.openxmlformats.org/officeDocument/2006/relationships/hyperlink" Target="https://tradingeconomics.com/south-africa/rating" TargetMode="External"/><Relationship Id="rId138" Type="http://schemas.openxmlformats.org/officeDocument/2006/relationships/hyperlink" Target="https://tradingeconomics.com/mozambique/rating" TargetMode="External"/><Relationship Id="rId345" Type="http://schemas.openxmlformats.org/officeDocument/2006/relationships/hyperlink" Target="https://www.wikirating.com/united-arab-emirates" TargetMode="External"/><Relationship Id="rId191" Type="http://schemas.openxmlformats.org/officeDocument/2006/relationships/hyperlink" Target="https://www.wikirating.com/central-african-republic" TargetMode="External"/><Relationship Id="rId205" Type="http://schemas.openxmlformats.org/officeDocument/2006/relationships/hyperlink" Target="https://www.wikirating.com/denmark" TargetMode="External"/><Relationship Id="rId247" Type="http://schemas.openxmlformats.org/officeDocument/2006/relationships/hyperlink" Target="https://www.wikirating.com/kenya" TargetMode="External"/><Relationship Id="rId107" Type="http://schemas.openxmlformats.org/officeDocument/2006/relationships/hyperlink" Target="https://tradingeconomics.com/nicaragua/rating" TargetMode="External"/><Relationship Id="rId289" Type="http://schemas.openxmlformats.org/officeDocument/2006/relationships/hyperlink" Target="https://www.wikirating.com/nigeria" TargetMode="External"/><Relationship Id="rId11" Type="http://schemas.openxmlformats.org/officeDocument/2006/relationships/hyperlink" Target="https://tradingeconomics.com/european-union/rating" TargetMode="External"/><Relationship Id="rId53" Type="http://schemas.openxmlformats.org/officeDocument/2006/relationships/hyperlink" Target="https://tradingeconomics.com/italy/rating" TargetMode="External"/><Relationship Id="rId149" Type="http://schemas.openxmlformats.org/officeDocument/2006/relationships/hyperlink" Target="https://tradingeconomics.com/ghana/rating" TargetMode="External"/><Relationship Id="rId314" Type="http://schemas.openxmlformats.org/officeDocument/2006/relationships/hyperlink" Target="https://www.wikirating.com/serbia" TargetMode="External"/><Relationship Id="rId356" Type="http://schemas.openxmlformats.org/officeDocument/2006/relationships/hyperlink" Target="https://www.wikirating.com/zimbabwe" TargetMode="External"/><Relationship Id="rId95" Type="http://schemas.openxmlformats.org/officeDocument/2006/relationships/hyperlink" Target="https://tradingeconomics.com/turkey/rating" TargetMode="External"/><Relationship Id="rId160" Type="http://schemas.openxmlformats.org/officeDocument/2006/relationships/hyperlink" Target="https://www.wikirating.com/albania" TargetMode="External"/><Relationship Id="rId216" Type="http://schemas.openxmlformats.org/officeDocument/2006/relationships/hyperlink" Target="https://www.wikirating.com/ethiopia" TargetMode="External"/><Relationship Id="rId258" Type="http://schemas.openxmlformats.org/officeDocument/2006/relationships/hyperlink" Target="https://www.wikirating.com/liberia" TargetMode="External"/><Relationship Id="rId22" Type="http://schemas.openxmlformats.org/officeDocument/2006/relationships/hyperlink" Target="https://tradingeconomics.com/qatar/rating" TargetMode="External"/><Relationship Id="rId64" Type="http://schemas.openxmlformats.org/officeDocument/2006/relationships/hyperlink" Target="https://tradingeconomics.com/colombia/rating" TargetMode="External"/><Relationship Id="rId118" Type="http://schemas.openxmlformats.org/officeDocument/2006/relationships/hyperlink" Target="https://tradingeconomics.com/chad/rating" TargetMode="External"/><Relationship Id="rId325" Type="http://schemas.openxmlformats.org/officeDocument/2006/relationships/hyperlink" Target="https://www.wikirating.com/sri-lanka" TargetMode="External"/><Relationship Id="rId171" Type="http://schemas.openxmlformats.org/officeDocument/2006/relationships/hyperlink" Target="https://www.wikirating.com/bahrain" TargetMode="External"/><Relationship Id="rId227" Type="http://schemas.openxmlformats.org/officeDocument/2006/relationships/hyperlink" Target="https://www.wikirating.com/guatemala" TargetMode="External"/><Relationship Id="rId269" Type="http://schemas.openxmlformats.org/officeDocument/2006/relationships/hyperlink" Target="https://www.wikirating.com/malta" TargetMode="External"/><Relationship Id="rId33" Type="http://schemas.openxmlformats.org/officeDocument/2006/relationships/hyperlink" Target="https://tradingeconomics.com/china/rating" TargetMode="External"/><Relationship Id="rId129" Type="http://schemas.openxmlformats.org/officeDocument/2006/relationships/hyperlink" Target="https://tradingeconomics.com/nigeria/rating" TargetMode="External"/><Relationship Id="rId280" Type="http://schemas.openxmlformats.org/officeDocument/2006/relationships/hyperlink" Target="https://www.wikirating.com/mozambique" TargetMode="External"/><Relationship Id="rId336" Type="http://schemas.openxmlformats.org/officeDocument/2006/relationships/hyperlink" Target="https://www.wikirating.com/togo" TargetMode="External"/><Relationship Id="rId75" Type="http://schemas.openxmlformats.org/officeDocument/2006/relationships/hyperlink" Target="https://tradingeconomics.com/serbia/rating" TargetMode="External"/><Relationship Id="rId140" Type="http://schemas.openxmlformats.org/officeDocument/2006/relationships/hyperlink" Target="https://tradingeconomics.com/pakistan/rating" TargetMode="External"/><Relationship Id="rId182" Type="http://schemas.openxmlformats.org/officeDocument/2006/relationships/hyperlink" Target="https://www.wikirating.com/brazil" TargetMode="External"/><Relationship Id="rId6" Type="http://schemas.openxmlformats.org/officeDocument/2006/relationships/hyperlink" Target="https://tradingeconomics.com/luxembourg/rating" TargetMode="External"/><Relationship Id="rId238" Type="http://schemas.openxmlformats.org/officeDocument/2006/relationships/hyperlink" Target="https://www.wikirating.com/iran" TargetMode="External"/><Relationship Id="rId291" Type="http://schemas.openxmlformats.org/officeDocument/2006/relationships/hyperlink" Target="https://www.wikirating.com/norway" TargetMode="External"/><Relationship Id="rId305" Type="http://schemas.openxmlformats.org/officeDocument/2006/relationships/hyperlink" Target="https://www.wikirating.com/rwanda" TargetMode="External"/><Relationship Id="rId347" Type="http://schemas.openxmlformats.org/officeDocument/2006/relationships/hyperlink" Target="https://www.wikirating.com/united-states" TargetMode="External"/><Relationship Id="rId44" Type="http://schemas.openxmlformats.org/officeDocument/2006/relationships/hyperlink" Target="https://tradingeconomics.com/poland/rating" TargetMode="External"/><Relationship Id="rId86" Type="http://schemas.openxmlformats.org/officeDocument/2006/relationships/hyperlink" Target="https://tradingeconomics.com/uzbekistan/rating" TargetMode="External"/><Relationship Id="rId151" Type="http://schemas.openxmlformats.org/officeDocument/2006/relationships/hyperlink" Target="https://tradingeconomics.com/ukraine/rating" TargetMode="External"/><Relationship Id="rId193" Type="http://schemas.openxmlformats.org/officeDocument/2006/relationships/hyperlink" Target="https://www.wikirating.com/chile" TargetMode="External"/><Relationship Id="rId207" Type="http://schemas.openxmlformats.org/officeDocument/2006/relationships/hyperlink" Target="https://www.wikirating.com/dominica" TargetMode="External"/><Relationship Id="rId249" Type="http://schemas.openxmlformats.org/officeDocument/2006/relationships/hyperlink" Target="https://www.wikirating.com/north-korea" TargetMode="External"/><Relationship Id="rId13" Type="http://schemas.openxmlformats.org/officeDocument/2006/relationships/hyperlink" Target="https://tradingeconomics.com/united-states/rating" TargetMode="External"/><Relationship Id="rId109" Type="http://schemas.openxmlformats.org/officeDocument/2006/relationships/hyperlink" Target="https://tradingeconomics.com/barbados/rating" TargetMode="External"/><Relationship Id="rId260" Type="http://schemas.openxmlformats.org/officeDocument/2006/relationships/hyperlink" Target="https://www.wikirating.com/liechtenstein" TargetMode="External"/><Relationship Id="rId316" Type="http://schemas.openxmlformats.org/officeDocument/2006/relationships/hyperlink" Target="https://www.wikirating.com/sierra-leone" TargetMode="External"/><Relationship Id="rId55" Type="http://schemas.openxmlformats.org/officeDocument/2006/relationships/hyperlink" Target="https://tradingeconomics.com/philippines/rating" TargetMode="External"/><Relationship Id="rId97" Type="http://schemas.openxmlformats.org/officeDocument/2006/relationships/hyperlink" Target="https://tradingeconomics.com/fiji/rating" TargetMode="External"/><Relationship Id="rId120" Type="http://schemas.openxmlformats.org/officeDocument/2006/relationships/hyperlink" Target="https://tradingeconomics.com/madagascar/rating" TargetMode="External"/><Relationship Id="rId162" Type="http://schemas.openxmlformats.org/officeDocument/2006/relationships/hyperlink" Target="https://www.wikirating.com/andorra" TargetMode="External"/><Relationship Id="rId218" Type="http://schemas.openxmlformats.org/officeDocument/2006/relationships/hyperlink" Target="https://www.wikirating.com/finland" TargetMode="External"/><Relationship Id="rId271" Type="http://schemas.openxmlformats.org/officeDocument/2006/relationships/hyperlink" Target="https://www.wikirating.com/mauritania" TargetMode="External"/><Relationship Id="rId24" Type="http://schemas.openxmlformats.org/officeDocument/2006/relationships/hyperlink" Target="https://tradingeconomics.com/isle-of-man/rating" TargetMode="External"/><Relationship Id="rId66" Type="http://schemas.openxmlformats.org/officeDocument/2006/relationships/hyperlink" Target="https://tradingeconomics.com/romania/rating" TargetMode="External"/><Relationship Id="rId131" Type="http://schemas.openxmlformats.org/officeDocument/2006/relationships/hyperlink" Target="https://tradingeconomics.com/maldives/rating" TargetMode="External"/><Relationship Id="rId327" Type="http://schemas.openxmlformats.org/officeDocument/2006/relationships/hyperlink" Target="https://www.wikirating.com/suriname" TargetMode="External"/><Relationship Id="rId173" Type="http://schemas.openxmlformats.org/officeDocument/2006/relationships/hyperlink" Target="https://www.wikirating.com/barbados" TargetMode="External"/><Relationship Id="rId229" Type="http://schemas.openxmlformats.org/officeDocument/2006/relationships/hyperlink" Target="https://www.wikirating.com/guinea-bissau" TargetMode="External"/><Relationship Id="rId240" Type="http://schemas.openxmlformats.org/officeDocument/2006/relationships/hyperlink" Target="https://www.wikirating.com/ireland" TargetMode="External"/><Relationship Id="rId35" Type="http://schemas.openxmlformats.org/officeDocument/2006/relationships/hyperlink" Target="https://tradingeconomics.com/japan/rating" TargetMode="External"/><Relationship Id="rId77" Type="http://schemas.openxmlformats.org/officeDocument/2006/relationships/hyperlink" Target="https://tradingeconomics.com/vietnam/rating" TargetMode="External"/><Relationship Id="rId100" Type="http://schemas.openxmlformats.org/officeDocument/2006/relationships/hyperlink" Target="https://tradingeconomics.com/turkmenistan/rating" TargetMode="External"/><Relationship Id="rId282" Type="http://schemas.openxmlformats.org/officeDocument/2006/relationships/hyperlink" Target="https://www.wikirating.com/namibia" TargetMode="External"/><Relationship Id="rId338" Type="http://schemas.openxmlformats.org/officeDocument/2006/relationships/hyperlink" Target="https://www.wikirating.com/trinidad-and-tobago" TargetMode="External"/><Relationship Id="rId8" Type="http://schemas.openxmlformats.org/officeDocument/2006/relationships/hyperlink" Target="https://tradingeconomics.com/switzerland/rating" TargetMode="External"/><Relationship Id="rId142" Type="http://schemas.openxmlformats.org/officeDocument/2006/relationships/hyperlink" Target="https://tradingeconomics.com/ethiopia/rating" TargetMode="External"/><Relationship Id="rId184" Type="http://schemas.openxmlformats.org/officeDocument/2006/relationships/hyperlink" Target="https://www.wikirating.com/bulgaria"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hyperlink" Target="https://finance.yahoo.com/quote/EMB/" TargetMode="External"/><Relationship Id="rId1" Type="http://schemas.openxmlformats.org/officeDocument/2006/relationships/hyperlink" Target="https://www.spglobal.com/spdji/en/indices/equity/sp-emerging-bmi/"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7"/>
  <sheetViews>
    <sheetView workbookViewId="0">
      <selection activeCell="E20" sqref="E20"/>
    </sheetView>
  </sheetViews>
  <sheetFormatPr defaultColWidth="11.19921875" defaultRowHeight="11.5"/>
  <cols>
    <col min="1" max="1" width="24.69921875" customWidth="1"/>
  </cols>
  <sheetData>
    <row r="1" spans="1:4" s="38" customFormat="1" ht="15.5">
      <c r="A1" s="32" t="s">
        <v>148</v>
      </c>
    </row>
    <row r="2" spans="1:4" s="38" customFormat="1" ht="15.5">
      <c r="A2" s="38" t="s">
        <v>149</v>
      </c>
    </row>
    <row r="3" spans="1:4" s="38" customFormat="1" ht="15.5">
      <c r="A3" s="38" t="s">
        <v>266</v>
      </c>
    </row>
    <row r="4" spans="1:4" s="38" customFormat="1" ht="15.5"/>
    <row r="5" spans="1:4" s="59" customFormat="1" ht="15.5">
      <c r="A5" s="70" t="s">
        <v>150</v>
      </c>
    </row>
    <row r="6" spans="1:4" s="38" customFormat="1" ht="15.5">
      <c r="A6" s="38" t="s">
        <v>151</v>
      </c>
    </row>
    <row r="7" spans="1:4" s="38" customFormat="1" ht="15.5">
      <c r="A7" s="38" t="s">
        <v>153</v>
      </c>
      <c r="B7" s="71" t="s">
        <v>152</v>
      </c>
    </row>
    <row r="8" spans="1:4" s="38" customFormat="1" ht="15.5">
      <c r="A8" s="38" t="s">
        <v>154</v>
      </c>
      <c r="B8" s="71" t="s">
        <v>509</v>
      </c>
    </row>
    <row r="9" spans="1:4" s="38" customFormat="1" ht="15.5"/>
    <row r="10" spans="1:4" s="59" customFormat="1" ht="15.5">
      <c r="A10" s="70" t="s">
        <v>155</v>
      </c>
    </row>
    <row r="11" spans="1:4" s="38" customFormat="1" ht="15.5">
      <c r="A11" s="38" t="s">
        <v>156</v>
      </c>
      <c r="B11" s="71" t="s">
        <v>160</v>
      </c>
      <c r="D11" s="38" t="s">
        <v>161</v>
      </c>
    </row>
    <row r="12" spans="1:4" s="38" customFormat="1" ht="15.5">
      <c r="A12" s="38" t="s">
        <v>157</v>
      </c>
      <c r="B12" s="38" t="s">
        <v>162</v>
      </c>
    </row>
    <row r="13" spans="1:4" s="38" customFormat="1" ht="15.5">
      <c r="A13" s="38" t="s">
        <v>158</v>
      </c>
      <c r="B13" s="38" t="s">
        <v>159</v>
      </c>
    </row>
    <row r="14" spans="1:4" s="38" customFormat="1" ht="15.5">
      <c r="A14" s="73" t="s">
        <v>336</v>
      </c>
    </row>
    <row r="15" spans="1:4" s="38" customFormat="1" ht="15.5">
      <c r="A15" s="1"/>
    </row>
    <row r="16" spans="1:4" s="59" customFormat="1" ht="15.5">
      <c r="A16" s="70" t="s">
        <v>163</v>
      </c>
    </row>
    <row r="17" spans="1:9" s="59" customFormat="1" ht="15.5">
      <c r="A17" s="59" t="s">
        <v>191</v>
      </c>
    </row>
    <row r="18" spans="1:9" s="38" customFormat="1" ht="15.5">
      <c r="A18" s="38" t="s">
        <v>298</v>
      </c>
    </row>
    <row r="19" spans="1:9" s="38" customFormat="1" ht="15.5">
      <c r="A19" s="89" t="s">
        <v>529</v>
      </c>
    </row>
    <row r="20" spans="1:9" s="59" customFormat="1" ht="15.5">
      <c r="A20" s="59" t="s">
        <v>192</v>
      </c>
    </row>
    <row r="21" spans="1:9" s="38" customFormat="1" ht="15.5">
      <c r="A21" s="38" t="s">
        <v>299</v>
      </c>
    </row>
    <row r="22" spans="1:9" s="38" customFormat="1" ht="15.5">
      <c r="A22" s="38" t="s">
        <v>457</v>
      </c>
    </row>
    <row r="23" spans="1:9" s="38" customFormat="1" ht="15.5">
      <c r="A23" s="89" t="s">
        <v>450</v>
      </c>
    </row>
    <row r="24" spans="1:9" s="38" customFormat="1" ht="15.5">
      <c r="A24" s="38" t="s">
        <v>248</v>
      </c>
    </row>
    <row r="25" spans="1:9" s="38" customFormat="1" ht="15.5"/>
    <row r="26" spans="1:9" s="59" customFormat="1" ht="15.5">
      <c r="A26" s="70" t="s">
        <v>244</v>
      </c>
    </row>
    <row r="27" spans="1:9" s="38" customFormat="1" ht="15.5">
      <c r="A27" s="38" t="s">
        <v>164</v>
      </c>
    </row>
    <row r="28" spans="1:9" s="38" customFormat="1" ht="15.5"/>
    <row r="29" spans="1:9" s="70" customFormat="1" ht="15.5">
      <c r="A29" s="70" t="s">
        <v>245</v>
      </c>
    </row>
    <row r="30" spans="1:9" s="38" customFormat="1" ht="15.5">
      <c r="A30" s="38" t="s">
        <v>246</v>
      </c>
    </row>
    <row r="31" spans="1:9" s="38" customFormat="1" ht="15.5">
      <c r="A31" s="38" t="s">
        <v>247</v>
      </c>
      <c r="I31" s="99" t="s">
        <v>540</v>
      </c>
    </row>
    <row r="32" spans="1:9" s="38" customFormat="1" ht="15.5"/>
    <row r="33" spans="1:12" s="38" customFormat="1" ht="15.5">
      <c r="A33" s="38" t="s">
        <v>165</v>
      </c>
    </row>
    <row r="34" spans="1:12" s="38" customFormat="1" ht="22" customHeight="1">
      <c r="A34" s="59" t="s">
        <v>166</v>
      </c>
      <c r="E34" s="256" t="s">
        <v>510</v>
      </c>
      <c r="F34" s="257"/>
      <c r="G34" s="257"/>
      <c r="H34" s="257"/>
      <c r="I34" s="257"/>
      <c r="J34" s="257"/>
      <c r="K34" s="257"/>
      <c r="L34" s="257"/>
    </row>
    <row r="35" spans="1:12" s="38" customFormat="1" ht="15.5">
      <c r="A35" s="59" t="s">
        <v>456</v>
      </c>
      <c r="E35" s="99" t="s">
        <v>546</v>
      </c>
    </row>
    <row r="36" spans="1:12" s="38" customFormat="1" ht="15.5">
      <c r="A36" s="59" t="s">
        <v>167</v>
      </c>
      <c r="E36" s="71" t="s">
        <v>451</v>
      </c>
    </row>
    <row r="37" spans="1:12" s="38" customFormat="1" ht="15.5">
      <c r="E37" s="71" t="s">
        <v>452</v>
      </c>
    </row>
  </sheetData>
  <mergeCells count="1">
    <mergeCell ref="E34:L34"/>
  </mergeCells>
  <hyperlinks>
    <hyperlink ref="B7" r:id="rId1" xr:uid="{00000000-0004-0000-0000-000000000000}"/>
    <hyperlink ref="B8" r:id="rId2" display="http://www.stern.nyu.edu/~adamodar/pc/implprem/ERPbymonth.xls" xr:uid="{00000000-0004-0000-0000-000001000000}"/>
    <hyperlink ref="B11" r:id="rId3" xr:uid="{00000000-0004-0000-0000-000002000000}"/>
    <hyperlink ref="E34" r:id="rId4" xr:uid="{DBAAE8A0-1687-1D45-9531-5660C15203F9}"/>
  </hyperlinks>
  <pageMargins left="0.75" right="0.75" top="1" bottom="1" header="0.5" footer="0.5"/>
  <pageSetup orientation="portrait" horizontalDpi="4294967292" verticalDpi="429496729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62"/>
  <sheetViews>
    <sheetView topLeftCell="A81" workbookViewId="0">
      <selection activeCell="B103" sqref="B103"/>
    </sheetView>
  </sheetViews>
  <sheetFormatPr defaultColWidth="11.19921875" defaultRowHeight="11.5"/>
  <cols>
    <col min="1" max="1" width="32.5" customWidth="1"/>
    <col min="2" max="2" width="23" bestFit="1" customWidth="1"/>
    <col min="5" max="5" width="23.296875" bestFit="1" customWidth="1"/>
  </cols>
  <sheetData>
    <row r="1" spans="1:2" ht="15.5">
      <c r="A1" s="7" t="s">
        <v>74</v>
      </c>
      <c r="B1" s="7" t="s">
        <v>52</v>
      </c>
    </row>
    <row r="2" spans="1:2" ht="15.5">
      <c r="A2" s="45" t="s">
        <v>269</v>
      </c>
      <c r="B2" s="8" t="s">
        <v>126</v>
      </c>
    </row>
    <row r="3" spans="1:2" ht="15.5">
      <c r="A3" s="8" t="s">
        <v>4</v>
      </c>
      <c r="B3" s="15" t="s">
        <v>124</v>
      </c>
    </row>
    <row r="4" spans="1:2" ht="15.5">
      <c r="A4" s="8" t="str">
        <f>'Sovereign Ratings (Moody''s,S&amp;P)'!A4</f>
        <v>Andorra (Principality of)</v>
      </c>
      <c r="B4" s="15" t="s">
        <v>125</v>
      </c>
    </row>
    <row r="5" spans="1:2" ht="15.5">
      <c r="A5" s="8" t="s">
        <v>130</v>
      </c>
      <c r="B5" s="15" t="s">
        <v>127</v>
      </c>
    </row>
    <row r="6" spans="1:2" ht="15.5">
      <c r="A6" s="8" t="s">
        <v>83</v>
      </c>
      <c r="B6" s="15" t="s">
        <v>51</v>
      </c>
    </row>
    <row r="7" spans="1:2" ht="15.5">
      <c r="A7" s="8" t="s">
        <v>19</v>
      </c>
      <c r="B7" s="15" t="s">
        <v>124</v>
      </c>
    </row>
    <row r="8" spans="1:2" ht="15.5">
      <c r="A8" s="33" t="s">
        <v>198</v>
      </c>
      <c r="B8" s="8" t="s">
        <v>54</v>
      </c>
    </row>
    <row r="9" spans="1:2" ht="15.5">
      <c r="A9" s="8" t="s">
        <v>84</v>
      </c>
      <c r="B9" s="15" t="s">
        <v>53</v>
      </c>
    </row>
    <row r="10" spans="1:2" ht="15.5">
      <c r="A10" s="8" t="s">
        <v>173</v>
      </c>
      <c r="B10" s="8" t="s">
        <v>125</v>
      </c>
    </row>
    <row r="11" spans="1:2" ht="15.5">
      <c r="A11" s="8" t="s">
        <v>20</v>
      </c>
      <c r="B11" s="8" t="s">
        <v>124</v>
      </c>
    </row>
    <row r="12" spans="1:2" ht="15.5">
      <c r="A12" s="8" t="s">
        <v>85</v>
      </c>
      <c r="B12" s="15" t="s">
        <v>54</v>
      </c>
    </row>
    <row r="13" spans="1:2" ht="15.5">
      <c r="A13" s="8" t="s">
        <v>86</v>
      </c>
      <c r="B13" s="8" t="s">
        <v>126</v>
      </c>
    </row>
    <row r="14" spans="1:2" ht="15.5">
      <c r="A14" s="8" t="s">
        <v>131</v>
      </c>
      <c r="B14" s="8" t="s">
        <v>128</v>
      </c>
    </row>
    <row r="15" spans="1:2" ht="15.5">
      <c r="A15" s="8" t="s">
        <v>87</v>
      </c>
      <c r="B15" s="8" t="s">
        <v>54</v>
      </c>
    </row>
    <row r="16" spans="1:2" ht="15.5">
      <c r="A16" s="8" t="s">
        <v>5</v>
      </c>
      <c r="B16" s="8" t="s">
        <v>124</v>
      </c>
    </row>
    <row r="17" spans="1:2" ht="15.5">
      <c r="A17" s="8" t="s">
        <v>174</v>
      </c>
      <c r="B17" s="8" t="s">
        <v>125</v>
      </c>
    </row>
    <row r="18" spans="1:2" ht="15.5">
      <c r="A18" s="8" t="s">
        <v>88</v>
      </c>
      <c r="B18" s="8" t="s">
        <v>51</v>
      </c>
    </row>
    <row r="19" spans="1:2" ht="15.5">
      <c r="A19" s="8" t="s">
        <v>205</v>
      </c>
      <c r="B19" s="8" t="s">
        <v>127</v>
      </c>
    </row>
    <row r="20" spans="1:2" ht="15.5">
      <c r="A20" s="8" t="s">
        <v>89</v>
      </c>
      <c r="B20" s="8" t="s">
        <v>54</v>
      </c>
    </row>
    <row r="21" spans="1:2" ht="15.5">
      <c r="A21" s="8" t="s">
        <v>90</v>
      </c>
      <c r="B21" s="8" t="s">
        <v>51</v>
      </c>
    </row>
    <row r="22" spans="1:2" ht="15.5">
      <c r="A22" s="8" t="s">
        <v>7</v>
      </c>
      <c r="B22" s="8" t="s">
        <v>124</v>
      </c>
    </row>
    <row r="23" spans="1:2" ht="15.5">
      <c r="A23" s="8" t="s">
        <v>122</v>
      </c>
      <c r="B23" s="8" t="s">
        <v>127</v>
      </c>
    </row>
    <row r="24" spans="1:2" ht="15.5">
      <c r="A24" s="8" t="s">
        <v>91</v>
      </c>
      <c r="B24" s="8" t="s">
        <v>51</v>
      </c>
    </row>
    <row r="25" spans="1:2" ht="15.5">
      <c r="A25" s="8" t="s">
        <v>93</v>
      </c>
      <c r="B25" s="8" t="s">
        <v>124</v>
      </c>
    </row>
    <row r="26" spans="1:2" ht="15.5">
      <c r="A26" s="33" t="s">
        <v>208</v>
      </c>
      <c r="B26" s="8" t="s">
        <v>127</v>
      </c>
    </row>
    <row r="27" spans="1:2" ht="15.5">
      <c r="A27" s="8" t="s">
        <v>6</v>
      </c>
      <c r="B27" s="8" t="s">
        <v>128</v>
      </c>
    </row>
    <row r="28" spans="1:2" ht="15.5">
      <c r="A28" s="34" t="s">
        <v>209</v>
      </c>
      <c r="B28" s="8" t="s">
        <v>127</v>
      </c>
    </row>
    <row r="29" spans="1:2" ht="15.5">
      <c r="A29" s="8" t="s">
        <v>94</v>
      </c>
      <c r="B29" s="8" t="s">
        <v>129</v>
      </c>
    </row>
    <row r="30" spans="1:2" ht="15.5">
      <c r="A30" s="8" t="s">
        <v>210</v>
      </c>
      <c r="B30" s="8" t="s">
        <v>127</v>
      </c>
    </row>
    <row r="31" spans="1:2" ht="15.5">
      <c r="A31" s="8" t="s">
        <v>55</v>
      </c>
      <c r="B31" s="8" t="s">
        <v>54</v>
      </c>
    </row>
    <row r="32" spans="1:2" ht="15.5">
      <c r="A32" s="8" t="s">
        <v>95</v>
      </c>
      <c r="B32" s="8" t="s">
        <v>51</v>
      </c>
    </row>
    <row r="33" spans="1:2" ht="15.5">
      <c r="A33" s="8" t="s">
        <v>96</v>
      </c>
      <c r="B33" s="8" t="s">
        <v>128</v>
      </c>
    </row>
    <row r="34" spans="1:2" ht="15.5">
      <c r="A34" s="8" t="s">
        <v>50</v>
      </c>
      <c r="B34" s="8" t="s">
        <v>51</v>
      </c>
    </row>
    <row r="35" spans="1:2" ht="15.5">
      <c r="A35" s="45" t="s">
        <v>283</v>
      </c>
      <c r="B35" s="8" t="s">
        <v>127</v>
      </c>
    </row>
    <row r="36" spans="1:2" ht="15.5">
      <c r="A36" s="45" t="s">
        <v>284</v>
      </c>
      <c r="B36" s="8" t="s">
        <v>127</v>
      </c>
    </row>
    <row r="37" spans="1:2" ht="15.5">
      <c r="A37" s="34" t="s">
        <v>211</v>
      </c>
      <c r="B37" s="8" t="s">
        <v>53</v>
      </c>
    </row>
    <row r="38" spans="1:2" ht="15.5">
      <c r="A38" s="8" t="s">
        <v>56</v>
      </c>
      <c r="B38" s="8" t="s">
        <v>51</v>
      </c>
    </row>
    <row r="39" spans="1:2" ht="15.5">
      <c r="A39" s="45" t="s">
        <v>279</v>
      </c>
      <c r="B39" s="8" t="s">
        <v>127</v>
      </c>
    </row>
    <row r="40" spans="1:2" ht="15.5">
      <c r="A40" s="8" t="s">
        <v>97</v>
      </c>
      <c r="B40" s="8" t="s">
        <v>124</v>
      </c>
    </row>
    <row r="41" spans="1:2" ht="15.5">
      <c r="A41" s="8" t="s">
        <v>98</v>
      </c>
      <c r="B41" s="8" t="s">
        <v>54</v>
      </c>
    </row>
    <row r="42" spans="1:2" ht="15.5">
      <c r="A42" s="33" t="s">
        <v>214</v>
      </c>
      <c r="B42" s="8" t="s">
        <v>54</v>
      </c>
    </row>
    <row r="43" spans="1:2" ht="15.5">
      <c r="A43" s="8" t="s">
        <v>175</v>
      </c>
      <c r="B43" s="8" t="s">
        <v>125</v>
      </c>
    </row>
    <row r="44" spans="1:2" ht="15.5">
      <c r="A44" s="8" t="s">
        <v>100</v>
      </c>
      <c r="B44" s="8" t="s">
        <v>124</v>
      </c>
    </row>
    <row r="45" spans="1:2" ht="15.5">
      <c r="A45" s="38" t="s">
        <v>271</v>
      </c>
      <c r="B45" s="8" t="s">
        <v>127</v>
      </c>
    </row>
    <row r="46" spans="1:2" ht="15.5">
      <c r="A46" s="8" t="s">
        <v>101</v>
      </c>
      <c r="B46" s="8" t="s">
        <v>125</v>
      </c>
    </row>
    <row r="47" spans="1:2" ht="15.5">
      <c r="A47" s="8" t="s">
        <v>102</v>
      </c>
      <c r="B47" s="8" t="s">
        <v>54</v>
      </c>
    </row>
    <row r="48" spans="1:2" ht="15.5">
      <c r="A48" s="8" t="s">
        <v>103</v>
      </c>
      <c r="B48" s="8" t="s">
        <v>51</v>
      </c>
    </row>
    <row r="49" spans="1:2" ht="15.5">
      <c r="A49" s="8" t="s">
        <v>104</v>
      </c>
      <c r="B49" s="8" t="s">
        <v>127</v>
      </c>
    </row>
    <row r="50" spans="1:2" ht="15.5">
      <c r="A50" s="8" t="s">
        <v>31</v>
      </c>
      <c r="B50" s="8" t="s">
        <v>51</v>
      </c>
    </row>
    <row r="51" spans="1:2" ht="15.5">
      <c r="A51" s="8" t="s">
        <v>105</v>
      </c>
      <c r="B51" s="8" t="s">
        <v>124</v>
      </c>
    </row>
    <row r="52" spans="1:2" ht="15.5">
      <c r="A52" s="45" t="s">
        <v>280</v>
      </c>
      <c r="B52" s="8" t="s">
        <v>127</v>
      </c>
    </row>
    <row r="53" spans="1:2" ht="15.5">
      <c r="A53" s="8" t="s">
        <v>216</v>
      </c>
      <c r="B53" s="8" t="s">
        <v>128</v>
      </c>
    </row>
    <row r="54" spans="1:2" ht="15.5">
      <c r="A54" s="8" t="s">
        <v>176</v>
      </c>
      <c r="B54" s="8" t="s">
        <v>125</v>
      </c>
    </row>
    <row r="55" spans="1:2" ht="15.5">
      <c r="A55" s="8" t="s">
        <v>177</v>
      </c>
      <c r="B55" s="8" t="s">
        <v>125</v>
      </c>
    </row>
    <row r="56" spans="1:2" ht="15.5">
      <c r="A56" s="33" t="s">
        <v>217</v>
      </c>
      <c r="B56" s="8" t="s">
        <v>127</v>
      </c>
    </row>
    <row r="57" spans="1:2" ht="15.5">
      <c r="A57" s="8" t="s">
        <v>132</v>
      </c>
      <c r="B57" s="8" t="s">
        <v>124</v>
      </c>
    </row>
    <row r="58" spans="1:2" ht="15.5">
      <c r="A58" s="8" t="s">
        <v>178</v>
      </c>
      <c r="B58" s="8" t="s">
        <v>125</v>
      </c>
    </row>
    <row r="59" spans="1:2" ht="15.5">
      <c r="A59" s="8" t="s">
        <v>218</v>
      </c>
      <c r="B59" s="8" t="s">
        <v>127</v>
      </c>
    </row>
    <row r="60" spans="1:2" ht="15.5">
      <c r="A60" s="8" t="s">
        <v>179</v>
      </c>
      <c r="B60" s="8" t="s">
        <v>125</v>
      </c>
    </row>
    <row r="61" spans="1:2" ht="15.5">
      <c r="A61" s="8" t="s">
        <v>106</v>
      </c>
      <c r="B61" s="8" t="s">
        <v>51</v>
      </c>
    </row>
    <row r="62" spans="1:2" ht="15.5">
      <c r="A62" s="45" t="s">
        <v>285</v>
      </c>
      <c r="B62" s="8" t="s">
        <v>125</v>
      </c>
    </row>
    <row r="63" spans="1:2" ht="15.5">
      <c r="A63" s="8" t="s">
        <v>107</v>
      </c>
      <c r="B63" s="8" t="s">
        <v>51</v>
      </c>
    </row>
    <row r="64" spans="1:2" ht="15.5">
      <c r="A64" s="8" t="s">
        <v>59</v>
      </c>
      <c r="B64" s="8" t="s">
        <v>128</v>
      </c>
    </row>
    <row r="65" spans="1:2" ht="15.5">
      <c r="A65" s="8" t="s">
        <v>108</v>
      </c>
      <c r="B65" s="8" t="s">
        <v>124</v>
      </c>
    </row>
    <row r="66" spans="1:2" ht="15.5">
      <c r="A66" s="8" t="s">
        <v>109</v>
      </c>
      <c r="B66" s="8" t="s">
        <v>125</v>
      </c>
    </row>
    <row r="67" spans="1:2" ht="15.5">
      <c r="A67" s="8" t="s">
        <v>110</v>
      </c>
      <c r="B67" s="8" t="s">
        <v>128</v>
      </c>
    </row>
    <row r="68" spans="1:2" ht="15.5">
      <c r="A68" s="8" t="s">
        <v>111</v>
      </c>
      <c r="B68" s="8" t="s">
        <v>128</v>
      </c>
    </row>
    <row r="69" spans="1:2" ht="15.5">
      <c r="A69" s="8" t="s">
        <v>326</v>
      </c>
      <c r="B69" s="8" t="s">
        <v>126</v>
      </c>
    </row>
    <row r="70" spans="1:2" ht="15.5">
      <c r="A70" s="8" t="s">
        <v>180</v>
      </c>
      <c r="B70" s="8" t="s">
        <v>125</v>
      </c>
    </row>
    <row r="71" spans="1:2" ht="15.5">
      <c r="A71" s="8" t="s">
        <v>112</v>
      </c>
      <c r="B71" s="8" t="s">
        <v>125</v>
      </c>
    </row>
    <row r="72" spans="1:2" ht="15.5">
      <c r="A72" s="8" t="s">
        <v>113</v>
      </c>
      <c r="B72" s="8" t="s">
        <v>126</v>
      </c>
    </row>
    <row r="73" spans="1:2" ht="15.5">
      <c r="A73" s="8" t="s">
        <v>143</v>
      </c>
      <c r="B73" s="8" t="s">
        <v>125</v>
      </c>
    </row>
    <row r="74" spans="1:2" ht="15.5">
      <c r="A74" s="8" t="s">
        <v>114</v>
      </c>
      <c r="B74" s="8" t="s">
        <v>54</v>
      </c>
    </row>
    <row r="75" spans="1:2" ht="15.5">
      <c r="A75" s="8" t="s">
        <v>115</v>
      </c>
      <c r="B75" s="8" t="s">
        <v>128</v>
      </c>
    </row>
    <row r="76" spans="1:2" ht="15.5">
      <c r="A76" s="45" t="s">
        <v>286</v>
      </c>
      <c r="B76" s="8" t="s">
        <v>125</v>
      </c>
    </row>
    <row r="77" spans="1:2" ht="15.5">
      <c r="A77" s="8" t="s">
        <v>116</v>
      </c>
      <c r="B77" s="8" t="s">
        <v>126</v>
      </c>
    </row>
    <row r="78" spans="1:2" ht="15.5">
      <c r="A78" s="8" t="s">
        <v>117</v>
      </c>
      <c r="B78" s="8" t="s">
        <v>124</v>
      </c>
    </row>
    <row r="79" spans="1:2" ht="15.5">
      <c r="A79" s="8" t="s">
        <v>181</v>
      </c>
      <c r="B79" s="8" t="s">
        <v>127</v>
      </c>
    </row>
    <row r="80" spans="1:2" ht="15.5">
      <c r="A80" s="8" t="s">
        <v>118</v>
      </c>
      <c r="B80" s="8" t="s">
        <v>128</v>
      </c>
    </row>
    <row r="81" spans="1:2" ht="15.5">
      <c r="A81" s="8" t="s">
        <v>119</v>
      </c>
      <c r="B81" s="8" t="s">
        <v>126</v>
      </c>
    </row>
    <row r="82" spans="1:2" ht="15.5">
      <c r="A82" t="s">
        <v>345</v>
      </c>
      <c r="B82" s="8" t="s">
        <v>124</v>
      </c>
    </row>
    <row r="83" spans="1:2" ht="15.5">
      <c r="A83" s="148" t="s">
        <v>337</v>
      </c>
      <c r="B83" s="8" t="s">
        <v>128</v>
      </c>
    </row>
    <row r="84" spans="1:2" ht="15.5">
      <c r="A84" s="8" t="s">
        <v>120</v>
      </c>
      <c r="B84" s="8" t="s">
        <v>124</v>
      </c>
    </row>
    <row r="85" spans="1:2" ht="15.5">
      <c r="A85" s="8" t="s">
        <v>121</v>
      </c>
      <c r="B85" s="8" t="s">
        <v>126</v>
      </c>
    </row>
    <row r="86" spans="1:2" ht="15.5">
      <c r="A86" s="34" t="s">
        <v>220</v>
      </c>
      <c r="B86" s="8" t="s">
        <v>125</v>
      </c>
    </row>
    <row r="87" spans="1:2" ht="15.5">
      <c r="A87" s="8" t="s">
        <v>13</v>
      </c>
      <c r="B87" s="8" t="s">
        <v>124</v>
      </c>
    </row>
    <row r="88" spans="1:2" ht="15.5">
      <c r="A88" s="8" t="s">
        <v>182</v>
      </c>
      <c r="B88" s="8" t="s">
        <v>125</v>
      </c>
    </row>
    <row r="89" spans="1:2" ht="15.5">
      <c r="A89" s="8" t="s">
        <v>32</v>
      </c>
      <c r="B89" s="8" t="s">
        <v>128</v>
      </c>
    </row>
    <row r="90" spans="1:2" ht="15.5">
      <c r="A90" s="34" t="s">
        <v>144</v>
      </c>
      <c r="B90" s="8" t="s">
        <v>124</v>
      </c>
    </row>
    <row r="91" spans="1:2" ht="15.5">
      <c r="A91" s="8" t="s">
        <v>14</v>
      </c>
      <c r="B91" s="8" t="s">
        <v>128</v>
      </c>
    </row>
    <row r="92" spans="1:2" ht="15.5">
      <c r="A92" s="8" t="s">
        <v>383</v>
      </c>
      <c r="B92" s="8" t="s">
        <v>128</v>
      </c>
    </row>
    <row r="93" spans="1:2" ht="15.5">
      <c r="A93" s="8" t="s">
        <v>320</v>
      </c>
      <c r="B93" s="8" t="s">
        <v>127</v>
      </c>
    </row>
    <row r="94" spans="1:2" ht="15.5">
      <c r="A94" s="8" t="s">
        <v>183</v>
      </c>
      <c r="B94" s="8" t="s">
        <v>125</v>
      </c>
    </row>
    <row r="95" spans="1:2" ht="15.5">
      <c r="A95" s="8" t="s">
        <v>15</v>
      </c>
      <c r="B95" s="8" t="s">
        <v>127</v>
      </c>
    </row>
    <row r="96" spans="1:2" ht="15.5">
      <c r="A96" s="8" t="s">
        <v>16</v>
      </c>
      <c r="B96" s="8" t="s">
        <v>51</v>
      </c>
    </row>
    <row r="97" spans="1:2" ht="15.5">
      <c r="A97" s="8" t="s">
        <v>17</v>
      </c>
      <c r="B97" s="8" t="s">
        <v>124</v>
      </c>
    </row>
    <row r="98" spans="1:2" ht="15.5">
      <c r="A98" s="8" t="s">
        <v>63</v>
      </c>
      <c r="B98" s="8" t="s">
        <v>128</v>
      </c>
    </row>
    <row r="99" spans="1:2" ht="15.5">
      <c r="A99" s="8" t="s">
        <v>8</v>
      </c>
      <c r="B99" s="8" t="s">
        <v>124</v>
      </c>
    </row>
    <row r="100" spans="1:2" ht="15.5">
      <c r="A100" s="33" t="s">
        <v>222</v>
      </c>
      <c r="B100" s="8" t="s">
        <v>54</v>
      </c>
    </row>
    <row r="101" spans="1:2" ht="15.5">
      <c r="A101" s="8" t="s">
        <v>18</v>
      </c>
      <c r="B101" s="8" t="s">
        <v>127</v>
      </c>
    </row>
    <row r="102" spans="1:2" ht="15.5">
      <c r="A102" s="34" t="s">
        <v>223</v>
      </c>
      <c r="B102" s="8" t="s">
        <v>127</v>
      </c>
    </row>
    <row r="103" spans="1:2" ht="15.5">
      <c r="A103" s="8" t="s">
        <v>135</v>
      </c>
      <c r="B103" s="8" t="s">
        <v>127</v>
      </c>
    </row>
    <row r="104" spans="1:2" ht="15.5">
      <c r="A104" s="8" t="s">
        <v>373</v>
      </c>
      <c r="B104" s="8" t="s">
        <v>128</v>
      </c>
    </row>
    <row r="105" spans="1:2" ht="15.5">
      <c r="A105" s="8" t="s">
        <v>184</v>
      </c>
      <c r="B105" s="8" t="s">
        <v>125</v>
      </c>
    </row>
    <row r="106" spans="1:2" ht="15.5">
      <c r="A106" s="8" t="s">
        <v>21</v>
      </c>
      <c r="B106" s="8" t="s">
        <v>53</v>
      </c>
    </row>
    <row r="107" spans="1:2" ht="15.5">
      <c r="A107" s="8" t="s">
        <v>22</v>
      </c>
      <c r="B107" s="8" t="s">
        <v>51</v>
      </c>
    </row>
    <row r="108" spans="1:2" ht="15.5">
      <c r="A108" s="8" t="s">
        <v>316</v>
      </c>
      <c r="B108" s="8" t="s">
        <v>127</v>
      </c>
    </row>
    <row r="109" spans="1:2" ht="15.5">
      <c r="A109" s="8" t="s">
        <v>185</v>
      </c>
      <c r="B109" s="8" t="s">
        <v>127</v>
      </c>
    </row>
    <row r="110" spans="1:2" ht="15.5">
      <c r="A110" s="8" t="s">
        <v>23</v>
      </c>
      <c r="B110" s="8" t="s">
        <v>125</v>
      </c>
    </row>
    <row r="111" spans="1:2" ht="15.5">
      <c r="A111" s="8" t="s">
        <v>24</v>
      </c>
      <c r="B111" s="8" t="s">
        <v>126</v>
      </c>
    </row>
    <row r="112" spans="1:2" ht="15.5">
      <c r="A112" s="8" t="s">
        <v>25</v>
      </c>
      <c r="B112" s="8" t="s">
        <v>128</v>
      </c>
    </row>
    <row r="113" spans="1:2" ht="15.5">
      <c r="A113" s="8" t="s">
        <v>26</v>
      </c>
      <c r="B113" s="8" t="s">
        <v>51</v>
      </c>
    </row>
    <row r="114" spans="1:2" ht="15.5">
      <c r="A114" s="8" t="s">
        <v>9</v>
      </c>
      <c r="B114" s="8" t="s">
        <v>128</v>
      </c>
    </row>
    <row r="115" spans="1:2" ht="15.5">
      <c r="A115" s="8" t="s">
        <v>27</v>
      </c>
      <c r="B115" s="8" t="s">
        <v>51</v>
      </c>
    </row>
    <row r="116" spans="1:2" ht="15.5">
      <c r="A116" s="8" t="s">
        <v>28</v>
      </c>
      <c r="B116" s="8" t="s">
        <v>51</v>
      </c>
    </row>
    <row r="117" spans="1:2" ht="15.5">
      <c r="A117" s="8" t="s">
        <v>29</v>
      </c>
      <c r="B117" s="8" t="s">
        <v>128</v>
      </c>
    </row>
    <row r="118" spans="1:2" ht="15.5">
      <c r="A118" s="8" t="s">
        <v>30</v>
      </c>
      <c r="B118" s="8" t="s">
        <v>124</v>
      </c>
    </row>
    <row r="119" spans="1:2" ht="15.5">
      <c r="A119" s="8" t="s">
        <v>186</v>
      </c>
      <c r="B119" s="8" t="s">
        <v>125</v>
      </c>
    </row>
    <row r="120" spans="1:2" ht="15.5">
      <c r="A120" s="8" t="s">
        <v>73</v>
      </c>
      <c r="B120" s="8" t="s">
        <v>126</v>
      </c>
    </row>
    <row r="121" spans="1:2" ht="15.5">
      <c r="A121" s="38" t="s">
        <v>287</v>
      </c>
      <c r="B121" s="8" t="s">
        <v>126</v>
      </c>
    </row>
    <row r="122" spans="1:2" ht="15.5">
      <c r="A122" s="38" t="s">
        <v>270</v>
      </c>
      <c r="B122" s="8" t="s">
        <v>127</v>
      </c>
    </row>
    <row r="123" spans="1:2" ht="15.5">
      <c r="A123" s="8" t="s">
        <v>0</v>
      </c>
      <c r="B123" s="8" t="s">
        <v>124</v>
      </c>
    </row>
    <row r="124" spans="1:2" ht="15.5">
      <c r="A124" s="8" t="s">
        <v>1</v>
      </c>
      <c r="B124" s="8" t="s">
        <v>124</v>
      </c>
    </row>
    <row r="125" spans="1:2" ht="15.5">
      <c r="A125" s="34" t="s">
        <v>224</v>
      </c>
      <c r="B125" s="8" t="s">
        <v>127</v>
      </c>
    </row>
    <row r="126" spans="1:2" ht="15.5">
      <c r="A126" s="8" t="s">
        <v>2</v>
      </c>
      <c r="B126" s="8" t="s">
        <v>126</v>
      </c>
    </row>
    <row r="127" spans="1:2" ht="15.5">
      <c r="A127" s="8" t="s">
        <v>134</v>
      </c>
      <c r="B127" s="8" t="s">
        <v>127</v>
      </c>
    </row>
    <row r="128" spans="1:2" ht="15.5">
      <c r="A128" s="34" t="s">
        <v>145</v>
      </c>
      <c r="B128" s="8" t="s">
        <v>124</v>
      </c>
    </row>
    <row r="129" spans="1:2" ht="15.5">
      <c r="A129" s="45" t="s">
        <v>281</v>
      </c>
      <c r="B129" s="8" t="s">
        <v>126</v>
      </c>
    </row>
    <row r="130" spans="1:2" ht="15.5">
      <c r="A130" s="8" t="s">
        <v>3</v>
      </c>
      <c r="B130" s="8" t="s">
        <v>128</v>
      </c>
    </row>
    <row r="131" spans="1:2" ht="15.5">
      <c r="A131" s="8" t="s">
        <v>61</v>
      </c>
      <c r="B131" s="8" t="s">
        <v>124</v>
      </c>
    </row>
    <row r="132" spans="1:2" ht="15.5">
      <c r="A132" s="8" t="s">
        <v>187</v>
      </c>
      <c r="B132" s="8" t="s">
        <v>124</v>
      </c>
    </row>
    <row r="133" spans="1:2" ht="15.5">
      <c r="A133" s="8" t="s">
        <v>395</v>
      </c>
      <c r="B133" s="8" t="s">
        <v>128</v>
      </c>
    </row>
    <row r="134" spans="1:2" ht="15.5">
      <c r="A134" s="8" t="s">
        <v>75</v>
      </c>
      <c r="B134" s="8" t="s">
        <v>127</v>
      </c>
    </row>
    <row r="135" spans="1:2" ht="15.5">
      <c r="A135" s="8" t="s">
        <v>137</v>
      </c>
      <c r="B135" s="8" t="s">
        <v>125</v>
      </c>
    </row>
    <row r="136" spans="1:2" ht="15.5">
      <c r="A136" s="8" t="s">
        <v>133</v>
      </c>
      <c r="B136" s="8" t="s">
        <v>128</v>
      </c>
    </row>
    <row r="137" spans="1:2" ht="15.5">
      <c r="A137" s="36" t="s">
        <v>188</v>
      </c>
      <c r="B137" s="8" t="s">
        <v>54</v>
      </c>
    </row>
    <row r="138" spans="1:2" ht="15.5">
      <c r="A138" s="8" t="s">
        <v>10</v>
      </c>
      <c r="B138" s="8" t="s">
        <v>54</v>
      </c>
    </row>
    <row r="139" spans="1:2" ht="15.5">
      <c r="A139" s="8" t="s">
        <v>33</v>
      </c>
      <c r="B139" s="8" t="s">
        <v>51</v>
      </c>
    </row>
    <row r="140" spans="1:2" ht="15.5">
      <c r="A140" s="8" t="s">
        <v>382</v>
      </c>
      <c r="B140" s="8" t="s">
        <v>127</v>
      </c>
    </row>
    <row r="141" spans="1:2" ht="15.5">
      <c r="A141" s="8" t="s">
        <v>34</v>
      </c>
      <c r="B141" s="8" t="s">
        <v>125</v>
      </c>
    </row>
    <row r="142" spans="1:2" ht="15.5">
      <c r="A142" s="8" t="s">
        <v>35</v>
      </c>
      <c r="B142" s="8" t="s">
        <v>125</v>
      </c>
    </row>
    <row r="143" spans="1:2" ht="15.5">
      <c r="A143" s="8" t="s">
        <v>64</v>
      </c>
      <c r="B143" s="8" t="s">
        <v>128</v>
      </c>
    </row>
    <row r="144" spans="1:2" ht="15.5">
      <c r="A144" s="8" t="s">
        <v>379</v>
      </c>
      <c r="B144" s="8" t="s">
        <v>124</v>
      </c>
    </row>
    <row r="145" spans="1:2" ht="15.5">
      <c r="A145" s="8" t="s">
        <v>327</v>
      </c>
      <c r="B145" s="8" t="s">
        <v>127</v>
      </c>
    </row>
    <row r="146" spans="1:2" ht="15.5">
      <c r="A146" s="8" t="s">
        <v>65</v>
      </c>
      <c r="B146" s="8" t="s">
        <v>128</v>
      </c>
    </row>
    <row r="147" spans="1:2" ht="15.5">
      <c r="A147" s="8" t="s">
        <v>319</v>
      </c>
      <c r="B147" s="8" t="s">
        <v>127</v>
      </c>
    </row>
    <row r="148" spans="1:2" ht="15.5">
      <c r="A148" s="8" t="s">
        <v>11</v>
      </c>
      <c r="B148" s="8" t="s">
        <v>54</v>
      </c>
    </row>
    <row r="149" spans="1:2" ht="15.5">
      <c r="A149" s="8" t="s">
        <v>76</v>
      </c>
      <c r="B149" s="8" t="s">
        <v>127</v>
      </c>
    </row>
    <row r="150" spans="1:2" ht="15.5">
      <c r="A150" s="8" t="s">
        <v>66</v>
      </c>
      <c r="B150" s="8" t="s">
        <v>125</v>
      </c>
    </row>
    <row r="151" spans="1:2" ht="15.5">
      <c r="A151" s="8" t="s">
        <v>67</v>
      </c>
      <c r="B151" s="8" t="s">
        <v>124</v>
      </c>
    </row>
    <row r="152" spans="1:2" ht="15.5">
      <c r="A152" s="8" t="s">
        <v>288</v>
      </c>
      <c r="B152" s="8" t="s">
        <v>54</v>
      </c>
    </row>
    <row r="153" spans="1:2" ht="15.5">
      <c r="A153" s="8" t="s">
        <v>225</v>
      </c>
      <c r="B153" s="8" t="s">
        <v>127</v>
      </c>
    </row>
    <row r="154" spans="1:2" ht="15.5">
      <c r="A154" s="8" t="s">
        <v>68</v>
      </c>
      <c r="B154" s="8" t="s">
        <v>124</v>
      </c>
    </row>
    <row r="155" spans="1:2" ht="15.5">
      <c r="A155" s="8" t="s">
        <v>60</v>
      </c>
      <c r="B155" s="8" t="s">
        <v>126</v>
      </c>
    </row>
    <row r="156" spans="1:2" ht="15.5">
      <c r="A156" s="8" t="s">
        <v>57</v>
      </c>
      <c r="B156" s="8" t="s">
        <v>125</v>
      </c>
    </row>
    <row r="157" spans="1:2" ht="15.5">
      <c r="A157" s="8" t="s">
        <v>348</v>
      </c>
      <c r="B157" s="8" t="s">
        <v>129</v>
      </c>
    </row>
    <row r="158" spans="1:2" ht="15.5">
      <c r="A158" s="8" t="s">
        <v>69</v>
      </c>
      <c r="B158" s="8" t="s">
        <v>51</v>
      </c>
    </row>
    <row r="159" spans="1:2" ht="15.5">
      <c r="A159" s="8" t="s">
        <v>371</v>
      </c>
      <c r="B159" s="8" t="s">
        <v>124</v>
      </c>
    </row>
    <row r="160" spans="1:2" ht="15.5">
      <c r="A160" s="8" t="s">
        <v>70</v>
      </c>
      <c r="B160" s="8" t="s">
        <v>51</v>
      </c>
    </row>
    <row r="161" spans="1:2" ht="15.5">
      <c r="A161" s="8" t="s">
        <v>71</v>
      </c>
      <c r="B161" s="8" t="s">
        <v>128</v>
      </c>
    </row>
    <row r="162" spans="1:2" ht="15.5">
      <c r="A162" s="8" t="s">
        <v>189</v>
      </c>
      <c r="B162" s="8" t="s">
        <v>127</v>
      </c>
    </row>
  </sheetData>
  <pageMargins left="0.75" right="0.75" top="1" bottom="1" header="0.5" footer="0.5"/>
  <pageSetup orientation="portrait" horizontalDpi="4294967292" verticalDpi="429496729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91"/>
  <sheetViews>
    <sheetView workbookViewId="0">
      <selection activeCell="L2" sqref="L2"/>
    </sheetView>
  </sheetViews>
  <sheetFormatPr defaultColWidth="11.19921875" defaultRowHeight="12.5"/>
  <cols>
    <col min="1" max="1" width="11.796875" bestFit="1" customWidth="1"/>
    <col min="2" max="2" width="16.296875" style="25" bestFit="1" customWidth="1"/>
    <col min="3" max="3" width="19" style="25" bestFit="1" customWidth="1"/>
    <col min="5" max="5" width="19.69921875" customWidth="1"/>
    <col min="7" max="7" width="10.796875" style="25"/>
    <col min="11" max="11" width="22.19921875" customWidth="1"/>
    <col min="14" max="14" width="10.796875" style="31"/>
    <col min="15" max="15" width="11.19921875" style="31" bestFit="1" customWidth="1"/>
  </cols>
  <sheetData>
    <row r="1" spans="1:15" ht="31">
      <c r="A1" s="17" t="s">
        <v>39</v>
      </c>
      <c r="B1" s="161" t="s">
        <v>606</v>
      </c>
      <c r="C1" s="164" t="s">
        <v>607</v>
      </c>
      <c r="E1" s="66" t="s">
        <v>74</v>
      </c>
      <c r="F1" s="67" t="s">
        <v>268</v>
      </c>
      <c r="G1" s="136">
        <v>44012</v>
      </c>
      <c r="H1" s="136">
        <v>44195</v>
      </c>
      <c r="I1" s="67" t="s">
        <v>426</v>
      </c>
      <c r="K1" s="66" t="s">
        <v>74</v>
      </c>
      <c r="L1" s="136">
        <v>44195</v>
      </c>
      <c r="N1" s="31" t="s">
        <v>74</v>
      </c>
      <c r="O1" s="204">
        <v>43829</v>
      </c>
    </row>
    <row r="2" spans="1:15" ht="15.5">
      <c r="A2" s="4" t="s">
        <v>41</v>
      </c>
      <c r="B2" s="162">
        <v>66.350421522439873</v>
      </c>
      <c r="C2" s="165">
        <f t="shared" ref="C2:C21" si="0">B2*(1+$I$84)</f>
        <v>69.842548970989341</v>
      </c>
      <c r="E2" s="46" t="s">
        <v>269</v>
      </c>
      <c r="F2" s="56" t="str">
        <f>VLOOKUP(E2,'Sovereign Ratings (Moody''s,S&amp;P)'!A2:D158,4,FALSE)</f>
        <v>Aa2</v>
      </c>
      <c r="G2" s="48">
        <v>7.3000000000000001E-3</v>
      </c>
      <c r="H2" s="48">
        <f>VLOOKUP(E2,$K$2:$L$91,2,FALSE)</f>
        <v>7.6E-3</v>
      </c>
      <c r="I2" s="72">
        <f t="shared" ref="I2:I56" si="1">IF(H2="NA","NA",IF(G2="NA","NA",H2/G2-1))</f>
        <v>4.1095890410958846E-2</v>
      </c>
      <c r="K2" s="46" t="s">
        <v>269</v>
      </c>
      <c r="L2" s="48">
        <v>7.6E-3</v>
      </c>
      <c r="N2" s="31" t="s">
        <v>269</v>
      </c>
      <c r="O2" s="205">
        <v>7.4999999999999997E-3</v>
      </c>
    </row>
    <row r="3" spans="1:15" ht="15.5">
      <c r="A3" s="4" t="s">
        <v>42</v>
      </c>
      <c r="B3" s="162">
        <v>79.62050582692784</v>
      </c>
      <c r="C3" s="165">
        <f t="shared" si="0"/>
        <v>83.811058765187198</v>
      </c>
      <c r="E3" s="46" t="s">
        <v>332</v>
      </c>
      <c r="F3" s="56" t="e">
        <f>VLOOKUP(E3,'Sovereign Ratings (Moody''s,S&amp;P)'!A3:D159,4,FALSE)</f>
        <v>#N/A</v>
      </c>
      <c r="G3" s="48">
        <v>1.4500000000000001E-2</v>
      </c>
      <c r="H3" s="48">
        <f t="shared" ref="H3:H66" si="2">VLOOKUP(E3,$K$2:$L$91,2,FALSE)</f>
        <v>1.47E-2</v>
      </c>
      <c r="I3" s="72">
        <f t="shared" si="1"/>
        <v>1.3793103448275668E-2</v>
      </c>
      <c r="K3" s="46" t="s">
        <v>332</v>
      </c>
      <c r="L3" s="48">
        <v>1.47E-2</v>
      </c>
      <c r="N3" s="31" t="s">
        <v>332</v>
      </c>
      <c r="O3" s="205">
        <v>1.7000000000000001E-2</v>
      </c>
    </row>
    <row r="4" spans="1:15" ht="15.5">
      <c r="A4" s="4" t="s">
        <v>43</v>
      </c>
      <c r="B4" s="162">
        <v>112.79571658814777</v>
      </c>
      <c r="C4" s="165">
        <f t="shared" si="0"/>
        <v>118.73233325068186</v>
      </c>
      <c r="E4" s="46" t="s">
        <v>130</v>
      </c>
      <c r="F4" s="56" t="str">
        <f>VLOOKUP(E4,'Sovereign Ratings (Moody''s,S&amp;P)'!A4:D160,4,FALSE)</f>
        <v>B3</v>
      </c>
      <c r="G4" s="48">
        <v>6.7799999999999999E-2</v>
      </c>
      <c r="H4" s="48">
        <f t="shared" si="2"/>
        <v>6.7400000000000002E-2</v>
      </c>
      <c r="I4" s="72">
        <f t="shared" si="1"/>
        <v>-5.8997050147492347E-3</v>
      </c>
      <c r="K4" s="46" t="s">
        <v>130</v>
      </c>
      <c r="L4" s="48">
        <v>6.7400000000000002E-2</v>
      </c>
      <c r="N4" s="31" t="s">
        <v>130</v>
      </c>
      <c r="O4" s="205">
        <v>7.8200000000000006E-2</v>
      </c>
    </row>
    <row r="5" spans="1:15" ht="15.5">
      <c r="A5" s="4" t="s">
        <v>44</v>
      </c>
      <c r="B5" s="162">
        <v>37.598572196049254</v>
      </c>
      <c r="C5" s="165">
        <f t="shared" si="0"/>
        <v>39.577444416893947</v>
      </c>
      <c r="E5" s="46" t="s">
        <v>84</v>
      </c>
      <c r="F5" s="56" t="str">
        <f>VLOOKUP(E5,'Sovereign Ratings (Moody''s,S&amp;P)'!A5:D161,4,FALSE)</f>
        <v>Aaa</v>
      </c>
      <c r="G5" s="48">
        <v>1.9E-3</v>
      </c>
      <c r="H5" s="48">
        <f t="shared" si="2"/>
        <v>1.8E-3</v>
      </c>
      <c r="I5" s="72">
        <f t="shared" si="1"/>
        <v>-5.2631578947368474E-2</v>
      </c>
      <c r="K5" s="46" t="s">
        <v>83</v>
      </c>
      <c r="L5" s="199">
        <v>0.1084</v>
      </c>
      <c r="N5" s="31" t="s">
        <v>83</v>
      </c>
      <c r="O5" s="205" t="s">
        <v>142</v>
      </c>
    </row>
    <row r="6" spans="1:15" ht="15.5">
      <c r="A6" s="4" t="s">
        <v>45</v>
      </c>
      <c r="B6" s="162">
        <v>46.445295065707903</v>
      </c>
      <c r="C6" s="165">
        <f t="shared" si="0"/>
        <v>48.889784279692527</v>
      </c>
      <c r="E6" s="46" t="s">
        <v>173</v>
      </c>
      <c r="F6" s="56" t="str">
        <f>VLOOKUP(E6,'Sovereign Ratings (Moody''s,S&amp;P)'!A6:D162,4,FALSE)</f>
        <v>Aa1</v>
      </c>
      <c r="G6" s="48">
        <v>2.3E-3</v>
      </c>
      <c r="H6" s="48">
        <f t="shared" si="2"/>
        <v>2.5999999999999999E-3</v>
      </c>
      <c r="I6" s="72">
        <f t="shared" si="1"/>
        <v>0.13043478260869557</v>
      </c>
      <c r="K6" s="46" t="s">
        <v>84</v>
      </c>
      <c r="L6" s="48">
        <v>1.8E-3</v>
      </c>
      <c r="N6" s="31" t="s">
        <v>84</v>
      </c>
      <c r="O6" s="205">
        <v>2.5999999999999999E-3</v>
      </c>
    </row>
    <row r="7" spans="1:15" ht="15.5">
      <c r="A7" s="4" t="s">
        <v>46</v>
      </c>
      <c r="B7" s="162">
        <v>56.397858294073885</v>
      </c>
      <c r="C7" s="165">
        <f t="shared" si="0"/>
        <v>59.366166625340931</v>
      </c>
      <c r="E7" s="46" t="s">
        <v>86</v>
      </c>
      <c r="F7" s="56" t="str">
        <f>VLOOKUP(E7,'Sovereign Ratings (Moody''s,S&amp;P)'!A7:D163,4,FALSE)</f>
        <v>B2</v>
      </c>
      <c r="G7" s="48">
        <v>2.4E-2</v>
      </c>
      <c r="H7" s="48">
        <f t="shared" si="2"/>
        <v>2.5100000000000001E-2</v>
      </c>
      <c r="I7" s="72">
        <f t="shared" si="1"/>
        <v>4.5833333333333393E-2</v>
      </c>
      <c r="K7" s="46" t="s">
        <v>173</v>
      </c>
      <c r="L7" s="48">
        <v>2.5999999999999999E-3</v>
      </c>
      <c r="N7" s="31" t="s">
        <v>173</v>
      </c>
      <c r="O7" s="205">
        <v>2.7000000000000001E-3</v>
      </c>
    </row>
    <row r="8" spans="1:15" ht="15.5">
      <c r="A8" s="4" t="s">
        <v>47</v>
      </c>
      <c r="B8" s="162">
        <v>0</v>
      </c>
      <c r="C8" s="165">
        <f t="shared" si="0"/>
        <v>0</v>
      </c>
      <c r="E8" s="46" t="s">
        <v>174</v>
      </c>
      <c r="F8" s="56" t="str">
        <f>VLOOKUP(E8,'Sovereign Ratings (Moody''s,S&amp;P)'!A8:D164,4,FALSE)</f>
        <v>Aa3</v>
      </c>
      <c r="G8" s="48">
        <v>2.8E-3</v>
      </c>
      <c r="H8" s="48">
        <f t="shared" si="2"/>
        <v>4.3E-3</v>
      </c>
      <c r="I8" s="72">
        <f t="shared" si="1"/>
        <v>0.53571428571428581</v>
      </c>
      <c r="K8" s="46" t="s">
        <v>86</v>
      </c>
      <c r="L8" s="48">
        <v>2.5100000000000001E-2</v>
      </c>
      <c r="N8" s="31" t="s">
        <v>86</v>
      </c>
      <c r="O8" s="205">
        <v>2.7400000000000001E-2</v>
      </c>
    </row>
    <row r="9" spans="1:15" ht="15.5">
      <c r="A9" s="4" t="s">
        <v>48</v>
      </c>
      <c r="B9" s="162">
        <v>423.53685738490776</v>
      </c>
      <c r="C9" s="165">
        <f t="shared" si="0"/>
        <v>445.82827093148182</v>
      </c>
      <c r="E9" s="46" t="s">
        <v>91</v>
      </c>
      <c r="F9" s="56" t="str">
        <f>VLOOKUP(E9,'Sovereign Ratings (Moody''s,S&amp;P)'!A9:D165,4,FALSE)</f>
        <v>Ba1</v>
      </c>
      <c r="G9" s="48">
        <v>2.5700000000000001E-2</v>
      </c>
      <c r="H9" s="48">
        <f t="shared" si="2"/>
        <v>3.2300000000000002E-2</v>
      </c>
      <c r="I9" s="72">
        <f t="shared" si="1"/>
        <v>0.25680933852140075</v>
      </c>
      <c r="K9" s="46" t="s">
        <v>174</v>
      </c>
      <c r="L9" s="48">
        <v>4.3E-3</v>
      </c>
      <c r="N9" s="31" t="s">
        <v>174</v>
      </c>
      <c r="O9" s="205">
        <v>3.3E-3</v>
      </c>
    </row>
    <row r="10" spans="1:15" ht="15.5">
      <c r="A10" s="4" t="s">
        <v>49</v>
      </c>
      <c r="B10" s="162">
        <v>517.53328787503096</v>
      </c>
      <c r="C10" s="165">
        <f t="shared" si="0"/>
        <v>544.77188197371675</v>
      </c>
      <c r="E10" s="46" t="s">
        <v>93</v>
      </c>
      <c r="F10" s="56" t="str">
        <f>VLOOKUP(E10,'Sovereign Ratings (Moody''s,S&amp;P)'!A10:D166,4,FALSE)</f>
        <v>Baa1</v>
      </c>
      <c r="G10" s="48">
        <v>1.2699999999999999E-2</v>
      </c>
      <c r="H10" s="48">
        <f t="shared" si="2"/>
        <v>1.43E-2</v>
      </c>
      <c r="I10" s="72">
        <f t="shared" si="1"/>
        <v>0.12598425196850394</v>
      </c>
      <c r="K10" s="46" t="s">
        <v>91</v>
      </c>
      <c r="L10" s="48">
        <v>3.2300000000000002E-2</v>
      </c>
      <c r="N10" s="31" t="s">
        <v>91</v>
      </c>
      <c r="O10" s="205">
        <v>2.3900000000000001E-2</v>
      </c>
    </row>
    <row r="11" spans="1:15" ht="15.5">
      <c r="A11" s="4" t="s">
        <v>77</v>
      </c>
      <c r="B11" s="162">
        <v>611.52971836515405</v>
      </c>
      <c r="C11" s="165">
        <f t="shared" si="0"/>
        <v>643.71549301595155</v>
      </c>
      <c r="E11" s="46" t="s">
        <v>209</v>
      </c>
      <c r="F11" s="56" t="str">
        <f>VLOOKUP(E11,'Sovereign Ratings (Moody''s,S&amp;P)'!A11:D167,4,FALSE)</f>
        <v>Caa1</v>
      </c>
      <c r="G11" s="48">
        <v>7.46E-2</v>
      </c>
      <c r="H11" s="48">
        <f t="shared" si="2"/>
        <v>7.0699999999999999E-2</v>
      </c>
      <c r="I11" s="72">
        <f t="shared" si="1"/>
        <v>-5.2278820375335155E-2</v>
      </c>
      <c r="K11" s="46" t="s">
        <v>93</v>
      </c>
      <c r="L11" s="48">
        <v>1.43E-2</v>
      </c>
      <c r="N11" s="31" t="s">
        <v>93</v>
      </c>
      <c r="O11" s="205">
        <v>1.47E-2</v>
      </c>
    </row>
    <row r="12" spans="1:15" ht="15.5">
      <c r="A12" s="4" t="s">
        <v>78</v>
      </c>
      <c r="B12" s="162">
        <v>235.54399640466156</v>
      </c>
      <c r="C12" s="165">
        <f t="shared" si="0"/>
        <v>247.94104884701215</v>
      </c>
      <c r="E12" s="46" t="s">
        <v>94</v>
      </c>
      <c r="F12" s="56" t="str">
        <f>VLOOKUP(E12,'Sovereign Ratings (Moody''s,S&amp;P)'!A12:D168,4,FALSE)</f>
        <v>Aaa</v>
      </c>
      <c r="G12" s="48">
        <v>3.8E-3</v>
      </c>
      <c r="H12" s="48">
        <f t="shared" si="2"/>
        <v>3.8E-3</v>
      </c>
      <c r="I12" s="72">
        <f t="shared" si="1"/>
        <v>0</v>
      </c>
      <c r="K12" s="46" t="s">
        <v>209</v>
      </c>
      <c r="L12" s="48">
        <v>7.0699999999999999E-2</v>
      </c>
      <c r="N12" s="31" t="s">
        <v>209</v>
      </c>
      <c r="O12" s="205">
        <v>9.1399999999999995E-2</v>
      </c>
    </row>
    <row r="13" spans="1:15" ht="15.5">
      <c r="A13" s="4" t="s">
        <v>79</v>
      </c>
      <c r="B13" s="162">
        <v>283.09513182907676</v>
      </c>
      <c r="C13" s="165">
        <f t="shared" si="0"/>
        <v>297.99487560955447</v>
      </c>
      <c r="E13" s="46" t="s">
        <v>95</v>
      </c>
      <c r="F13" s="56" t="str">
        <f>VLOOKUP(E13,'Sovereign Ratings (Moody''s,S&amp;P)'!A13:D169,4,FALSE)</f>
        <v>A2</v>
      </c>
      <c r="G13" s="48">
        <v>1.03E-2</v>
      </c>
      <c r="H13" s="48">
        <f t="shared" si="2"/>
        <v>1.17E-2</v>
      </c>
      <c r="I13" s="72">
        <f t="shared" si="1"/>
        <v>0.13592233009708732</v>
      </c>
      <c r="K13" s="46" t="s">
        <v>94</v>
      </c>
      <c r="L13" s="48">
        <v>3.8E-3</v>
      </c>
      <c r="N13" s="31" t="s">
        <v>94</v>
      </c>
      <c r="O13" s="205">
        <v>4.4000000000000003E-3</v>
      </c>
    </row>
    <row r="14" spans="1:15" ht="15.5">
      <c r="A14" s="4" t="s">
        <v>80</v>
      </c>
      <c r="B14" s="162">
        <v>338.38714976444328</v>
      </c>
      <c r="C14" s="165">
        <f t="shared" si="0"/>
        <v>356.19699975204554</v>
      </c>
      <c r="E14" s="46" t="s">
        <v>96</v>
      </c>
      <c r="F14" s="56" t="str">
        <f>VLOOKUP(E14,'Sovereign Ratings (Moody''s,S&amp;P)'!A14:D170,4,FALSE)</f>
        <v>A1</v>
      </c>
      <c r="G14" s="48">
        <v>1.0500000000000001E-2</v>
      </c>
      <c r="H14" s="48">
        <f t="shared" si="2"/>
        <v>9.7000000000000003E-3</v>
      </c>
      <c r="I14" s="72">
        <f t="shared" si="1"/>
        <v>-7.6190476190476253E-2</v>
      </c>
      <c r="K14" s="46" t="s">
        <v>95</v>
      </c>
      <c r="L14" s="48">
        <v>1.17E-2</v>
      </c>
      <c r="N14" s="31" t="s">
        <v>95</v>
      </c>
      <c r="O14" s="205">
        <v>1.15E-2</v>
      </c>
    </row>
    <row r="15" spans="1:15" ht="15.5">
      <c r="A15" s="4" t="s">
        <v>81</v>
      </c>
      <c r="B15" s="162">
        <v>150.39428878419702</v>
      </c>
      <c r="C15" s="165">
        <f t="shared" si="0"/>
        <v>158.30977766757579</v>
      </c>
      <c r="E15" s="46" t="s">
        <v>50</v>
      </c>
      <c r="F15" s="56" t="str">
        <f>VLOOKUP(E15,'Sovereign Ratings (Moody''s,S&amp;P)'!A15:D171,4,FALSE)</f>
        <v>Baa2</v>
      </c>
      <c r="G15" s="48">
        <v>3.1E-2</v>
      </c>
      <c r="H15" s="48">
        <f t="shared" si="2"/>
        <v>3.3700000000000001E-2</v>
      </c>
      <c r="I15" s="72">
        <f t="shared" si="1"/>
        <v>8.7096774193548443E-2</v>
      </c>
      <c r="K15" s="46" t="s">
        <v>96</v>
      </c>
      <c r="L15" s="48">
        <v>9.7000000000000003E-3</v>
      </c>
      <c r="N15" s="31" t="s">
        <v>96</v>
      </c>
      <c r="O15" s="205">
        <v>9.9000000000000008E-3</v>
      </c>
    </row>
    <row r="16" spans="1:15" ht="15.5">
      <c r="A16" s="4" t="s">
        <v>82</v>
      </c>
      <c r="B16" s="162">
        <v>179.14613811058766</v>
      </c>
      <c r="C16" s="165">
        <f t="shared" si="0"/>
        <v>188.5748822216712</v>
      </c>
      <c r="E16" s="46" t="s">
        <v>56</v>
      </c>
      <c r="F16" s="56" t="str">
        <f>VLOOKUP(E16,'Sovereign Ratings (Moody''s,S&amp;P)'!A16:D172,4,FALSE)</f>
        <v>Ba3</v>
      </c>
      <c r="G16" s="48">
        <v>2.29E-2</v>
      </c>
      <c r="H16" s="48">
        <f t="shared" si="2"/>
        <v>2.4500000000000001E-2</v>
      </c>
      <c r="I16" s="72">
        <f t="shared" si="1"/>
        <v>6.9868995633187714E-2</v>
      </c>
      <c r="K16" s="46" t="s">
        <v>50</v>
      </c>
      <c r="L16" s="48">
        <v>3.3700000000000001E-2</v>
      </c>
      <c r="N16" s="31" t="s">
        <v>50</v>
      </c>
      <c r="O16" s="205">
        <v>2.7400000000000001E-2</v>
      </c>
    </row>
    <row r="17" spans="1:15" ht="15.5">
      <c r="A17" s="4" t="s">
        <v>123</v>
      </c>
      <c r="B17" s="162">
        <v>206.79214707827094</v>
      </c>
      <c r="C17" s="165">
        <f t="shared" si="0"/>
        <v>217.67594429291677</v>
      </c>
      <c r="E17" s="46" t="s">
        <v>97</v>
      </c>
      <c r="F17" s="56" t="str">
        <f>VLOOKUP(E17,'Sovereign Ratings (Moody''s,S&amp;P)'!A17:D173,4,FALSE)</f>
        <v>A3</v>
      </c>
      <c r="G17" s="48">
        <v>1.24E-2</v>
      </c>
      <c r="H17" s="48">
        <f t="shared" si="2"/>
        <v>1.26E-2</v>
      </c>
      <c r="I17" s="72">
        <f t="shared" si="1"/>
        <v>1.6129032258064502E-2</v>
      </c>
      <c r="K17" s="46" t="s">
        <v>56</v>
      </c>
      <c r="L17" s="48">
        <v>2.4500000000000001E-2</v>
      </c>
      <c r="N17" s="31" t="s">
        <v>56</v>
      </c>
      <c r="O17" s="205">
        <v>3.1099999999999999E-2</v>
      </c>
    </row>
    <row r="18" spans="1:15" ht="15.5">
      <c r="A18" s="4" t="s">
        <v>338</v>
      </c>
      <c r="B18" s="162">
        <v>1129.0630062401851</v>
      </c>
      <c r="C18" s="165">
        <f t="shared" si="0"/>
        <v>1188.4873749896685</v>
      </c>
      <c r="E18" s="46" t="s">
        <v>175</v>
      </c>
      <c r="F18" s="56" t="str">
        <f>VLOOKUP(E18,'Sovereign Ratings (Moody''s,S&amp;P)'!A18:D174,4,FALSE)</f>
        <v>A3</v>
      </c>
      <c r="G18" s="48">
        <v>9.2999999999999992E-3</v>
      </c>
      <c r="H18" s="48">
        <f t="shared" si="2"/>
        <v>9.9000000000000008E-3</v>
      </c>
      <c r="I18" s="72">
        <f t="shared" si="1"/>
        <v>6.4516129032258229E-2</v>
      </c>
      <c r="K18" s="46" t="s">
        <v>97</v>
      </c>
      <c r="L18" s="48">
        <v>1.26E-2</v>
      </c>
      <c r="N18" s="31" t="s">
        <v>97</v>
      </c>
      <c r="O18" s="205">
        <v>1.34E-2</v>
      </c>
    </row>
    <row r="19" spans="1:15" ht="15.5">
      <c r="A19" s="4" t="s">
        <v>99</v>
      </c>
      <c r="B19" s="162">
        <v>705.52614885527714</v>
      </c>
      <c r="C19" s="165">
        <f t="shared" si="0"/>
        <v>742.65910405818647</v>
      </c>
      <c r="E19" s="46" t="s">
        <v>100</v>
      </c>
      <c r="F19" s="56" t="str">
        <f>VLOOKUP(E19,'Sovereign Ratings (Moody''s,S&amp;P)'!A19:D175,4,FALSE)</f>
        <v>Aa3</v>
      </c>
      <c r="G19" s="48">
        <v>4.5999999999999999E-3</v>
      </c>
      <c r="H19" s="48">
        <f t="shared" si="2"/>
        <v>5.0000000000000001E-3</v>
      </c>
      <c r="I19" s="72">
        <f t="shared" si="1"/>
        <v>8.6956521739130377E-2</v>
      </c>
      <c r="K19" s="46" t="s">
        <v>175</v>
      </c>
      <c r="L19" s="48">
        <v>9.9000000000000008E-3</v>
      </c>
      <c r="N19" s="31" t="s">
        <v>175</v>
      </c>
      <c r="O19" s="205">
        <v>1.11E-2</v>
      </c>
    </row>
    <row r="20" spans="1:15" ht="15.5">
      <c r="A20" s="4" t="s">
        <v>58</v>
      </c>
      <c r="B20" s="162">
        <v>847.07371476981552</v>
      </c>
      <c r="C20" s="165">
        <f t="shared" si="0"/>
        <v>891.65654186296365</v>
      </c>
      <c r="E20" s="46" t="s">
        <v>101</v>
      </c>
      <c r="F20" s="56" t="str">
        <f>VLOOKUP(E20,'Sovereign Ratings (Moody''s,S&amp;P)'!A20:D176,4,FALSE)</f>
        <v>Aaa</v>
      </c>
      <c r="G20" s="48">
        <v>1.6999999999999999E-3</v>
      </c>
      <c r="H20" s="48">
        <f t="shared" si="2"/>
        <v>1.8E-3</v>
      </c>
      <c r="I20" s="72">
        <f t="shared" si="1"/>
        <v>5.8823529411764719E-2</v>
      </c>
      <c r="K20" s="46" t="s">
        <v>100</v>
      </c>
      <c r="L20" s="48">
        <v>5.0000000000000001E-3</v>
      </c>
      <c r="N20" s="31" t="s">
        <v>100</v>
      </c>
      <c r="O20" s="205">
        <v>5.5999999999999999E-3</v>
      </c>
    </row>
    <row r="21" spans="1:15" ht="15.5">
      <c r="A21" s="4" t="s">
        <v>62</v>
      </c>
      <c r="B21" s="162">
        <v>941.07014525993884</v>
      </c>
      <c r="C21" s="165">
        <f t="shared" si="0"/>
        <v>990.60015290519868</v>
      </c>
      <c r="E21" s="46" t="s">
        <v>437</v>
      </c>
      <c r="F21" s="56" t="e">
        <f>VLOOKUP(E21,'Sovereign Ratings (Moody''s,S&amp;P)'!A21:D177,4,FALSE)</f>
        <v>#N/A</v>
      </c>
      <c r="G21" s="48">
        <v>9.4999999999999998E-3</v>
      </c>
      <c r="H21" s="48">
        <f t="shared" si="2"/>
        <v>0.01</v>
      </c>
      <c r="I21" s="72">
        <f t="shared" si="1"/>
        <v>5.2631578947368363E-2</v>
      </c>
      <c r="K21" s="46" t="s">
        <v>101</v>
      </c>
      <c r="L21" s="48">
        <v>1.8E-3</v>
      </c>
      <c r="N21" s="31" t="s">
        <v>101</v>
      </c>
      <c r="O21" s="205">
        <v>2.3999999999999998E-3</v>
      </c>
    </row>
    <row r="22" spans="1:15" ht="15.5">
      <c r="A22" s="116" t="s">
        <v>273</v>
      </c>
      <c r="B22" s="25" t="s">
        <v>142</v>
      </c>
      <c r="C22" s="166" t="s">
        <v>142</v>
      </c>
      <c r="E22" s="46" t="s">
        <v>103</v>
      </c>
      <c r="F22" s="56" t="str">
        <f>VLOOKUP(E22,'Sovereign Ratings (Moody''s,S&amp;P)'!A22:D178,4,FALSE)</f>
        <v>Caa3</v>
      </c>
      <c r="G22" s="48">
        <v>0.21970000000000001</v>
      </c>
      <c r="H22" s="48">
        <f t="shared" si="2"/>
        <v>0.1908</v>
      </c>
      <c r="I22" s="72">
        <f t="shared" si="1"/>
        <v>-0.13154301319981798</v>
      </c>
      <c r="K22" s="46" t="s">
        <v>437</v>
      </c>
      <c r="L22" s="48">
        <v>0.01</v>
      </c>
      <c r="N22" s="31" t="s">
        <v>437</v>
      </c>
      <c r="O22" s="205">
        <v>1.0999999999999999E-2</v>
      </c>
    </row>
    <row r="23" spans="1:15" ht="15.5">
      <c r="E23" s="46" t="s">
        <v>104</v>
      </c>
      <c r="F23" s="56" t="str">
        <f>VLOOKUP(E23,'Sovereign Ratings (Moody''s,S&amp;P)'!A23:D179,4,FALSE)</f>
        <v>Caa1</v>
      </c>
      <c r="G23" s="48">
        <v>6.7000000000000004E-2</v>
      </c>
      <c r="H23" s="48">
        <f t="shared" si="2"/>
        <v>6.3500000000000001E-2</v>
      </c>
      <c r="I23" s="72">
        <f t="shared" si="1"/>
        <v>-5.2238805970149294E-2</v>
      </c>
      <c r="K23" s="253" t="s">
        <v>103</v>
      </c>
      <c r="L23" s="199">
        <v>0.1908</v>
      </c>
      <c r="N23" s="31" t="s">
        <v>103</v>
      </c>
      <c r="O23" s="205" t="s">
        <v>142</v>
      </c>
    </row>
    <row r="24" spans="1:15" ht="15.5">
      <c r="E24" s="46" t="s">
        <v>31</v>
      </c>
      <c r="F24" s="56" t="str">
        <f>VLOOKUP(E24,'Sovereign Ratings (Moody''s,S&amp;P)'!A24:D180,4,FALSE)</f>
        <v>B3</v>
      </c>
      <c r="G24" s="48">
        <v>7.4999999999999997E-2</v>
      </c>
      <c r="H24" s="48">
        <f t="shared" si="2"/>
        <v>4.2000000000000003E-2</v>
      </c>
      <c r="I24" s="72">
        <f t="shared" si="1"/>
        <v>-0.43999999999999995</v>
      </c>
      <c r="K24" s="135" t="s">
        <v>104</v>
      </c>
      <c r="L24" s="48">
        <v>6.3500000000000001E-2</v>
      </c>
      <c r="N24" s="31" t="s">
        <v>104</v>
      </c>
      <c r="O24" s="205">
        <v>0.1013</v>
      </c>
    </row>
    <row r="25" spans="1:15" ht="15.5">
      <c r="E25" s="46" t="s">
        <v>105</v>
      </c>
      <c r="F25" s="56" t="str">
        <f>VLOOKUP(E25,'Sovereign Ratings (Moody''s,S&amp;P)'!A25:D181,4,FALSE)</f>
        <v>A1</v>
      </c>
      <c r="G25" s="48">
        <v>7.7000000000000002E-3</v>
      </c>
      <c r="H25" s="48">
        <f t="shared" si="2"/>
        <v>8.0999999999999996E-3</v>
      </c>
      <c r="I25" s="72">
        <f t="shared" si="1"/>
        <v>5.1948051948051965E-2</v>
      </c>
      <c r="K25" s="46" t="s">
        <v>31</v>
      </c>
      <c r="L25" s="48">
        <v>4.2000000000000003E-2</v>
      </c>
      <c r="N25" s="31" t="s">
        <v>31</v>
      </c>
      <c r="O25" s="205">
        <v>8.4000000000000005E-2</v>
      </c>
    </row>
    <row r="26" spans="1:15" ht="15.5">
      <c r="E26" s="46" t="s">
        <v>176</v>
      </c>
      <c r="F26" s="56" t="str">
        <f>VLOOKUP(E26,'Sovereign Ratings (Moody''s,S&amp;P)'!A26:D182,4,FALSE)</f>
        <v>Aa1</v>
      </c>
      <c r="G26" s="48">
        <v>2.8999999999999998E-3</v>
      </c>
      <c r="H26" s="48">
        <f t="shared" si="2"/>
        <v>3.3E-3</v>
      </c>
      <c r="I26" s="72">
        <f t="shared" si="1"/>
        <v>0.13793103448275867</v>
      </c>
      <c r="K26" s="46" t="s">
        <v>105</v>
      </c>
      <c r="L26" s="48">
        <v>8.0999999999999996E-3</v>
      </c>
      <c r="N26" s="31" t="s">
        <v>105</v>
      </c>
      <c r="O26" s="205">
        <v>6.0000000000000001E-3</v>
      </c>
    </row>
    <row r="27" spans="1:15" ht="15.5">
      <c r="E27" s="46" t="s">
        <v>177</v>
      </c>
      <c r="F27" s="56" t="str">
        <f>VLOOKUP(E27,'Sovereign Ratings (Moody''s,S&amp;P)'!A27:D183,4,FALSE)</f>
        <v>Aa3</v>
      </c>
      <c r="G27" s="48">
        <v>5.1000000000000004E-3</v>
      </c>
      <c r="H27" s="48">
        <f t="shared" si="2"/>
        <v>6.8999999999999999E-3</v>
      </c>
      <c r="I27" s="72">
        <f t="shared" si="1"/>
        <v>0.35294117647058809</v>
      </c>
      <c r="K27" s="46" t="s">
        <v>280</v>
      </c>
      <c r="L27" s="199">
        <v>0.32969999999999999</v>
      </c>
      <c r="N27" s="31" t="s">
        <v>280</v>
      </c>
      <c r="O27" s="205">
        <v>0.3231</v>
      </c>
    </row>
    <row r="28" spans="1:15" ht="15.5">
      <c r="E28" s="46" t="s">
        <v>178</v>
      </c>
      <c r="F28" s="56" t="str">
        <f>VLOOKUP(E28,'Sovereign Ratings (Moody''s,S&amp;P)'!A28:D184,4,FALSE)</f>
        <v>Aaa</v>
      </c>
      <c r="G28" s="48">
        <v>2E-3</v>
      </c>
      <c r="H28" s="48">
        <f t="shared" si="2"/>
        <v>2.8E-3</v>
      </c>
      <c r="I28" s="72">
        <f t="shared" si="1"/>
        <v>0.39999999999999991</v>
      </c>
      <c r="K28" s="46" t="s">
        <v>176</v>
      </c>
      <c r="L28" s="48">
        <v>3.3E-3</v>
      </c>
      <c r="N28" s="31" t="s">
        <v>176</v>
      </c>
      <c r="O28" s="205">
        <v>3.3999999999999998E-3</v>
      </c>
    </row>
    <row r="29" spans="1:15" ht="15.5">
      <c r="E29" s="46" t="s">
        <v>179</v>
      </c>
      <c r="F29" s="56" t="str">
        <f>VLOOKUP(E29,'Sovereign Ratings (Moody''s,S&amp;P)'!A29:D185,4,FALSE)</f>
        <v>Ba1</v>
      </c>
      <c r="G29" s="48">
        <v>1.3100000000000001E-2</v>
      </c>
      <c r="H29" s="48">
        <f t="shared" si="2"/>
        <v>1.17E-2</v>
      </c>
      <c r="I29" s="72">
        <f t="shared" si="1"/>
        <v>-0.10687022900763354</v>
      </c>
      <c r="K29" s="46" t="s">
        <v>177</v>
      </c>
      <c r="L29" s="48">
        <v>6.8999999999999999E-3</v>
      </c>
      <c r="N29" s="31" t="s">
        <v>177</v>
      </c>
      <c r="O29" s="205">
        <v>4.3E-3</v>
      </c>
    </row>
    <row r="30" spans="1:15" ht="15.5">
      <c r="E30" s="46" t="s">
        <v>106</v>
      </c>
      <c r="F30" s="56" t="str">
        <f>VLOOKUP(E30,'Sovereign Ratings (Moody''s,S&amp;P)'!A30:D186,4,FALSE)</f>
        <v>Ba1</v>
      </c>
      <c r="G30" s="48">
        <v>2.1499999999999998E-2</v>
      </c>
      <c r="H30" s="48">
        <f t="shared" si="2"/>
        <v>2.3300000000000001E-2</v>
      </c>
      <c r="I30" s="72">
        <f t="shared" si="1"/>
        <v>8.3720930232558333E-2</v>
      </c>
      <c r="K30" s="46" t="s">
        <v>217</v>
      </c>
      <c r="L30" s="48">
        <v>9.6100000000000005E-2</v>
      </c>
      <c r="N30" s="31" t="s">
        <v>217</v>
      </c>
      <c r="O30" s="205">
        <v>6.8500000000000005E-2</v>
      </c>
    </row>
    <row r="31" spans="1:15" ht="15.5">
      <c r="E31" s="46" t="s">
        <v>59</v>
      </c>
      <c r="F31" s="56" t="str">
        <f>VLOOKUP(E31,'Sovereign Ratings (Moody''s,S&amp;P)'!A31:D187,4,FALSE)</f>
        <v>Aa3</v>
      </c>
      <c r="G31" s="48">
        <v>5.3E-3</v>
      </c>
      <c r="H31" s="48">
        <f t="shared" si="2"/>
        <v>6.4000000000000003E-3</v>
      </c>
      <c r="I31" s="72">
        <f t="shared" si="1"/>
        <v>0.20754716981132071</v>
      </c>
      <c r="K31" s="46" t="s">
        <v>178</v>
      </c>
      <c r="L31" s="48">
        <v>2.8E-3</v>
      </c>
      <c r="N31" s="31" t="s">
        <v>178</v>
      </c>
      <c r="O31" s="205">
        <v>2.8999999999999998E-3</v>
      </c>
    </row>
    <row r="32" spans="1:15" ht="15.5">
      <c r="E32" s="46" t="s">
        <v>108</v>
      </c>
      <c r="F32" s="56" t="str">
        <f>VLOOKUP(E32,'Sovereign Ratings (Moody''s,S&amp;P)'!A32:D188,4,FALSE)</f>
        <v>Baa2</v>
      </c>
      <c r="G32" s="48">
        <v>1.67E-2</v>
      </c>
      <c r="H32" s="48">
        <f t="shared" si="2"/>
        <v>1.7899999999999999E-2</v>
      </c>
      <c r="I32" s="72">
        <f t="shared" si="1"/>
        <v>7.1856287425149601E-2</v>
      </c>
      <c r="K32" s="46" t="s">
        <v>179</v>
      </c>
      <c r="L32" s="48">
        <v>1.17E-2</v>
      </c>
      <c r="N32" s="31" t="s">
        <v>179</v>
      </c>
      <c r="O32" s="205">
        <v>1.2800000000000001E-2</v>
      </c>
    </row>
    <row r="33" spans="5:15" ht="15.5">
      <c r="E33" s="46" t="s">
        <v>109</v>
      </c>
      <c r="F33" s="56" t="str">
        <f>VLOOKUP(E33,'Sovereign Ratings (Moody''s,S&amp;P)'!A33:D189,4,FALSE)</f>
        <v>A1</v>
      </c>
      <c r="G33" s="48">
        <v>6.0000000000000001E-3</v>
      </c>
      <c r="H33" s="48">
        <f t="shared" si="2"/>
        <v>3.0999999999999999E-3</v>
      </c>
      <c r="I33" s="72">
        <f t="shared" si="1"/>
        <v>-0.48333333333333339</v>
      </c>
      <c r="K33" s="46" t="s">
        <v>106</v>
      </c>
      <c r="L33" s="48">
        <v>2.3300000000000001E-2</v>
      </c>
      <c r="N33" s="31" t="s">
        <v>106</v>
      </c>
      <c r="O33" s="205">
        <v>2.6800000000000001E-2</v>
      </c>
    </row>
    <row r="34" spans="5:15" ht="15.5">
      <c r="E34" s="46" t="s">
        <v>110</v>
      </c>
      <c r="F34" s="56" t="str">
        <f>VLOOKUP(E34,'Sovereign Ratings (Moody''s,S&amp;P)'!A34:D190,4,FALSE)</f>
        <v>Baa3</v>
      </c>
      <c r="G34" s="48">
        <v>8.3000000000000001E-3</v>
      </c>
      <c r="H34" s="48">
        <f t="shared" si="2"/>
        <v>9.4999999999999998E-3</v>
      </c>
      <c r="I34" s="72">
        <f t="shared" si="1"/>
        <v>0.14457831325301207</v>
      </c>
      <c r="K34" s="46" t="s">
        <v>59</v>
      </c>
      <c r="L34" s="48">
        <v>6.4000000000000003E-3</v>
      </c>
      <c r="N34" s="31" t="s">
        <v>59</v>
      </c>
      <c r="O34" s="205">
        <v>6.0000000000000001E-3</v>
      </c>
    </row>
    <row r="35" spans="5:15" ht="15.5">
      <c r="E35" s="46" t="s">
        <v>111</v>
      </c>
      <c r="F35" s="56" t="str">
        <f>VLOOKUP(E35,'Sovereign Ratings (Moody''s,S&amp;P)'!A35:D191,4,FALSE)</f>
        <v>Baa2</v>
      </c>
      <c r="G35" s="48">
        <v>1.2800000000000001E-2</v>
      </c>
      <c r="H35" s="48">
        <f t="shared" si="2"/>
        <v>1.3100000000000001E-2</v>
      </c>
      <c r="I35" s="72">
        <f t="shared" si="1"/>
        <v>2.34375E-2</v>
      </c>
      <c r="K35" s="46" t="s">
        <v>108</v>
      </c>
      <c r="L35" s="48">
        <v>1.7899999999999999E-2</v>
      </c>
      <c r="N35" s="31" t="s">
        <v>108</v>
      </c>
      <c r="O35" s="205">
        <v>1.95E-2</v>
      </c>
    </row>
    <row r="36" spans="5:15" ht="15.5">
      <c r="E36" s="46" t="s">
        <v>326</v>
      </c>
      <c r="F36" s="56" t="str">
        <f>VLOOKUP(E36,'Sovereign Ratings (Moody''s,S&amp;P)'!A36:D192,4,FALSE)</f>
        <v>Caa1</v>
      </c>
      <c r="G36" s="48">
        <v>3.95E-2</v>
      </c>
      <c r="H36" s="48">
        <f t="shared" si="2"/>
        <v>4.1500000000000002E-2</v>
      </c>
      <c r="I36" s="72">
        <f t="shared" si="1"/>
        <v>5.0632911392405111E-2</v>
      </c>
      <c r="K36" s="46" t="s">
        <v>109</v>
      </c>
      <c r="L36" s="48">
        <v>3.0999999999999999E-3</v>
      </c>
      <c r="N36" s="31" t="s">
        <v>109</v>
      </c>
      <c r="O36" s="205">
        <v>8.8000000000000005E-3</v>
      </c>
    </row>
    <row r="37" spans="5:15" ht="15.5">
      <c r="E37" s="46" t="s">
        <v>180</v>
      </c>
      <c r="F37" s="56" t="str">
        <f>VLOOKUP(E37,'Sovereign Ratings (Moody''s,S&amp;P)'!A37:D193,4,FALSE)</f>
        <v>Aa3</v>
      </c>
      <c r="G37" s="48">
        <v>3.0999999999999999E-3</v>
      </c>
      <c r="H37" s="48">
        <f t="shared" si="2"/>
        <v>3.0999999999999999E-3</v>
      </c>
      <c r="I37" s="72">
        <f t="shared" si="1"/>
        <v>0</v>
      </c>
      <c r="K37" s="46" t="s">
        <v>110</v>
      </c>
      <c r="L37" s="48">
        <v>9.4999999999999998E-3</v>
      </c>
      <c r="N37" s="31" t="s">
        <v>110</v>
      </c>
      <c r="O37" s="205">
        <v>9.9000000000000008E-3</v>
      </c>
    </row>
    <row r="38" spans="5:15" ht="15.5">
      <c r="E38" s="46" t="s">
        <v>113</v>
      </c>
      <c r="F38" s="56" t="str">
        <f>VLOOKUP(E38,'Sovereign Ratings (Moody''s,S&amp;P)'!A38:D194,4,FALSE)</f>
        <v>Baa1</v>
      </c>
      <c r="G38" s="48">
        <v>1.7299999999999999E-2</v>
      </c>
      <c r="H38" s="48">
        <f t="shared" si="2"/>
        <v>1.44E-2</v>
      </c>
      <c r="I38" s="72">
        <f t="shared" si="1"/>
        <v>-0.16763005780346818</v>
      </c>
      <c r="K38" s="46" t="s">
        <v>111</v>
      </c>
      <c r="L38" s="48">
        <v>1.3100000000000001E-2</v>
      </c>
      <c r="N38" s="31" t="s">
        <v>111</v>
      </c>
      <c r="O38" s="205">
        <v>1.32E-2</v>
      </c>
    </row>
    <row r="39" spans="5:15" ht="15.5">
      <c r="E39" s="46" t="s">
        <v>143</v>
      </c>
      <c r="F39" s="56" t="str">
        <f>VLOOKUP(E39,'Sovereign Ratings (Moody''s,S&amp;P)'!A39:D195,4,FALSE)</f>
        <v>Baa3</v>
      </c>
      <c r="G39" s="48">
        <v>1.29E-2</v>
      </c>
      <c r="H39" s="48">
        <f t="shared" si="2"/>
        <v>1.18E-2</v>
      </c>
      <c r="I39" s="72">
        <f t="shared" si="1"/>
        <v>-8.5271317829457405E-2</v>
      </c>
      <c r="K39" s="46" t="s">
        <v>326</v>
      </c>
      <c r="L39" s="48">
        <v>4.1500000000000002E-2</v>
      </c>
      <c r="N39" s="31" t="s">
        <v>326</v>
      </c>
      <c r="O39" s="205">
        <v>5.1400000000000001E-2</v>
      </c>
    </row>
    <row r="40" spans="5:15" ht="15.5">
      <c r="E40" s="46" t="s">
        <v>115</v>
      </c>
      <c r="F40" s="56" t="str">
        <f>VLOOKUP(E40,'Sovereign Ratings (Moody''s,S&amp;P)'!A40:D196,4,FALSE)</f>
        <v>A1</v>
      </c>
      <c r="G40" s="48">
        <v>3.5000000000000001E-3</v>
      </c>
      <c r="H40" s="48">
        <f t="shared" si="2"/>
        <v>3.3E-3</v>
      </c>
      <c r="I40" s="72">
        <f t="shared" si="1"/>
        <v>-5.7142857142857162E-2</v>
      </c>
      <c r="K40" s="46" t="s">
        <v>180</v>
      </c>
      <c r="L40" s="48">
        <v>3.0999999999999999E-3</v>
      </c>
      <c r="N40" s="31" t="s">
        <v>180</v>
      </c>
      <c r="O40" s="205">
        <v>4.1000000000000003E-3</v>
      </c>
    </row>
    <row r="41" spans="5:15" ht="15.5">
      <c r="E41" s="46" t="s">
        <v>117</v>
      </c>
      <c r="F41" s="56" t="str">
        <f>VLOOKUP(E41,'Sovereign Ratings (Moody''s,S&amp;P)'!A41:D197,4,FALSE)</f>
        <v>Baa1</v>
      </c>
      <c r="G41" s="48">
        <v>1.37E-2</v>
      </c>
      <c r="H41" s="48">
        <f t="shared" si="2"/>
        <v>1.3599999999999999E-2</v>
      </c>
      <c r="I41" s="72">
        <f t="shared" si="1"/>
        <v>-7.2992700729928028E-3</v>
      </c>
      <c r="K41" s="46" t="s">
        <v>113</v>
      </c>
      <c r="L41" s="48">
        <v>1.44E-2</v>
      </c>
      <c r="N41" s="31" t="s">
        <v>113</v>
      </c>
      <c r="O41" s="205">
        <v>1.5699999999999999E-2</v>
      </c>
    </row>
    <row r="42" spans="5:15" ht="15.5">
      <c r="E42" s="46" t="s">
        <v>181</v>
      </c>
      <c r="F42" s="56" t="str">
        <f>VLOOKUP(E42,'Sovereign Ratings (Moody''s,S&amp;P)'!A42:D198,4,FALSE)</f>
        <v>Caa1</v>
      </c>
      <c r="G42" s="48">
        <v>5.4199999999999998E-2</v>
      </c>
      <c r="H42" s="48">
        <f t="shared" si="2"/>
        <v>5.9200000000000003E-2</v>
      </c>
      <c r="I42" s="72">
        <f t="shared" si="1"/>
        <v>9.2250922509225175E-2</v>
      </c>
      <c r="K42" s="46" t="s">
        <v>143</v>
      </c>
      <c r="L42" s="48">
        <v>1.18E-2</v>
      </c>
      <c r="N42" s="31" t="s">
        <v>143</v>
      </c>
      <c r="O42" s="205">
        <v>1.34E-2</v>
      </c>
    </row>
    <row r="43" spans="5:15" ht="15.5">
      <c r="E43" s="46" t="s">
        <v>118</v>
      </c>
      <c r="F43" s="56" t="str">
        <f>VLOOKUP(E43,'Sovereign Ratings (Moody''s,S&amp;P)'!A43:D199,4,FALSE)</f>
        <v>Aa2</v>
      </c>
      <c r="G43" s="48">
        <v>4.4999999999999997E-3</v>
      </c>
      <c r="H43" s="48">
        <f t="shared" si="2"/>
        <v>4.7999999999999996E-3</v>
      </c>
      <c r="I43" s="72">
        <f t="shared" si="1"/>
        <v>6.6666666666666652E-2</v>
      </c>
      <c r="K43" s="46" t="s">
        <v>115</v>
      </c>
      <c r="L43" s="48">
        <v>3.3E-3</v>
      </c>
      <c r="N43" s="31" t="s">
        <v>115</v>
      </c>
      <c r="O43" s="205">
        <v>4.3E-3</v>
      </c>
    </row>
    <row r="44" spans="5:15" ht="15.5">
      <c r="E44" s="46" t="s">
        <v>119</v>
      </c>
      <c r="F44" s="56" t="str">
        <f>VLOOKUP(E44,'Sovereign Ratings (Moody''s,S&amp;P)'!A44:D200,4,FALSE)</f>
        <v>A1</v>
      </c>
      <c r="G44" s="48">
        <v>8.3000000000000001E-3</v>
      </c>
      <c r="H44" s="48">
        <f t="shared" si="2"/>
        <v>9.4000000000000004E-3</v>
      </c>
      <c r="I44" s="72">
        <f t="shared" si="1"/>
        <v>0.1325301204819278</v>
      </c>
      <c r="K44" s="46" t="s">
        <v>117</v>
      </c>
      <c r="L44" s="48">
        <v>1.3599999999999999E-2</v>
      </c>
      <c r="N44" s="31" t="s">
        <v>117</v>
      </c>
      <c r="O44" s="205">
        <v>1.7600000000000001E-2</v>
      </c>
    </row>
    <row r="45" spans="5:15" ht="15.5">
      <c r="E45" s="46" t="s">
        <v>120</v>
      </c>
      <c r="F45" s="56" t="str">
        <f>VLOOKUP(E45,'Sovereign Ratings (Moody''s,S&amp;P)'!A45:D201,4,FALSE)</f>
        <v>A3</v>
      </c>
      <c r="G45" s="48">
        <v>8.6E-3</v>
      </c>
      <c r="H45" s="48">
        <f t="shared" si="2"/>
        <v>8.5000000000000006E-3</v>
      </c>
      <c r="I45" s="72">
        <f t="shared" si="1"/>
        <v>-1.1627906976744096E-2</v>
      </c>
      <c r="K45" s="46" t="s">
        <v>181</v>
      </c>
      <c r="L45" s="48">
        <v>5.9200000000000003E-2</v>
      </c>
      <c r="N45" s="31" t="s">
        <v>181</v>
      </c>
      <c r="O45" s="205">
        <v>7.0400000000000004E-2</v>
      </c>
    </row>
    <row r="46" spans="5:15" ht="15.5">
      <c r="E46" s="46" t="s">
        <v>13</v>
      </c>
      <c r="F46" s="56" t="str">
        <f>VLOOKUP(E46,'Sovereign Ratings (Moody''s,S&amp;P)'!A46:D202,4,FALSE)</f>
        <v>A2</v>
      </c>
      <c r="G46" s="48">
        <v>8.6999999999999994E-3</v>
      </c>
      <c r="H46" s="48">
        <f t="shared" si="2"/>
        <v>9.5999999999999992E-3</v>
      </c>
      <c r="I46" s="72">
        <f t="shared" si="1"/>
        <v>0.10344827586206895</v>
      </c>
      <c r="K46" s="46" t="s">
        <v>118</v>
      </c>
      <c r="L46" s="48">
        <v>4.7999999999999996E-3</v>
      </c>
      <c r="N46" s="31" t="s">
        <v>118</v>
      </c>
      <c r="O46" s="205">
        <v>3.7000000000000002E-3</v>
      </c>
    </row>
    <row r="47" spans="5:15" ht="15.5">
      <c r="E47" s="46" t="s">
        <v>14</v>
      </c>
      <c r="F47" s="56" t="str">
        <f>VLOOKUP(E47,'Sovereign Ratings (Moody''s,S&amp;P)'!A47:D203,4,FALSE)</f>
        <v>A3</v>
      </c>
      <c r="G47" s="48">
        <v>8.0999999999999996E-3</v>
      </c>
      <c r="H47" s="48">
        <f t="shared" si="2"/>
        <v>8.5000000000000006E-3</v>
      </c>
      <c r="I47" s="72">
        <f t="shared" si="1"/>
        <v>4.9382716049382935E-2</v>
      </c>
      <c r="K47" s="46" t="s">
        <v>119</v>
      </c>
      <c r="L47" s="48">
        <v>9.4000000000000004E-3</v>
      </c>
      <c r="N47" s="31" t="s">
        <v>119</v>
      </c>
      <c r="O47" s="205">
        <v>8.3000000000000001E-3</v>
      </c>
    </row>
    <row r="48" spans="5:15" ht="15.5">
      <c r="E48" s="46" t="s">
        <v>16</v>
      </c>
      <c r="F48" s="56" t="str">
        <f>VLOOKUP(E48,'Sovereign Ratings (Moody''s,S&amp;P)'!A48:D204,4,FALSE)</f>
        <v>Baa2</v>
      </c>
      <c r="G48" s="48">
        <v>1.7600000000000001E-2</v>
      </c>
      <c r="H48" s="48">
        <f t="shared" si="2"/>
        <v>2.2200000000000001E-2</v>
      </c>
      <c r="I48" s="72">
        <f t="shared" si="1"/>
        <v>0.26136363636363624</v>
      </c>
      <c r="K48" s="46" t="s">
        <v>120</v>
      </c>
      <c r="L48" s="48">
        <v>8.5000000000000006E-3</v>
      </c>
      <c r="N48" s="31" t="s">
        <v>120</v>
      </c>
      <c r="O48" s="205">
        <v>9.4000000000000004E-3</v>
      </c>
    </row>
    <row r="49" spans="5:15" ht="15.5">
      <c r="E49" s="46" t="s">
        <v>18</v>
      </c>
      <c r="F49" s="56" t="str">
        <f>VLOOKUP(E49,'Sovereign Ratings (Moody''s,S&amp;P)'!A49:D205,4,FALSE)</f>
        <v>Ba1</v>
      </c>
      <c r="G49" s="48">
        <v>1.35E-2</v>
      </c>
      <c r="H49" s="48">
        <f t="shared" si="2"/>
        <v>1.5100000000000001E-2</v>
      </c>
      <c r="I49" s="72">
        <f t="shared" si="1"/>
        <v>0.11851851851851847</v>
      </c>
      <c r="K49" s="46" t="s">
        <v>121</v>
      </c>
      <c r="L49" s="48" t="s">
        <v>142</v>
      </c>
      <c r="N49" s="31" t="s">
        <v>121</v>
      </c>
      <c r="O49" s="205" t="s">
        <v>142</v>
      </c>
    </row>
    <row r="50" spans="5:15" ht="15.5">
      <c r="E50" s="46" t="s">
        <v>135</v>
      </c>
      <c r="F50" s="56" t="str">
        <f>VLOOKUP(E50,'Sovereign Ratings (Moody''s,S&amp;P)'!A50:D206,4,FALSE)</f>
        <v>B1</v>
      </c>
      <c r="G50" s="48">
        <v>1.5900000000000001E-2</v>
      </c>
      <c r="H50" s="48">
        <f t="shared" si="2"/>
        <v>3.44E-2</v>
      </c>
      <c r="I50" s="72">
        <f t="shared" si="1"/>
        <v>1.1635220125786163</v>
      </c>
      <c r="K50" s="46" t="s">
        <v>13</v>
      </c>
      <c r="L50" s="48">
        <v>9.5999999999999992E-3</v>
      </c>
      <c r="N50" s="31" t="s">
        <v>13</v>
      </c>
      <c r="O50" s="205">
        <v>8.9999999999999993E-3</v>
      </c>
    </row>
    <row r="51" spans="5:15" ht="15.5">
      <c r="E51" s="46" t="s">
        <v>184</v>
      </c>
      <c r="F51" s="56" t="str">
        <f>VLOOKUP(E51,'Sovereign Ratings (Moody''s,S&amp;P)'!A51:D207,4,FALSE)</f>
        <v>Aaa</v>
      </c>
      <c r="G51" s="48">
        <v>1.9E-3</v>
      </c>
      <c r="H51" s="48">
        <f t="shared" si="2"/>
        <v>2.5000000000000001E-3</v>
      </c>
      <c r="I51" s="72">
        <f t="shared" si="1"/>
        <v>0.31578947368421062</v>
      </c>
      <c r="K51" s="46" t="s">
        <v>14</v>
      </c>
      <c r="L51" s="48">
        <v>8.5000000000000006E-3</v>
      </c>
      <c r="N51" s="31" t="s">
        <v>14</v>
      </c>
      <c r="O51" s="205">
        <v>8.6E-3</v>
      </c>
    </row>
    <row r="52" spans="5:15" ht="15.5">
      <c r="E52" s="46" t="s">
        <v>21</v>
      </c>
      <c r="F52" s="56" t="str">
        <f>VLOOKUP(E52,'Sovereign Ratings (Moody''s,S&amp;P)'!A52:D208,4,FALSE)</f>
        <v>Aaa</v>
      </c>
      <c r="G52" s="48">
        <v>2.0999999999999999E-3</v>
      </c>
      <c r="H52" s="48">
        <f t="shared" si="2"/>
        <v>2E-3</v>
      </c>
      <c r="I52" s="72">
        <f t="shared" si="1"/>
        <v>-4.7619047619047561E-2</v>
      </c>
      <c r="K52" s="46" t="s">
        <v>16</v>
      </c>
      <c r="L52" s="48">
        <v>2.2200000000000001E-2</v>
      </c>
      <c r="N52" s="31" t="s">
        <v>16</v>
      </c>
      <c r="O52" s="205">
        <v>1.6799999999999999E-2</v>
      </c>
    </row>
    <row r="53" spans="5:15" ht="15.5">
      <c r="E53" s="46" t="s">
        <v>22</v>
      </c>
      <c r="F53" s="56" t="str">
        <f>VLOOKUP(E53,'Sovereign Ratings (Moody''s,S&amp;P)'!A53:D209,4,FALSE)</f>
        <v>B2</v>
      </c>
      <c r="G53" s="158">
        <v>6.2399999999999997E-2</v>
      </c>
      <c r="H53" s="48">
        <f t="shared" si="2"/>
        <v>6.5699999999999995E-2</v>
      </c>
      <c r="I53" s="72">
        <f t="shared" si="1"/>
        <v>5.2884615384615419E-2</v>
      </c>
      <c r="K53" s="46" t="s">
        <v>63</v>
      </c>
      <c r="L53" s="48">
        <v>2.8899999999999999E-2</v>
      </c>
      <c r="N53" s="31" t="s">
        <v>63</v>
      </c>
      <c r="O53" s="205">
        <v>4.02E-2</v>
      </c>
    </row>
    <row r="54" spans="5:15" ht="15.5">
      <c r="E54" s="46" t="s">
        <v>185</v>
      </c>
      <c r="F54" s="56" t="str">
        <f>VLOOKUP(E54,'Sovereign Ratings (Moody''s,S&amp;P)'!A54:D210,4,FALSE)</f>
        <v>Caa1</v>
      </c>
      <c r="G54" s="48">
        <v>6.3399999999999998E-2</v>
      </c>
      <c r="H54" s="48">
        <f t="shared" si="2"/>
        <v>6.4399999999999999E-2</v>
      </c>
      <c r="I54" s="72">
        <f t="shared" si="1"/>
        <v>1.5772870662460692E-2</v>
      </c>
      <c r="K54" s="46" t="s">
        <v>18</v>
      </c>
      <c r="L54" s="48">
        <v>1.5100000000000001E-2</v>
      </c>
      <c r="N54" s="31" t="s">
        <v>18</v>
      </c>
      <c r="O54" s="205">
        <v>1.9E-2</v>
      </c>
    </row>
    <row r="55" spans="5:15" ht="15.5">
      <c r="E55" s="46" t="s">
        <v>23</v>
      </c>
      <c r="F55" s="56" t="str">
        <f>VLOOKUP(E55,'Sovereign Ratings (Moody''s,S&amp;P)'!A55:D211,4,FALSE)</f>
        <v>Aaa</v>
      </c>
      <c r="G55" s="48">
        <v>1.6999999999999999E-3</v>
      </c>
      <c r="H55" s="48">
        <f t="shared" si="2"/>
        <v>1.9E-3</v>
      </c>
      <c r="I55" s="72">
        <f t="shared" si="1"/>
        <v>0.11764705882352944</v>
      </c>
      <c r="K55" s="46" t="s">
        <v>135</v>
      </c>
      <c r="L55" s="48">
        <v>3.44E-2</v>
      </c>
      <c r="N55" s="31" t="s">
        <v>135</v>
      </c>
      <c r="O55" s="205">
        <v>2.1000000000000001E-2</v>
      </c>
    </row>
    <row r="56" spans="5:15" ht="15.5">
      <c r="E56" s="46" t="s">
        <v>24</v>
      </c>
      <c r="F56" s="56" t="str">
        <f>VLOOKUP(E56,'Sovereign Ratings (Moody''s,S&amp;P)'!A56:D212,4,FALSE)</f>
        <v>Ba1</v>
      </c>
      <c r="G56" s="48">
        <v>1.49E-2</v>
      </c>
      <c r="H56" s="48">
        <f t="shared" si="2"/>
        <v>1.6299999999999999E-2</v>
      </c>
      <c r="I56" s="72">
        <f t="shared" si="1"/>
        <v>9.3959731543624025E-2</v>
      </c>
      <c r="K56" s="198" t="s">
        <v>184</v>
      </c>
      <c r="L56" s="199">
        <v>2.5000000000000001E-3</v>
      </c>
      <c r="N56" s="31" t="s">
        <v>184</v>
      </c>
      <c r="O56" s="205">
        <v>2.3999999999999998E-3</v>
      </c>
    </row>
    <row r="57" spans="5:15" ht="15.5">
      <c r="E57" s="46" t="s">
        <v>25</v>
      </c>
      <c r="F57" s="56" t="str">
        <f>VLOOKUP(E57,'Sovereign Ratings (Moody''s,S&amp;P)'!A57:D213,4,FALSE)</f>
        <v>Caa2</v>
      </c>
      <c r="G57" s="48">
        <v>0.1678</v>
      </c>
      <c r="H57" s="48">
        <f t="shared" si="2"/>
        <v>0.16489999999999999</v>
      </c>
      <c r="I57" s="72">
        <f>IF(H57="NA","NA",IF(G57="NA","NA",H57/G57-1))</f>
        <v>-1.7282479141835561E-2</v>
      </c>
      <c r="K57" s="46" t="s">
        <v>21</v>
      </c>
      <c r="L57" s="48">
        <v>2E-3</v>
      </c>
      <c r="N57" s="31" t="s">
        <v>21</v>
      </c>
      <c r="O57" s="205">
        <v>2.8999999999999998E-3</v>
      </c>
    </row>
    <row r="58" spans="5:15" ht="15.5">
      <c r="E58" s="46" t="s">
        <v>26</v>
      </c>
      <c r="F58" s="56" t="str">
        <f>VLOOKUP(E58,'Sovereign Ratings (Moody''s,S&amp;P)'!A58:D214,4,FALSE)</f>
        <v>Baa3</v>
      </c>
      <c r="G58" s="48">
        <v>2.6100000000000002E-2</v>
      </c>
      <c r="H58" s="48">
        <f t="shared" si="2"/>
        <v>3.0800000000000001E-2</v>
      </c>
      <c r="I58" s="72">
        <f t="shared" ref="I58:I82" si="3">IF(H58="NA","NA",IF(G58="NA","NA",H58/G58-1))</f>
        <v>0.18007662835249039</v>
      </c>
      <c r="K58" s="46" t="s">
        <v>22</v>
      </c>
      <c r="L58" s="48">
        <v>6.5699999999999995E-2</v>
      </c>
      <c r="N58" s="31" t="s">
        <v>22</v>
      </c>
      <c r="O58" s="205">
        <v>4.8899999999999999E-2</v>
      </c>
    </row>
    <row r="59" spans="5:15" ht="15.5">
      <c r="E59" s="46" t="s">
        <v>28</v>
      </c>
      <c r="F59" s="56" t="str">
        <f>VLOOKUP(E59,'Sovereign Ratings (Moody''s,S&amp;P)'!A59:D215,4,FALSE)</f>
        <v>Baa1</v>
      </c>
      <c r="G59" s="48">
        <v>1.2800000000000001E-2</v>
      </c>
      <c r="H59" s="48">
        <f t="shared" si="2"/>
        <v>1.47E-2</v>
      </c>
      <c r="I59" s="72">
        <f t="shared" si="3"/>
        <v>0.1484375</v>
      </c>
      <c r="K59" s="46" t="s">
        <v>185</v>
      </c>
      <c r="L59" s="48">
        <v>6.4399999999999999E-2</v>
      </c>
      <c r="N59" s="31" t="s">
        <v>185</v>
      </c>
      <c r="O59" s="205">
        <v>6.4399999999999999E-2</v>
      </c>
    </row>
    <row r="60" spans="5:15" ht="15.5">
      <c r="E60" s="46" t="s">
        <v>29</v>
      </c>
      <c r="F60" s="56" t="str">
        <f>VLOOKUP(E60,'Sovereign Ratings (Moody''s,S&amp;P)'!A60:D216,4,FALSE)</f>
        <v>Baa2</v>
      </c>
      <c r="G60" s="48">
        <v>1.2200000000000001E-2</v>
      </c>
      <c r="H60" s="48">
        <f t="shared" si="2"/>
        <v>1.21E-2</v>
      </c>
      <c r="I60" s="72">
        <f t="shared" si="3"/>
        <v>-8.19672131147553E-3</v>
      </c>
      <c r="K60" s="46" t="s">
        <v>23</v>
      </c>
      <c r="L60" s="48">
        <v>1.9E-3</v>
      </c>
      <c r="N60" s="31" t="s">
        <v>23</v>
      </c>
      <c r="O60" s="205">
        <v>2.3999999999999998E-3</v>
      </c>
    </row>
    <row r="61" spans="5:15" ht="15.5">
      <c r="E61" s="46" t="s">
        <v>30</v>
      </c>
      <c r="F61" s="56" t="str">
        <f>VLOOKUP(E61,'Sovereign Ratings (Moody''s,S&amp;P)'!A61:D217,4,FALSE)</f>
        <v>A2</v>
      </c>
      <c r="G61" s="48">
        <v>1.01E-2</v>
      </c>
      <c r="H61" s="48">
        <f t="shared" si="2"/>
        <v>1.0500000000000001E-2</v>
      </c>
      <c r="I61" s="72">
        <f t="shared" si="3"/>
        <v>3.9603960396039639E-2</v>
      </c>
      <c r="K61" s="46" t="s">
        <v>24</v>
      </c>
      <c r="L61" s="48">
        <v>1.6299999999999999E-2</v>
      </c>
      <c r="N61" s="31" t="s">
        <v>24</v>
      </c>
      <c r="O61" s="205">
        <v>1.9199999999999998E-2</v>
      </c>
    </row>
    <row r="62" spans="5:15" ht="15.5">
      <c r="E62" s="46" t="s">
        <v>186</v>
      </c>
      <c r="F62" s="56" t="str">
        <f>VLOOKUP(E62,'Sovereign Ratings (Moody''s,S&amp;P)'!A62:D218,4,FALSE)</f>
        <v>A3</v>
      </c>
      <c r="G62" s="48">
        <v>6.6E-3</v>
      </c>
      <c r="H62" s="48">
        <f t="shared" si="2"/>
        <v>5.7999999999999996E-3</v>
      </c>
      <c r="I62" s="72">
        <f t="shared" si="3"/>
        <v>-0.12121212121212122</v>
      </c>
      <c r="K62" s="46" t="s">
        <v>25</v>
      </c>
      <c r="L62" s="158">
        <v>0.16489999999999999</v>
      </c>
      <c r="N62" s="31" t="s">
        <v>25</v>
      </c>
      <c r="O62" s="205" t="s">
        <v>142</v>
      </c>
    </row>
    <row r="63" spans="5:15" ht="15.5">
      <c r="E63" s="46" t="s">
        <v>73</v>
      </c>
      <c r="F63" s="56" t="str">
        <f>VLOOKUP(E63,'Sovereign Ratings (Moody''s,S&amp;P)'!A63:D219,4,FALSE)</f>
        <v>Aa2</v>
      </c>
      <c r="G63" s="48">
        <v>7.1000000000000004E-3</v>
      </c>
      <c r="H63" s="48">
        <f t="shared" si="2"/>
        <v>7.7000000000000002E-3</v>
      </c>
      <c r="I63" s="72">
        <f t="shared" si="3"/>
        <v>8.4507042253521014E-2</v>
      </c>
      <c r="K63" s="46" t="s">
        <v>26</v>
      </c>
      <c r="L63" s="48">
        <v>3.0800000000000001E-2</v>
      </c>
      <c r="N63" s="31" t="s">
        <v>26</v>
      </c>
      <c r="O63" s="205">
        <v>2.3099999999999999E-2</v>
      </c>
    </row>
    <row r="64" spans="5:15" ht="15.5">
      <c r="E64" s="46" t="s">
        <v>0</v>
      </c>
      <c r="F64" s="56" t="str">
        <f>VLOOKUP(E64,'Sovereign Ratings (Moody''s,S&amp;P)'!A64:D220,4,FALSE)</f>
        <v>Baa3</v>
      </c>
      <c r="G64" s="48">
        <v>1.9800000000000002E-2</v>
      </c>
      <c r="H64" s="48">
        <f t="shared" si="2"/>
        <v>2.3900000000000001E-2</v>
      </c>
      <c r="I64" s="72">
        <f t="shared" si="3"/>
        <v>0.20707070707070696</v>
      </c>
      <c r="K64" s="46" t="s">
        <v>28</v>
      </c>
      <c r="L64" s="48">
        <v>1.47E-2</v>
      </c>
      <c r="N64" s="31" t="s">
        <v>28</v>
      </c>
      <c r="O64" s="205">
        <v>1.37E-2</v>
      </c>
    </row>
    <row r="65" spans="5:15" ht="15.5">
      <c r="E65" s="46" t="s">
        <v>1</v>
      </c>
      <c r="F65" s="56" t="e">
        <f>VLOOKUP(E65,'Sovereign Ratings (Moody''s,S&amp;P)'!A65:D221,4,FALSE)</f>
        <v>#N/A</v>
      </c>
      <c r="G65" s="48" t="s">
        <v>142</v>
      </c>
      <c r="H65" s="48" t="str">
        <f t="shared" si="2"/>
        <v>NA</v>
      </c>
      <c r="I65" s="72" t="str">
        <f t="shared" si="3"/>
        <v>NA</v>
      </c>
      <c r="K65" s="46" t="s">
        <v>29</v>
      </c>
      <c r="L65" s="48">
        <v>1.21E-2</v>
      </c>
      <c r="N65" s="31" t="s">
        <v>29</v>
      </c>
      <c r="O65" s="205">
        <v>1.18E-2</v>
      </c>
    </row>
    <row r="66" spans="5:15" ht="15.5">
      <c r="E66" s="46" t="s">
        <v>224</v>
      </c>
      <c r="F66" s="56" t="str">
        <f>VLOOKUP(E66,'Sovereign Ratings (Moody''s,S&amp;P)'!A66:D222,4,FALSE)</f>
        <v>B2</v>
      </c>
      <c r="G66" s="48" t="s">
        <v>142</v>
      </c>
      <c r="H66" s="48">
        <f t="shared" si="2"/>
        <v>4.5499999999999999E-2</v>
      </c>
      <c r="I66" s="72" t="str">
        <f t="shared" si="3"/>
        <v>NA</v>
      </c>
      <c r="K66" s="46" t="s">
        <v>30</v>
      </c>
      <c r="L66" s="48">
        <v>1.0500000000000001E-2</v>
      </c>
      <c r="N66" s="31" t="s">
        <v>30</v>
      </c>
      <c r="O66" s="205">
        <v>1.06E-2</v>
      </c>
    </row>
    <row r="67" spans="5:15" ht="15.5">
      <c r="E67" s="46" t="s">
        <v>2</v>
      </c>
      <c r="F67" s="56" t="str">
        <f>VLOOKUP(E67,'Sovereign Ratings (Moody''s,S&amp;P)'!A67:D223,4,FALSE)</f>
        <v>Aa3</v>
      </c>
      <c r="G67" s="48">
        <v>8.2000000000000007E-3</v>
      </c>
      <c r="H67" s="48">
        <f t="shared" ref="H67:H83" si="4">VLOOKUP(E67,$K$2:$L$91,2,FALSE)</f>
        <v>1.0500000000000001E-2</v>
      </c>
      <c r="I67" s="72">
        <f t="shared" si="3"/>
        <v>0.28048780487804881</v>
      </c>
      <c r="K67" s="46" t="s">
        <v>186</v>
      </c>
      <c r="L67" s="48">
        <v>5.7999999999999996E-3</v>
      </c>
      <c r="N67" s="31" t="s">
        <v>186</v>
      </c>
      <c r="O67" s="205">
        <v>7.4999999999999997E-3</v>
      </c>
    </row>
    <row r="68" spans="5:15" ht="15.5">
      <c r="E68" s="46" t="s">
        <v>134</v>
      </c>
      <c r="F68" s="56" t="str">
        <f>VLOOKUP(E68,'Sovereign Ratings (Moody''s,S&amp;P)'!A68:D224,4,FALSE)</f>
        <v>B1</v>
      </c>
      <c r="G68" s="48">
        <v>5.3600000000000002E-2</v>
      </c>
      <c r="H68" s="48">
        <f t="shared" si="4"/>
        <v>6.2300000000000001E-2</v>
      </c>
      <c r="I68" s="72">
        <f t="shared" si="3"/>
        <v>0.16231343283582089</v>
      </c>
      <c r="K68" s="46" t="s">
        <v>73</v>
      </c>
      <c r="L68" s="48">
        <v>7.7000000000000002E-3</v>
      </c>
      <c r="N68" s="31" t="s">
        <v>73</v>
      </c>
      <c r="O68" s="205">
        <v>8.3000000000000001E-3</v>
      </c>
    </row>
    <row r="69" spans="5:15" ht="15.5">
      <c r="E69" s="46" t="s">
        <v>145</v>
      </c>
      <c r="F69" s="56" t="str">
        <f>VLOOKUP(E69,'Sovereign Ratings (Moody''s,S&amp;P)'!A69:D225,4,FALSE)</f>
        <v>Ba2</v>
      </c>
      <c r="G69" s="48">
        <v>2.3300000000000001E-2</v>
      </c>
      <c r="H69" s="48">
        <f t="shared" si="4"/>
        <v>1.26E-2</v>
      </c>
      <c r="I69" s="72">
        <f t="shared" si="3"/>
        <v>-0.45922746781115886</v>
      </c>
      <c r="K69" s="46" t="s">
        <v>0</v>
      </c>
      <c r="L69" s="48">
        <v>2.3900000000000001E-2</v>
      </c>
      <c r="N69" s="31" t="s">
        <v>0</v>
      </c>
      <c r="O69" s="205">
        <v>2.3099999999999999E-2</v>
      </c>
    </row>
    <row r="70" spans="5:15" ht="15.5">
      <c r="E70" s="46" t="s">
        <v>61</v>
      </c>
      <c r="F70" s="56" t="str">
        <f>VLOOKUP(E70,'Sovereign Ratings (Moody''s,S&amp;P)'!A70:D226,4,FALSE)</f>
        <v>A3</v>
      </c>
      <c r="G70" s="48">
        <v>4.7999999999999996E-3</v>
      </c>
      <c r="H70" s="48">
        <f t="shared" si="4"/>
        <v>5.4999999999999997E-3</v>
      </c>
      <c r="I70" s="72">
        <f t="shared" si="3"/>
        <v>0.14583333333333326</v>
      </c>
      <c r="K70" s="46" t="s">
        <v>1</v>
      </c>
      <c r="L70" s="48" t="s">
        <v>142</v>
      </c>
      <c r="N70" s="31" t="s">
        <v>1</v>
      </c>
      <c r="O70" s="205" t="s">
        <v>142</v>
      </c>
    </row>
    <row r="71" spans="5:15" ht="15.5">
      <c r="E71" s="46" t="s">
        <v>187</v>
      </c>
      <c r="F71" s="56" t="str">
        <f>VLOOKUP(E71,'Sovereign Ratings (Moody''s,S&amp;P)'!A71:D227,4,FALSE)</f>
        <v>A3</v>
      </c>
      <c r="G71" s="48">
        <v>6.1000000000000004E-3</v>
      </c>
      <c r="H71" s="48">
        <f t="shared" si="4"/>
        <v>7.1999999999999998E-3</v>
      </c>
      <c r="I71" s="72">
        <f t="shared" si="3"/>
        <v>0.18032786885245899</v>
      </c>
      <c r="K71" s="46" t="s">
        <v>224</v>
      </c>
      <c r="L71" s="48">
        <v>4.5499999999999999E-2</v>
      </c>
      <c r="N71" s="31" t="s">
        <v>224</v>
      </c>
      <c r="O71" s="205">
        <v>5.5300000000000002E-2</v>
      </c>
    </row>
    <row r="72" spans="5:15" ht="15.5">
      <c r="E72" s="46" t="s">
        <v>75</v>
      </c>
      <c r="F72" s="56" t="str">
        <f>VLOOKUP(E72,'Sovereign Ratings (Moody''s,S&amp;P)'!A72:D228,4,FALSE)</f>
        <v>Ba2</v>
      </c>
      <c r="G72" s="48">
        <v>3.1699999999999999E-2</v>
      </c>
      <c r="H72" s="48">
        <f t="shared" si="4"/>
        <v>0.03</v>
      </c>
      <c r="I72" s="72">
        <f t="shared" si="3"/>
        <v>-5.362776025236593E-2</v>
      </c>
      <c r="K72" s="46" t="s">
        <v>2</v>
      </c>
      <c r="L72" s="48">
        <v>1.0500000000000001E-2</v>
      </c>
      <c r="N72" s="31" t="s">
        <v>2</v>
      </c>
      <c r="O72" s="205">
        <v>8.5000000000000006E-3</v>
      </c>
    </row>
    <row r="73" spans="5:15" ht="15.5">
      <c r="E73" s="46" t="s">
        <v>137</v>
      </c>
      <c r="F73" s="56" t="str">
        <f>VLOOKUP(E73,'Sovereign Ratings (Moody''s,S&amp;P)'!A73:D229,4,FALSE)</f>
        <v>Baa1</v>
      </c>
      <c r="G73" s="48">
        <v>6.7999999999999996E-3</v>
      </c>
      <c r="H73" s="48">
        <f t="shared" si="4"/>
        <v>6.7000000000000002E-3</v>
      </c>
      <c r="I73" s="72">
        <f t="shared" si="3"/>
        <v>-1.4705882352941124E-2</v>
      </c>
      <c r="K73" s="46" t="s">
        <v>134</v>
      </c>
      <c r="L73" s="48">
        <v>6.2300000000000001E-2</v>
      </c>
      <c r="N73" s="31" t="s">
        <v>134</v>
      </c>
      <c r="O73" s="205">
        <v>6.8900000000000003E-2</v>
      </c>
    </row>
    <row r="74" spans="5:15" ht="15.5">
      <c r="E74" s="46" t="s">
        <v>34</v>
      </c>
      <c r="F74" s="56" t="str">
        <f>VLOOKUP(E74,'Sovereign Ratings (Moody''s,S&amp;P)'!A74:D230,4,FALSE)</f>
        <v>Aaa</v>
      </c>
      <c r="G74" s="48">
        <v>2E-3</v>
      </c>
      <c r="H74" s="48">
        <f t="shared" si="4"/>
        <v>2E-3</v>
      </c>
      <c r="I74" s="72">
        <f t="shared" si="3"/>
        <v>0</v>
      </c>
      <c r="K74" s="46" t="s">
        <v>145</v>
      </c>
      <c r="L74" s="48">
        <v>1.26E-2</v>
      </c>
      <c r="N74" s="31" t="s">
        <v>145</v>
      </c>
      <c r="O74" s="205">
        <v>2.86E-2</v>
      </c>
    </row>
    <row r="75" spans="5:15" ht="15.5">
      <c r="E75" s="46" t="s">
        <v>35</v>
      </c>
      <c r="F75" s="56" t="str">
        <f>VLOOKUP(E75,'Sovereign Ratings (Moody''s,S&amp;P)'!A75:D231,4,FALSE)</f>
        <v>Aaa</v>
      </c>
      <c r="G75" s="48">
        <v>8.0000000000000004E-4</v>
      </c>
      <c r="H75" s="48">
        <f t="shared" si="4"/>
        <v>1.4E-3</v>
      </c>
      <c r="I75" s="72">
        <f t="shared" si="3"/>
        <v>0.75</v>
      </c>
      <c r="K75" s="46" t="s">
        <v>61</v>
      </c>
      <c r="L75" s="48">
        <v>5.4999999999999997E-3</v>
      </c>
      <c r="N75" s="31" t="s">
        <v>61</v>
      </c>
      <c r="O75" s="205">
        <v>6.0000000000000001E-3</v>
      </c>
    </row>
    <row r="76" spans="5:15" ht="15.5">
      <c r="E76" s="46" t="s">
        <v>65</v>
      </c>
      <c r="F76" s="56" t="str">
        <f>VLOOKUP(E76,'Sovereign Ratings (Moody''s,S&amp;P)'!A76:D232,4,FALSE)</f>
        <v>Baa1</v>
      </c>
      <c r="G76" s="48">
        <v>6.8999999999999999E-3</v>
      </c>
      <c r="H76" s="48">
        <f t="shared" si="4"/>
        <v>7.0000000000000001E-3</v>
      </c>
      <c r="I76" s="72">
        <f t="shared" si="3"/>
        <v>1.449275362318847E-2</v>
      </c>
      <c r="K76" s="46" t="s">
        <v>187</v>
      </c>
      <c r="L76" s="48">
        <v>7.1999999999999998E-3</v>
      </c>
      <c r="N76" s="31" t="s">
        <v>187</v>
      </c>
      <c r="O76" s="205">
        <v>7.6E-3</v>
      </c>
    </row>
    <row r="77" spans="5:15" ht="15.5">
      <c r="E77" s="46" t="s">
        <v>76</v>
      </c>
      <c r="F77" s="56" t="str">
        <f>VLOOKUP(E77,'Sovereign Ratings (Moody''s,S&amp;P)'!A77:D233,4,FALSE)</f>
        <v>Caa2</v>
      </c>
      <c r="G77" s="48">
        <v>7.8899999999999998E-2</v>
      </c>
      <c r="H77" s="48">
        <f t="shared" si="4"/>
        <v>0.1024</v>
      </c>
      <c r="I77" s="72">
        <f t="shared" si="3"/>
        <v>0.29784537389100141</v>
      </c>
      <c r="K77" s="46" t="s">
        <v>75</v>
      </c>
      <c r="L77" s="48">
        <v>0.03</v>
      </c>
      <c r="N77" s="31" t="s">
        <v>75</v>
      </c>
      <c r="O77" s="205">
        <v>3.1600000000000003E-2</v>
      </c>
    </row>
    <row r="78" spans="5:15" ht="15.5">
      <c r="E78" s="46" t="s">
        <v>66</v>
      </c>
      <c r="F78" s="56" t="str">
        <f>VLOOKUP(E78,'Sovereign Ratings (Moody''s,S&amp;P)'!A78:D234,4,FALSE)</f>
        <v>B1</v>
      </c>
      <c r="G78" s="48">
        <v>3.7699999999999997E-2</v>
      </c>
      <c r="H78" s="48">
        <f t="shared" si="4"/>
        <v>3.6200000000000003E-2</v>
      </c>
      <c r="I78" s="72">
        <f t="shared" si="3"/>
        <v>-3.9787798408487896E-2</v>
      </c>
      <c r="K78" s="46" t="s">
        <v>137</v>
      </c>
      <c r="L78" s="48">
        <v>6.7000000000000002E-3</v>
      </c>
      <c r="N78" s="31" t="s">
        <v>137</v>
      </c>
      <c r="O78" s="205">
        <v>7.7999999999999996E-3</v>
      </c>
    </row>
    <row r="79" spans="5:15" ht="15.5">
      <c r="E79" s="46" t="s">
        <v>57</v>
      </c>
      <c r="F79" s="56" t="str">
        <f>VLOOKUP(E79,'Sovereign Ratings (Moody''s,S&amp;P)'!A79:D235,4,FALSE)</f>
        <v>Aa3</v>
      </c>
      <c r="G79" s="48">
        <v>4.1999999999999997E-3</v>
      </c>
      <c r="H79" s="48">
        <f t="shared" si="4"/>
        <v>3.8999999999999998E-3</v>
      </c>
      <c r="I79" s="72">
        <f t="shared" si="3"/>
        <v>-7.1428571428571397E-2</v>
      </c>
      <c r="K79" s="46" t="s">
        <v>133</v>
      </c>
      <c r="L79" s="48" t="s">
        <v>142</v>
      </c>
      <c r="N79" s="31" t="s">
        <v>133</v>
      </c>
      <c r="O79" s="205">
        <v>0.59360000000000002</v>
      </c>
    </row>
    <row r="80" spans="5:15" ht="15.5">
      <c r="E80" s="46" t="s">
        <v>348</v>
      </c>
      <c r="F80" s="56" t="str">
        <f>VLOOKUP(E80,'Sovereign Ratings (Moody''s,S&amp;P)'!A80:D236,4,FALSE)</f>
        <v>Aaa</v>
      </c>
      <c r="G80" s="48">
        <v>4.5999999999999999E-3</v>
      </c>
      <c r="H80" s="48">
        <f t="shared" si="4"/>
        <v>4.1000000000000003E-3</v>
      </c>
      <c r="I80" s="72">
        <f t="shared" si="3"/>
        <v>-0.10869565217391297</v>
      </c>
      <c r="K80" s="46" t="s">
        <v>34</v>
      </c>
      <c r="L80" s="48">
        <v>2E-3</v>
      </c>
      <c r="N80" s="31" t="s">
        <v>34</v>
      </c>
      <c r="O80" s="205">
        <v>2.8E-3</v>
      </c>
    </row>
    <row r="81" spans="5:15" ht="15.5">
      <c r="E81" s="46" t="s">
        <v>69</v>
      </c>
      <c r="F81" s="56" t="str">
        <f>VLOOKUP(E81,'Sovereign Ratings (Moody''s,S&amp;P)'!A81:D237,4,FALSE)</f>
        <v>Baa1</v>
      </c>
      <c r="G81" s="48">
        <v>1.0800000000000001E-2</v>
      </c>
      <c r="H81" s="48">
        <f t="shared" si="4"/>
        <v>1.2699999999999999E-2</v>
      </c>
      <c r="I81" s="72">
        <f t="shared" si="3"/>
        <v>0.17592592592592582</v>
      </c>
      <c r="K81" s="46" t="s">
        <v>35</v>
      </c>
      <c r="L81" s="48">
        <v>1.4E-3</v>
      </c>
      <c r="N81" s="31" t="s">
        <v>35</v>
      </c>
      <c r="O81" s="205">
        <v>2.2000000000000001E-3</v>
      </c>
    </row>
    <row r="82" spans="5:15" ht="15.5">
      <c r="E82" s="46" t="s">
        <v>71</v>
      </c>
      <c r="F82" s="56" t="str">
        <f>VLOOKUP(E82,'Sovereign Ratings (Moody''s,S&amp;P)'!A82:D238,4,FALSE)</f>
        <v>Ba2</v>
      </c>
      <c r="G82" s="48">
        <v>1.7600000000000001E-2</v>
      </c>
      <c r="H82" s="48">
        <f t="shared" si="4"/>
        <v>1.6500000000000001E-2</v>
      </c>
      <c r="I82" s="72">
        <f t="shared" si="3"/>
        <v>-6.25E-2</v>
      </c>
      <c r="K82" s="46" t="s">
        <v>65</v>
      </c>
      <c r="L82" s="48">
        <v>7.0000000000000001E-3</v>
      </c>
      <c r="N82" s="31" t="s">
        <v>65</v>
      </c>
      <c r="O82" s="205">
        <v>6.4999999999999997E-3</v>
      </c>
    </row>
    <row r="83" spans="5:15" ht="15.5">
      <c r="E83" s="114" t="s">
        <v>146</v>
      </c>
      <c r="F83" s="114"/>
      <c r="G83"/>
      <c r="H83" s="48" t="e">
        <f t="shared" si="4"/>
        <v>#N/A</v>
      </c>
      <c r="I83" s="115">
        <f>AVERAGE(I2:I82)</f>
        <v>7.2944573788587666E-2</v>
      </c>
      <c r="K83" s="46" t="s">
        <v>76</v>
      </c>
      <c r="L83" s="48">
        <v>0.1024</v>
      </c>
      <c r="N83" s="31" t="s">
        <v>76</v>
      </c>
      <c r="O83" s="205">
        <v>9.7799999999999998E-2</v>
      </c>
    </row>
    <row r="84" spans="5:15" ht="15.5">
      <c r="E84" s="114" t="s">
        <v>147</v>
      </c>
      <c r="F84" s="114"/>
      <c r="G84"/>
      <c r="I84" s="115">
        <f>MEDIAN(I2:I82)</f>
        <v>5.2631578947368363E-2</v>
      </c>
      <c r="K84" s="46" t="s">
        <v>66</v>
      </c>
      <c r="L84" s="48">
        <v>3.6200000000000003E-2</v>
      </c>
      <c r="N84" s="31" t="s">
        <v>66</v>
      </c>
      <c r="O84" s="205">
        <v>3.8600000000000002E-2</v>
      </c>
    </row>
    <row r="85" spans="5:15" ht="15.5">
      <c r="K85" s="46" t="s">
        <v>68</v>
      </c>
      <c r="L85" s="48" t="s">
        <v>142</v>
      </c>
      <c r="N85" s="31" t="s">
        <v>68</v>
      </c>
      <c r="O85" s="205" t="s">
        <v>142</v>
      </c>
    </row>
    <row r="86" spans="5:15" ht="15.5">
      <c r="K86" s="46" t="s">
        <v>57</v>
      </c>
      <c r="L86" s="48">
        <v>3.8999999999999998E-3</v>
      </c>
      <c r="N86" s="31" t="s">
        <v>57</v>
      </c>
      <c r="O86" s="205">
        <v>5.1000000000000004E-3</v>
      </c>
    </row>
    <row r="87" spans="5:15" ht="15.5">
      <c r="K87" s="46" t="s">
        <v>348</v>
      </c>
      <c r="L87" s="48">
        <v>4.1000000000000003E-3</v>
      </c>
      <c r="N87" s="31" t="s">
        <v>348</v>
      </c>
      <c r="O87" s="205">
        <v>5.7999999999999996E-3</v>
      </c>
    </row>
    <row r="88" spans="5:15" ht="15.5">
      <c r="K88" s="46" t="s">
        <v>69</v>
      </c>
      <c r="L88" s="48">
        <v>1.2699999999999999E-2</v>
      </c>
      <c r="N88" s="31" t="s">
        <v>69</v>
      </c>
      <c r="O88" s="205">
        <v>1.14E-2</v>
      </c>
    </row>
    <row r="89" spans="5:15" ht="15.5">
      <c r="K89" s="46" t="s">
        <v>70</v>
      </c>
      <c r="L89" s="48">
        <v>0.1008</v>
      </c>
      <c r="N89" s="31" t="s">
        <v>70</v>
      </c>
      <c r="O89" s="205">
        <v>0.1125</v>
      </c>
    </row>
    <row r="90" spans="5:15">
      <c r="K90" t="s">
        <v>71</v>
      </c>
      <c r="L90" s="63">
        <v>1.6500000000000001E-2</v>
      </c>
      <c r="N90" s="31" t="s">
        <v>71</v>
      </c>
      <c r="O90" s="205">
        <v>1.84E-2</v>
      </c>
    </row>
    <row r="91" spans="5:15">
      <c r="K91" t="s">
        <v>189</v>
      </c>
      <c r="L91" s="63" t="s">
        <v>142</v>
      </c>
      <c r="N91" s="31" t="s">
        <v>189</v>
      </c>
      <c r="O91" s="205" t="s">
        <v>142</v>
      </c>
    </row>
  </sheetData>
  <pageMargins left="0.75" right="0.75" top="1" bottom="1" header="0.3" footer="0.3"/>
  <pageSetup orientation="landscape" horizontalDpi="0" verticalDpi="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58"/>
  <sheetViews>
    <sheetView workbookViewId="0">
      <selection activeCell="D3" sqref="D3:D158"/>
    </sheetView>
  </sheetViews>
  <sheetFormatPr defaultColWidth="11.19921875" defaultRowHeight="12.5"/>
  <cols>
    <col min="1" max="1" width="24.796875" style="31" bestFit="1" customWidth="1"/>
    <col min="2" max="2" width="19" style="31" customWidth="1"/>
    <col min="3" max="3" width="19.296875" style="31" customWidth="1"/>
    <col min="4" max="4" width="28.19921875" style="31" customWidth="1"/>
    <col min="8" max="8" width="19.69921875" customWidth="1"/>
    <col min="9" max="9" width="12.19921875" style="47" bestFit="1" customWidth="1"/>
    <col min="10" max="10" width="10.796875" style="25"/>
  </cols>
  <sheetData>
    <row r="1" spans="1:5" ht="31">
      <c r="A1" s="66" t="s">
        <v>74</v>
      </c>
      <c r="B1" s="67" t="s">
        <v>268</v>
      </c>
      <c r="C1" s="117" t="s">
        <v>552</v>
      </c>
      <c r="D1" s="67" t="s">
        <v>297</v>
      </c>
      <c r="E1" s="74"/>
    </row>
    <row r="2" spans="1:5" ht="15.5">
      <c r="A2" s="46" t="str">
        <f>'Sovereign Ratings (Moody''s,S&amp;P)'!A2</f>
        <v>Abu Dhabi</v>
      </c>
      <c r="B2" s="56" t="str">
        <f>'Sovereign Ratings (Moody''s,S&amp;P)'!D2</f>
        <v>Aa2</v>
      </c>
      <c r="C2" s="118">
        <f>VLOOKUP(A2,$H$24:$J$113,2,FALSE)</f>
        <v>7.6E-3</v>
      </c>
      <c r="D2" s="57">
        <f>IF(C2="NA","NA",IF(C2&gt;$C$153,C2-$C$153,0))</f>
        <v>3.4999999999999996E-3</v>
      </c>
    </row>
    <row r="3" spans="1:5" ht="15.5">
      <c r="A3" s="46" t="str">
        <f>'Sovereign Ratings (Moody''s,S&amp;P)'!A3</f>
        <v>Albania</v>
      </c>
      <c r="B3" s="56" t="str">
        <f>'Sovereign Ratings (Moody''s,S&amp;P)'!D3</f>
        <v>Ba3</v>
      </c>
      <c r="C3" s="118" t="s">
        <v>142</v>
      </c>
      <c r="D3" s="57" t="str">
        <f t="shared" ref="D3:D66" si="0">IF(C3="NA","NA",IF(C3&gt;$C$153,C3-$C$153,0))</f>
        <v>NA</v>
      </c>
    </row>
    <row r="4" spans="1:5" ht="15.5">
      <c r="A4" s="46" t="str">
        <f>'Sovereign Ratings (Moody''s,S&amp;P)'!A4</f>
        <v>Andorra (Principality of)</v>
      </c>
      <c r="B4" s="56" t="str">
        <f>'Sovereign Ratings (Moody''s,S&amp;P)'!D4</f>
        <v>Baa1</v>
      </c>
      <c r="C4" s="118" t="s">
        <v>142</v>
      </c>
      <c r="D4" s="57" t="str">
        <f t="shared" si="0"/>
        <v>NA</v>
      </c>
    </row>
    <row r="5" spans="1:5" ht="15.5">
      <c r="A5" s="46" t="str">
        <f>'Sovereign Ratings (Moody''s,S&amp;P)'!A5</f>
        <v>Angola</v>
      </c>
      <c r="B5" s="56" t="str">
        <f>'Sovereign Ratings (Moody''s,S&amp;P)'!D5</f>
        <v>B3</v>
      </c>
      <c r="C5" s="118">
        <f>VLOOKUP(A5,$H$24:$J$113,2,FALSE)</f>
        <v>6.7400000000000002E-2</v>
      </c>
      <c r="D5" s="57">
        <f t="shared" si="0"/>
        <v>6.3299999999999995E-2</v>
      </c>
    </row>
    <row r="6" spans="1:5" ht="15.5">
      <c r="A6" s="46" t="str">
        <f>'Sovereign Ratings (Moody''s,S&amp;P)'!A6</f>
        <v>Argentina</v>
      </c>
      <c r="B6" s="56" t="str">
        <f>'Sovereign Ratings (Moody''s,S&amp;P)'!D6</f>
        <v>Ca</v>
      </c>
      <c r="C6" s="118" t="s">
        <v>142</v>
      </c>
      <c r="D6" s="57" t="str">
        <f t="shared" si="0"/>
        <v>NA</v>
      </c>
    </row>
    <row r="7" spans="1:5" ht="15.5">
      <c r="A7" s="46" t="str">
        <f>'Sovereign Ratings (Moody''s,S&amp;P)'!A7</f>
        <v>Armenia</v>
      </c>
      <c r="B7" s="56" t="str">
        <f>'Sovereign Ratings (Moody''s,S&amp;P)'!D7</f>
        <v>Ba3</v>
      </c>
      <c r="C7" s="118" t="s">
        <v>142</v>
      </c>
      <c r="D7" s="57" t="str">
        <f t="shared" si="0"/>
        <v>NA</v>
      </c>
    </row>
    <row r="8" spans="1:5" ht="15.5">
      <c r="A8" s="46" t="str">
        <f>'Sovereign Ratings (Moody''s,S&amp;P)'!A8</f>
        <v>Aruba</v>
      </c>
      <c r="B8" s="56" t="str">
        <f>'Sovereign Ratings (Moody''s,S&amp;P)'!D8</f>
        <v>Baa3</v>
      </c>
      <c r="C8" s="118" t="s">
        <v>142</v>
      </c>
      <c r="D8" s="57" t="str">
        <f t="shared" si="0"/>
        <v>NA</v>
      </c>
    </row>
    <row r="9" spans="1:5" ht="15.5">
      <c r="A9" s="46" t="str">
        <f>'Sovereign Ratings (Moody''s,S&amp;P)'!A9</f>
        <v>Australia</v>
      </c>
      <c r="B9" s="56" t="str">
        <f>'Sovereign Ratings (Moody''s,S&amp;P)'!D9</f>
        <v>Aaa</v>
      </c>
      <c r="C9" s="118">
        <f>VLOOKUP(A9,$H$24:$J$113,2,FALSE)</f>
        <v>1.8E-3</v>
      </c>
      <c r="D9" s="57">
        <f t="shared" si="0"/>
        <v>0</v>
      </c>
    </row>
    <row r="10" spans="1:5" ht="15.5">
      <c r="A10" s="46" t="str">
        <f>'Sovereign Ratings (Moody''s,S&amp;P)'!A10</f>
        <v>Austria</v>
      </c>
      <c r="B10" s="56" t="str">
        <f>'Sovereign Ratings (Moody''s,S&amp;P)'!D10</f>
        <v>Aa1</v>
      </c>
      <c r="C10" s="118">
        <f>VLOOKUP(A10,$H$24:$J$113,2,FALSE)</f>
        <v>2.5999999999999999E-3</v>
      </c>
      <c r="D10" s="57">
        <f t="shared" si="0"/>
        <v>0</v>
      </c>
    </row>
    <row r="11" spans="1:5" ht="15.5">
      <c r="A11" s="46" t="str">
        <f>'Sovereign Ratings (Moody''s,S&amp;P)'!A11</f>
        <v>Azerbaijan</v>
      </c>
      <c r="B11" s="56" t="str">
        <f>'Sovereign Ratings (Moody''s,S&amp;P)'!D11</f>
        <v>Ba1</v>
      </c>
      <c r="C11" s="118" t="s">
        <v>142</v>
      </c>
      <c r="D11" s="57" t="str">
        <f t="shared" si="0"/>
        <v>NA</v>
      </c>
    </row>
    <row r="12" spans="1:5" ht="15.5">
      <c r="A12" s="46" t="str">
        <f>'Sovereign Ratings (Moody''s,S&amp;P)'!A12</f>
        <v>Bahamas</v>
      </c>
      <c r="B12" s="56" t="str">
        <f>'Sovereign Ratings (Moody''s,S&amp;P)'!D12</f>
        <v>B1</v>
      </c>
      <c r="C12" s="118" t="s">
        <v>142</v>
      </c>
      <c r="D12" s="57" t="str">
        <f t="shared" si="0"/>
        <v>NA</v>
      </c>
    </row>
    <row r="13" spans="1:5" ht="15.5">
      <c r="A13" s="46" t="str">
        <f>'Sovereign Ratings (Moody''s,S&amp;P)'!A13</f>
        <v>Bahrain</v>
      </c>
      <c r="B13" s="56" t="str">
        <f>'Sovereign Ratings (Moody''s,S&amp;P)'!D13</f>
        <v>B2</v>
      </c>
      <c r="C13" s="118">
        <f>VLOOKUP(A13,$H$24:$J$113,2,FALSE)</f>
        <v>2.5100000000000001E-2</v>
      </c>
      <c r="D13" s="57">
        <f t="shared" si="0"/>
        <v>2.1000000000000001E-2</v>
      </c>
    </row>
    <row r="14" spans="1:5" ht="15.5">
      <c r="A14" s="46" t="str">
        <f>'Sovereign Ratings (Moody''s,S&amp;P)'!A14</f>
        <v>Bangladesh</v>
      </c>
      <c r="B14" s="56" t="str">
        <f>'Sovereign Ratings (Moody''s,S&amp;P)'!D14</f>
        <v>B2</v>
      </c>
      <c r="C14" s="118" t="s">
        <v>142</v>
      </c>
      <c r="D14" s="57" t="str">
        <f t="shared" si="0"/>
        <v>NA</v>
      </c>
    </row>
    <row r="15" spans="1:5" ht="15.5">
      <c r="A15" s="46" t="str">
        <f>'Sovereign Ratings (Moody''s,S&amp;P)'!A15</f>
        <v>Barbados</v>
      </c>
      <c r="B15" s="56" t="str">
        <f>'Sovereign Ratings (Moody''s,S&amp;P)'!D15</f>
        <v>B3</v>
      </c>
      <c r="C15" s="118" t="s">
        <v>142</v>
      </c>
      <c r="D15" s="57" t="str">
        <f t="shared" si="0"/>
        <v>NA</v>
      </c>
    </row>
    <row r="16" spans="1:5" ht="15.5">
      <c r="A16" s="46" t="str">
        <f>'Sovereign Ratings (Moody''s,S&amp;P)'!A16</f>
        <v>Belarus</v>
      </c>
      <c r="B16" s="56" t="str">
        <f>'Sovereign Ratings (Moody''s,S&amp;P)'!D16</f>
        <v>C</v>
      </c>
      <c r="C16" s="118" t="s">
        <v>142</v>
      </c>
      <c r="D16" s="57" t="str">
        <f t="shared" si="0"/>
        <v>NA</v>
      </c>
    </row>
    <row r="17" spans="1:10" ht="15.5">
      <c r="A17" s="46" t="str">
        <f>'Sovereign Ratings (Moody''s,S&amp;P)'!A17</f>
        <v>Belgium</v>
      </c>
      <c r="B17" s="56" t="str">
        <f>'Sovereign Ratings (Moody''s,S&amp;P)'!D17</f>
        <v>Aa3</v>
      </c>
      <c r="C17" s="118">
        <f>VLOOKUP(A17,$H$24:$J$113,2,FALSE)</f>
        <v>4.3E-3</v>
      </c>
      <c r="D17" s="57">
        <f t="shared" si="0"/>
        <v>1.9999999999999966E-4</v>
      </c>
    </row>
    <row r="18" spans="1:10" ht="15.5">
      <c r="A18" s="46" t="str">
        <f>'Sovereign Ratings (Moody''s,S&amp;P)'!A18</f>
        <v>Belize</v>
      </c>
      <c r="B18" s="56" t="str">
        <f>'Sovereign Ratings (Moody''s,S&amp;P)'!D18</f>
        <v>Caa1</v>
      </c>
      <c r="C18" s="118" t="s">
        <v>142</v>
      </c>
      <c r="D18" s="57" t="str">
        <f t="shared" si="0"/>
        <v>NA</v>
      </c>
    </row>
    <row r="19" spans="1:10" ht="15.5">
      <c r="A19" s="46" t="str">
        <f>'Sovereign Ratings (Moody''s,S&amp;P)'!A19</f>
        <v>Benin</v>
      </c>
      <c r="B19" s="56" t="str">
        <f>'Sovereign Ratings (Moody''s,S&amp;P)'!D19</f>
        <v>B1</v>
      </c>
      <c r="C19" s="118" t="s">
        <v>142</v>
      </c>
      <c r="D19" s="57" t="str">
        <f t="shared" si="0"/>
        <v>NA</v>
      </c>
    </row>
    <row r="20" spans="1:10" ht="15.5">
      <c r="A20" s="46" t="str">
        <f>'Sovereign Ratings (Moody''s,S&amp;P)'!A20</f>
        <v>Bermuda</v>
      </c>
      <c r="B20" s="56" t="str">
        <f>'Sovereign Ratings (Moody''s,S&amp;P)'!D20</f>
        <v>A2</v>
      </c>
      <c r="C20" s="118" t="s">
        <v>142</v>
      </c>
      <c r="D20" s="57" t="str">
        <f t="shared" si="0"/>
        <v>NA</v>
      </c>
    </row>
    <row r="21" spans="1:10" ht="15.5">
      <c r="A21" s="46" t="str">
        <f>'Sovereign Ratings (Moody''s,S&amp;P)'!A21</f>
        <v>Bolivia</v>
      </c>
      <c r="B21" s="56" t="str">
        <f>'Sovereign Ratings (Moody''s,S&amp;P)'!D21</f>
        <v>Caa3</v>
      </c>
      <c r="C21" s="118" t="s">
        <v>142</v>
      </c>
      <c r="D21" s="57" t="str">
        <f t="shared" si="0"/>
        <v>NA</v>
      </c>
    </row>
    <row r="22" spans="1:10" ht="15.5">
      <c r="A22" s="46" t="str">
        <f>'Sovereign Ratings (Moody''s,S&amp;P)'!A22</f>
        <v>Bosnia and Herzegovina</v>
      </c>
      <c r="B22" s="56" t="str">
        <f>'Sovereign Ratings (Moody''s,S&amp;P)'!D22</f>
        <v>B3</v>
      </c>
      <c r="C22" s="118" t="s">
        <v>142</v>
      </c>
      <c r="D22" s="57" t="str">
        <f t="shared" si="0"/>
        <v>NA</v>
      </c>
    </row>
    <row r="23" spans="1:10" ht="19" customHeight="1">
      <c r="A23" s="46" t="str">
        <f>'Sovereign Ratings (Moody''s,S&amp;P)'!A23</f>
        <v>Botswana</v>
      </c>
      <c r="B23" s="56" t="str">
        <f>'Sovereign Ratings (Moody''s,S&amp;P)'!D23</f>
        <v>A3</v>
      </c>
      <c r="C23" s="118" t="s">
        <v>142</v>
      </c>
      <c r="D23" s="57" t="str">
        <f t="shared" si="0"/>
        <v>NA</v>
      </c>
      <c r="H23" s="66" t="s">
        <v>74</v>
      </c>
      <c r="I23" s="136">
        <v>44196</v>
      </c>
      <c r="J23" s="119" t="s">
        <v>438</v>
      </c>
    </row>
    <row r="24" spans="1:10" ht="15.5">
      <c r="A24" s="46" t="str">
        <f>'Sovereign Ratings (Moody''s,S&amp;P)'!A24</f>
        <v>Brazil</v>
      </c>
      <c r="B24" s="56" t="str">
        <f>'Sovereign Ratings (Moody''s,S&amp;P)'!D24</f>
        <v>Ba1</v>
      </c>
      <c r="C24" s="118">
        <f>VLOOKUP(A24,$H$24:$J$113,2,FALSE)</f>
        <v>3.2300000000000002E-2</v>
      </c>
      <c r="D24" s="57">
        <f t="shared" si="0"/>
        <v>2.8200000000000003E-2</v>
      </c>
      <c r="H24" s="46" t="s">
        <v>269</v>
      </c>
      <c r="I24" s="48">
        <v>7.6E-3</v>
      </c>
      <c r="J24" s="24">
        <f>IF(I24="NA","NA",IF(I24&lt;$I$109,0,I24-$I$109))</f>
        <v>3.4999999999999996E-3</v>
      </c>
    </row>
    <row r="25" spans="1:10" ht="15.5">
      <c r="A25" s="46" t="str">
        <f>'Sovereign Ratings (Moody''s,S&amp;P)'!A25</f>
        <v>Bulgaria</v>
      </c>
      <c r="B25" s="56" t="str">
        <f>'Sovereign Ratings (Moody''s,S&amp;P)'!D25</f>
        <v>Baa1</v>
      </c>
      <c r="C25" s="118">
        <f>VLOOKUP(A25,$H$24:$J$113,2,FALSE)</f>
        <v>1.43E-2</v>
      </c>
      <c r="D25" s="57">
        <f t="shared" si="0"/>
        <v>1.0200000000000001E-2</v>
      </c>
      <c r="H25" s="46" t="s">
        <v>332</v>
      </c>
      <c r="I25" s="48">
        <v>1.47E-2</v>
      </c>
      <c r="J25" s="24">
        <f t="shared" ref="J25:J88" si="1">IF(I25="NA","NA",IF(I25&lt;$I$109,0,I25-$I$109))</f>
        <v>1.0599999999999998E-2</v>
      </c>
    </row>
    <row r="26" spans="1:10" ht="15.5">
      <c r="A26" s="46" t="str">
        <f>'Sovereign Ratings (Moody''s,S&amp;P)'!A26</f>
        <v>Burkina Faso</v>
      </c>
      <c r="B26" s="56" t="str">
        <f>'Sovereign Ratings (Moody''s,S&amp;P)'!D26</f>
        <v>Caa1</v>
      </c>
      <c r="C26" s="118" t="s">
        <v>142</v>
      </c>
      <c r="D26" s="57" t="str">
        <f t="shared" si="0"/>
        <v>NA</v>
      </c>
      <c r="H26" s="46" t="s">
        <v>130</v>
      </c>
      <c r="I26" s="48">
        <v>6.7400000000000002E-2</v>
      </c>
      <c r="J26" s="24">
        <f t="shared" si="1"/>
        <v>6.3299999999999995E-2</v>
      </c>
    </row>
    <row r="27" spans="1:10" ht="15.5">
      <c r="A27" s="46" t="str">
        <f>'Sovereign Ratings (Moody''s,S&amp;P)'!A27</f>
        <v>Cambodia</v>
      </c>
      <c r="B27" s="56" t="str">
        <f>'Sovereign Ratings (Moody''s,S&amp;P)'!D27</f>
        <v>B2</v>
      </c>
      <c r="C27" s="118" t="s">
        <v>142</v>
      </c>
      <c r="D27" s="57" t="str">
        <f t="shared" si="0"/>
        <v>NA</v>
      </c>
      <c r="H27" s="46" t="s">
        <v>83</v>
      </c>
      <c r="I27" s="199">
        <v>0.1084</v>
      </c>
      <c r="J27" s="24">
        <f t="shared" si="1"/>
        <v>0.10429999999999999</v>
      </c>
    </row>
    <row r="28" spans="1:10" ht="15.5">
      <c r="A28" s="46" t="str">
        <f>'Sovereign Ratings (Moody''s,S&amp;P)'!A28</f>
        <v>Cameroon</v>
      </c>
      <c r="B28" s="56" t="str">
        <f>'Sovereign Ratings (Moody''s,S&amp;P)'!D28</f>
        <v>Caa1</v>
      </c>
      <c r="C28" s="118">
        <f>VLOOKUP(A28,$H$24:$J$113,2,FALSE)</f>
        <v>7.0699999999999999E-2</v>
      </c>
      <c r="D28" s="57">
        <f t="shared" si="0"/>
        <v>6.6599999999999993E-2</v>
      </c>
      <c r="H28" s="46" t="s">
        <v>84</v>
      </c>
      <c r="I28" s="48">
        <v>1.8E-3</v>
      </c>
      <c r="J28" s="24">
        <f t="shared" si="1"/>
        <v>0</v>
      </c>
    </row>
    <row r="29" spans="1:10" ht="15.5">
      <c r="A29" s="46" t="str">
        <f>'Sovereign Ratings (Moody''s,S&amp;P)'!A29</f>
        <v>Canada</v>
      </c>
      <c r="B29" s="56" t="str">
        <f>'Sovereign Ratings (Moody''s,S&amp;P)'!D29</f>
        <v>Aaa</v>
      </c>
      <c r="C29" s="118">
        <f>VLOOKUP(A29,$H$24:$J$113,2,FALSE)</f>
        <v>3.8E-3</v>
      </c>
      <c r="D29" s="57">
        <f t="shared" si="0"/>
        <v>0</v>
      </c>
      <c r="H29" s="46" t="s">
        <v>173</v>
      </c>
      <c r="I29" s="48">
        <v>2.5999999999999999E-3</v>
      </c>
      <c r="J29" s="24">
        <f t="shared" si="1"/>
        <v>0</v>
      </c>
    </row>
    <row r="30" spans="1:10" ht="15.5">
      <c r="A30" s="46" t="str">
        <f>'Sovereign Ratings (Moody''s,S&amp;P)'!A30</f>
        <v>Cape Verde</v>
      </c>
      <c r="B30" s="56" t="str">
        <f>'Sovereign Ratings (Moody''s,S&amp;P)'!D30</f>
        <v>B2</v>
      </c>
      <c r="C30" s="118" t="s">
        <v>142</v>
      </c>
      <c r="D30" s="57" t="str">
        <f t="shared" si="0"/>
        <v>NA</v>
      </c>
      <c r="H30" s="46" t="s">
        <v>86</v>
      </c>
      <c r="I30" s="48">
        <v>2.5100000000000001E-2</v>
      </c>
      <c r="J30" s="24">
        <f t="shared" si="1"/>
        <v>2.1000000000000001E-2</v>
      </c>
    </row>
    <row r="31" spans="1:10" ht="15.5">
      <c r="A31" s="46" t="str">
        <f>'Sovereign Ratings (Moody''s,S&amp;P)'!A31</f>
        <v>Cayman Islands</v>
      </c>
      <c r="B31" s="56" t="str">
        <f>'Sovereign Ratings (Moody''s,S&amp;P)'!D31</f>
        <v>Aa3</v>
      </c>
      <c r="C31" s="118" t="s">
        <v>142</v>
      </c>
      <c r="D31" s="57" t="str">
        <f t="shared" si="0"/>
        <v>NA</v>
      </c>
      <c r="H31" s="46" t="s">
        <v>174</v>
      </c>
      <c r="I31" s="48">
        <v>4.3E-3</v>
      </c>
      <c r="J31" s="24">
        <f t="shared" si="1"/>
        <v>1.9999999999999966E-4</v>
      </c>
    </row>
    <row r="32" spans="1:10" ht="15.5">
      <c r="A32" s="46" t="str">
        <f>'Sovereign Ratings (Moody''s,S&amp;P)'!A32</f>
        <v>Chile</v>
      </c>
      <c r="B32" s="56" t="str">
        <f>'Sovereign Ratings (Moody''s,S&amp;P)'!D32</f>
        <v>A2</v>
      </c>
      <c r="C32" s="118">
        <f>VLOOKUP(A32,$H$24:$J$113,2,FALSE)</f>
        <v>1.17E-2</v>
      </c>
      <c r="D32" s="57">
        <f t="shared" si="0"/>
        <v>7.6E-3</v>
      </c>
      <c r="H32" s="46" t="s">
        <v>91</v>
      </c>
      <c r="I32" s="48">
        <v>3.2300000000000002E-2</v>
      </c>
      <c r="J32" s="24">
        <f t="shared" si="1"/>
        <v>2.8200000000000003E-2</v>
      </c>
    </row>
    <row r="33" spans="1:10" ht="15.5">
      <c r="A33" s="46" t="str">
        <f>'Sovereign Ratings (Moody''s,S&amp;P)'!A33</f>
        <v>China</v>
      </c>
      <c r="B33" s="56" t="str">
        <f>'Sovereign Ratings (Moody''s,S&amp;P)'!D33</f>
        <v>A1</v>
      </c>
      <c r="C33" s="118">
        <f>VLOOKUP(A33,$H$24:$J$113,2,FALSE)</f>
        <v>9.7000000000000003E-3</v>
      </c>
      <c r="D33" s="57">
        <f t="shared" si="0"/>
        <v>5.5999999999999999E-3</v>
      </c>
      <c r="H33" s="46" t="s">
        <v>93</v>
      </c>
      <c r="I33" s="48">
        <v>1.43E-2</v>
      </c>
      <c r="J33" s="24">
        <f t="shared" si="1"/>
        <v>1.0200000000000001E-2</v>
      </c>
    </row>
    <row r="34" spans="1:10" ht="15.5">
      <c r="A34" s="46" t="str">
        <f>'Sovereign Ratings (Moody''s,S&amp;P)'!A34</f>
        <v>Colombia</v>
      </c>
      <c r="B34" s="56" t="str">
        <f>'Sovereign Ratings (Moody''s,S&amp;P)'!D34</f>
        <v>Baa2</v>
      </c>
      <c r="C34" s="118">
        <f>VLOOKUP(A34,$H$24:$J$113,2,FALSE)</f>
        <v>3.3700000000000001E-2</v>
      </c>
      <c r="D34" s="57">
        <f t="shared" si="0"/>
        <v>2.9600000000000001E-2</v>
      </c>
      <c r="H34" s="46" t="s">
        <v>209</v>
      </c>
      <c r="I34" s="48">
        <v>7.0699999999999999E-2</v>
      </c>
      <c r="J34" s="24">
        <f t="shared" si="1"/>
        <v>6.6599999999999993E-2</v>
      </c>
    </row>
    <row r="35" spans="1:10" ht="15.5">
      <c r="A35" s="46" t="str">
        <f>'Sovereign Ratings (Moody''s,S&amp;P)'!A35</f>
        <v>Congo (Democratic Republic of)</v>
      </c>
      <c r="B35" s="56" t="str">
        <f>'Sovereign Ratings (Moody''s,S&amp;P)'!D35</f>
        <v>B3</v>
      </c>
      <c r="C35" s="118" t="s">
        <v>142</v>
      </c>
      <c r="D35" s="57" t="str">
        <f t="shared" si="0"/>
        <v>NA</v>
      </c>
      <c r="H35" s="46" t="s">
        <v>94</v>
      </c>
      <c r="I35" s="48">
        <v>3.8E-3</v>
      </c>
      <c r="J35" s="24">
        <f t="shared" si="1"/>
        <v>0</v>
      </c>
    </row>
    <row r="36" spans="1:10" ht="15.5">
      <c r="A36" s="46" t="str">
        <f>'Sovereign Ratings (Moody''s,S&amp;P)'!A36</f>
        <v>Congo (Republic of)</v>
      </c>
      <c r="B36" s="56" t="str">
        <f>'Sovereign Ratings (Moody''s,S&amp;P)'!D36</f>
        <v>Caa2</v>
      </c>
      <c r="C36" s="118" t="s">
        <v>142</v>
      </c>
      <c r="D36" s="57" t="str">
        <f t="shared" si="0"/>
        <v>NA</v>
      </c>
      <c r="H36" s="46" t="s">
        <v>95</v>
      </c>
      <c r="I36" s="48">
        <v>1.17E-2</v>
      </c>
      <c r="J36" s="24">
        <f t="shared" si="1"/>
        <v>7.6E-3</v>
      </c>
    </row>
    <row r="37" spans="1:10" ht="15.5">
      <c r="A37" s="46" t="str">
        <f>'Sovereign Ratings (Moody''s,S&amp;P)'!A37</f>
        <v>Cook Islands</v>
      </c>
      <c r="B37" s="56" t="str">
        <f>'Sovereign Ratings (Moody''s,S&amp;P)'!D37</f>
        <v>B1</v>
      </c>
      <c r="C37" s="118" t="s">
        <v>142</v>
      </c>
      <c r="D37" s="57" t="str">
        <f t="shared" si="0"/>
        <v>NA</v>
      </c>
      <c r="H37" s="46" t="s">
        <v>96</v>
      </c>
      <c r="I37" s="48">
        <v>9.7000000000000003E-3</v>
      </c>
      <c r="J37" s="24">
        <f t="shared" si="1"/>
        <v>5.5999999999999999E-3</v>
      </c>
    </row>
    <row r="38" spans="1:10" ht="15.5">
      <c r="A38" s="46" t="str">
        <f>'Sovereign Ratings (Moody''s,S&amp;P)'!A38</f>
        <v>Costa Rica</v>
      </c>
      <c r="B38" s="56" t="str">
        <f>'Sovereign Ratings (Moody''s,S&amp;P)'!D38</f>
        <v>Ba3</v>
      </c>
      <c r="C38" s="118">
        <f>VLOOKUP(A38,$H$24:$J$113,2,FALSE)</f>
        <v>2.4500000000000001E-2</v>
      </c>
      <c r="D38" s="57">
        <f t="shared" si="0"/>
        <v>2.0400000000000001E-2</v>
      </c>
      <c r="H38" s="46" t="s">
        <v>50</v>
      </c>
      <c r="I38" s="48">
        <v>3.3700000000000001E-2</v>
      </c>
      <c r="J38" s="24">
        <f t="shared" si="1"/>
        <v>2.9600000000000001E-2</v>
      </c>
    </row>
    <row r="39" spans="1:10" ht="15.5">
      <c r="A39" s="46" t="str">
        <f>'Sovereign Ratings (Moody''s,S&amp;P)'!A39</f>
        <v>Côte d'Ivoire</v>
      </c>
      <c r="B39" s="56" t="str">
        <f>'Sovereign Ratings (Moody''s,S&amp;P)'!D39</f>
        <v>Ba2</v>
      </c>
      <c r="C39" s="118" t="s">
        <v>142</v>
      </c>
      <c r="D39" s="57" t="str">
        <f t="shared" si="0"/>
        <v>NA</v>
      </c>
      <c r="H39" s="46" t="s">
        <v>56</v>
      </c>
      <c r="I39" s="48">
        <v>2.4500000000000001E-2</v>
      </c>
      <c r="J39" s="24">
        <f t="shared" si="1"/>
        <v>2.0400000000000001E-2</v>
      </c>
    </row>
    <row r="40" spans="1:10" ht="15.5">
      <c r="A40" s="46" t="str">
        <f>'Sovereign Ratings (Moody''s,S&amp;P)'!A40</f>
        <v>Croatia</v>
      </c>
      <c r="B40" s="56" t="str">
        <f>'Sovereign Ratings (Moody''s,S&amp;P)'!D40</f>
        <v>A3</v>
      </c>
      <c r="C40" s="118">
        <f>VLOOKUP(A40,$H$24:$J$113,2,FALSE)</f>
        <v>1.26E-2</v>
      </c>
      <c r="D40" s="57">
        <f t="shared" si="0"/>
        <v>8.5000000000000006E-3</v>
      </c>
      <c r="H40" s="46" t="s">
        <v>97</v>
      </c>
      <c r="I40" s="48">
        <v>1.26E-2</v>
      </c>
      <c r="J40" s="24">
        <f t="shared" si="1"/>
        <v>8.5000000000000006E-3</v>
      </c>
    </row>
    <row r="41" spans="1:10" ht="15.5">
      <c r="A41" s="46" t="str">
        <f>'Sovereign Ratings (Moody''s,S&amp;P)'!A41</f>
        <v>Cuba</v>
      </c>
      <c r="B41" s="56" t="str">
        <f>'Sovereign Ratings (Moody''s,S&amp;P)'!D41</f>
        <v>Ca</v>
      </c>
      <c r="C41" s="118" t="s">
        <v>142</v>
      </c>
      <c r="D41" s="57" t="str">
        <f t="shared" si="0"/>
        <v>NA</v>
      </c>
      <c r="H41" s="46" t="s">
        <v>175</v>
      </c>
      <c r="I41" s="48">
        <v>9.9000000000000008E-3</v>
      </c>
      <c r="J41" s="24">
        <f t="shared" si="1"/>
        <v>5.8000000000000005E-3</v>
      </c>
    </row>
    <row r="42" spans="1:10" ht="15.5">
      <c r="A42" s="46" t="str">
        <f>'Sovereign Ratings (Moody''s,S&amp;P)'!A42</f>
        <v>Curacao</v>
      </c>
      <c r="B42" s="56" t="str">
        <f>'Sovereign Ratings (Moody''s,S&amp;P)'!D42</f>
        <v>Baa3</v>
      </c>
      <c r="C42" s="118" t="s">
        <v>142</v>
      </c>
      <c r="D42" s="57" t="str">
        <f t="shared" si="0"/>
        <v>NA</v>
      </c>
      <c r="H42" s="46" t="s">
        <v>100</v>
      </c>
      <c r="I42" s="48">
        <v>5.0000000000000001E-3</v>
      </c>
      <c r="J42" s="24">
        <f t="shared" si="1"/>
        <v>8.9999999999999976E-4</v>
      </c>
    </row>
    <row r="43" spans="1:10" ht="15.5">
      <c r="A43" s="46" t="str">
        <f>'Sovereign Ratings (Moody''s,S&amp;P)'!A43</f>
        <v>Cyprus</v>
      </c>
      <c r="B43" s="56" t="str">
        <f>'Sovereign Ratings (Moody''s,S&amp;P)'!D43</f>
        <v>A3</v>
      </c>
      <c r="C43" s="118">
        <f>VLOOKUP(A43,$H$24:$J$113,2,FALSE)</f>
        <v>9.9000000000000008E-3</v>
      </c>
      <c r="D43" s="57">
        <f t="shared" si="0"/>
        <v>5.8000000000000005E-3</v>
      </c>
      <c r="H43" s="46" t="s">
        <v>101</v>
      </c>
      <c r="I43" s="48">
        <v>1.8E-3</v>
      </c>
      <c r="J43" s="24">
        <f t="shared" si="1"/>
        <v>0</v>
      </c>
    </row>
    <row r="44" spans="1:10" ht="15.5">
      <c r="A44" s="46" t="str">
        <f>'Sovereign Ratings (Moody''s,S&amp;P)'!A44</f>
        <v>Czech Republic</v>
      </c>
      <c r="B44" s="56" t="str">
        <f>'Sovereign Ratings (Moody''s,S&amp;P)'!D44</f>
        <v>Aa3</v>
      </c>
      <c r="C44" s="118">
        <f>VLOOKUP(A44,$H$24:$J$113,2,FALSE)</f>
        <v>5.0000000000000001E-3</v>
      </c>
      <c r="D44" s="57">
        <f t="shared" si="0"/>
        <v>8.9999999999999976E-4</v>
      </c>
      <c r="H44" s="46" t="s">
        <v>437</v>
      </c>
      <c r="I44" s="48">
        <v>0.01</v>
      </c>
      <c r="J44" s="24">
        <f t="shared" si="1"/>
        <v>5.8999999999999999E-3</v>
      </c>
    </row>
    <row r="45" spans="1:10" ht="15.5">
      <c r="A45" s="46" t="str">
        <f>'Sovereign Ratings (Moody''s,S&amp;P)'!A45</f>
        <v>Denmark</v>
      </c>
      <c r="B45" s="56" t="str">
        <f>'Sovereign Ratings (Moody''s,S&amp;P)'!D45</f>
        <v>Aaa</v>
      </c>
      <c r="C45" s="118">
        <f>VLOOKUP(A45,$H$24:$J$113,2,FALSE)</f>
        <v>1.8E-3</v>
      </c>
      <c r="D45" s="57">
        <f t="shared" si="0"/>
        <v>0</v>
      </c>
      <c r="H45" s="253" t="s">
        <v>103</v>
      </c>
      <c r="I45" s="199">
        <v>0.1908</v>
      </c>
      <c r="J45" s="24">
        <f t="shared" si="1"/>
        <v>0.1867</v>
      </c>
    </row>
    <row r="46" spans="1:10" ht="15.5">
      <c r="A46" s="46" t="str">
        <f>'Sovereign Ratings (Moody''s,S&amp;P)'!A46</f>
        <v>Dominican Republic</v>
      </c>
      <c r="B46" s="56" t="str">
        <f>'Sovereign Ratings (Moody''s,S&amp;P)'!D46</f>
        <v>Ba3</v>
      </c>
      <c r="C46" s="118" t="s">
        <v>142</v>
      </c>
      <c r="D46" s="57" t="str">
        <f t="shared" si="0"/>
        <v>NA</v>
      </c>
      <c r="H46" s="135" t="s">
        <v>104</v>
      </c>
      <c r="I46" s="48">
        <v>6.3500000000000001E-2</v>
      </c>
      <c r="J46" s="24">
        <f t="shared" si="1"/>
        <v>5.9400000000000001E-2</v>
      </c>
    </row>
    <row r="47" spans="1:10" ht="15.5">
      <c r="A47" s="46" t="str">
        <f>'Sovereign Ratings (Moody''s,S&amp;P)'!A47</f>
        <v>Ecuador</v>
      </c>
      <c r="B47" s="56" t="str">
        <f>'Sovereign Ratings (Moody''s,S&amp;P)'!D47</f>
        <v>Caa3</v>
      </c>
      <c r="C47" s="118">
        <f>VLOOKUP(A47,$H$24:$J$113,2,FALSE)</f>
        <v>0.1908</v>
      </c>
      <c r="D47" s="57">
        <f t="shared" si="0"/>
        <v>0.1867</v>
      </c>
      <c r="H47" s="46" t="s">
        <v>31</v>
      </c>
      <c r="I47" s="48">
        <v>4.2000000000000003E-2</v>
      </c>
      <c r="J47" s="24">
        <f t="shared" si="1"/>
        <v>3.7900000000000003E-2</v>
      </c>
    </row>
    <row r="48" spans="1:10" ht="15.5">
      <c r="A48" s="46" t="str">
        <f>'Sovereign Ratings (Moody''s,S&amp;P)'!A48</f>
        <v>Egypt</v>
      </c>
      <c r="B48" s="56" t="str">
        <f>'Sovereign Ratings (Moody''s,S&amp;P)'!D48</f>
        <v>Caa1</v>
      </c>
      <c r="C48" s="118">
        <f>VLOOKUP(A48,$H$24:$J$113,2,FALSE)</f>
        <v>6.3500000000000001E-2</v>
      </c>
      <c r="D48" s="57">
        <f t="shared" si="0"/>
        <v>5.9400000000000001E-2</v>
      </c>
      <c r="H48" s="46" t="s">
        <v>105</v>
      </c>
      <c r="I48" s="48">
        <v>8.0999999999999996E-3</v>
      </c>
      <c r="J48" s="24">
        <f t="shared" si="1"/>
        <v>3.9999999999999992E-3</v>
      </c>
    </row>
    <row r="49" spans="1:10" ht="15.5">
      <c r="A49" s="46" t="str">
        <f>'Sovereign Ratings (Moody''s,S&amp;P)'!A49</f>
        <v>El Salvador</v>
      </c>
      <c r="B49" s="56" t="str">
        <f>'Sovereign Ratings (Moody''s,S&amp;P)'!D49</f>
        <v>B3</v>
      </c>
      <c r="C49" s="118">
        <f>VLOOKUP(A49,$H$24:$J$113,2,FALSE)</f>
        <v>4.2000000000000003E-2</v>
      </c>
      <c r="D49" s="57">
        <f t="shared" si="0"/>
        <v>3.7900000000000003E-2</v>
      </c>
      <c r="H49" s="46" t="s">
        <v>280</v>
      </c>
      <c r="I49" s="199">
        <v>0.32969999999999999</v>
      </c>
      <c r="J49" s="24">
        <f t="shared" si="1"/>
        <v>0.3256</v>
      </c>
    </row>
    <row r="50" spans="1:10" ht="15.5">
      <c r="A50" s="46" t="str">
        <f>'Sovereign Ratings (Moody''s,S&amp;P)'!A50</f>
        <v>Estonia</v>
      </c>
      <c r="B50" s="56" t="str">
        <f>'Sovereign Ratings (Moody''s,S&amp;P)'!D50</f>
        <v>A1</v>
      </c>
      <c r="C50" s="118">
        <f>VLOOKUP(A50,$H$24:$J$113,2,FALSE)</f>
        <v>8.0999999999999996E-3</v>
      </c>
      <c r="D50" s="57">
        <f t="shared" si="0"/>
        <v>3.9999999999999992E-3</v>
      </c>
      <c r="H50" s="46" t="s">
        <v>176</v>
      </c>
      <c r="I50" s="48">
        <v>3.3E-3</v>
      </c>
      <c r="J50" s="24">
        <f t="shared" si="1"/>
        <v>0</v>
      </c>
    </row>
    <row r="51" spans="1:10" ht="15.5">
      <c r="A51" s="46" t="str">
        <f>'Sovereign Ratings (Moody''s,S&amp;P)'!A51</f>
        <v>Ethiopia</v>
      </c>
      <c r="B51" s="56" t="str">
        <f>'Sovereign Ratings (Moody''s,S&amp;P)'!D51</f>
        <v>Caa2</v>
      </c>
      <c r="C51" s="118">
        <f>VLOOKUP(A51,$H$24:$J$113,2,FALSE)</f>
        <v>0.32969999999999999</v>
      </c>
      <c r="D51" s="57">
        <f t="shared" si="0"/>
        <v>0.3256</v>
      </c>
      <c r="H51" s="46" t="s">
        <v>177</v>
      </c>
      <c r="I51" s="48">
        <v>6.8999999999999999E-3</v>
      </c>
      <c r="J51" s="24">
        <f t="shared" si="1"/>
        <v>2.7999999999999995E-3</v>
      </c>
    </row>
    <row r="52" spans="1:10" ht="15.5">
      <c r="A52" s="46" t="str">
        <f>'Sovereign Ratings (Moody''s,S&amp;P)'!A52</f>
        <v>Fiji</v>
      </c>
      <c r="B52" s="56" t="str">
        <f>'Sovereign Ratings (Moody''s,S&amp;P)'!D52</f>
        <v>B1</v>
      </c>
      <c r="C52" s="118" t="s">
        <v>142</v>
      </c>
      <c r="D52" s="57" t="str">
        <f t="shared" si="0"/>
        <v>NA</v>
      </c>
      <c r="H52" s="46" t="s">
        <v>217</v>
      </c>
      <c r="I52" s="48">
        <v>9.6100000000000005E-2</v>
      </c>
      <c r="J52" s="24">
        <f t="shared" si="1"/>
        <v>9.1999999999999998E-2</v>
      </c>
    </row>
    <row r="53" spans="1:10" ht="15.5">
      <c r="A53" s="46" t="str">
        <f>'Sovereign Ratings (Moody''s,S&amp;P)'!A53</f>
        <v>Finland</v>
      </c>
      <c r="B53" s="56" t="str">
        <f>'Sovereign Ratings (Moody''s,S&amp;P)'!D53</f>
        <v>Aa1</v>
      </c>
      <c r="C53" s="118">
        <f>VLOOKUP(A53,$H$24:$J$113,2,FALSE)</f>
        <v>3.3E-3</v>
      </c>
      <c r="D53" s="57">
        <f t="shared" si="0"/>
        <v>0</v>
      </c>
      <c r="H53" s="46" t="s">
        <v>178</v>
      </c>
      <c r="I53" s="48">
        <v>2.8E-3</v>
      </c>
      <c r="J53" s="24">
        <f t="shared" si="1"/>
        <v>0</v>
      </c>
    </row>
    <row r="54" spans="1:10" ht="15.5">
      <c r="A54" s="46" t="str">
        <f>'Sovereign Ratings (Moody''s,S&amp;P)'!A54</f>
        <v>France</v>
      </c>
      <c r="B54" s="56" t="str">
        <f>'Sovereign Ratings (Moody''s,S&amp;P)'!D54</f>
        <v>Aa3</v>
      </c>
      <c r="C54" s="118">
        <f>VLOOKUP(A54,$H$24:$J$113,2,FALSE)</f>
        <v>6.8999999999999999E-3</v>
      </c>
      <c r="D54" s="57">
        <f t="shared" si="0"/>
        <v>2.7999999999999995E-3</v>
      </c>
      <c r="H54" s="46" t="s">
        <v>179</v>
      </c>
      <c r="I54" s="48">
        <v>1.17E-2</v>
      </c>
      <c r="J54" s="24">
        <f t="shared" si="1"/>
        <v>7.6E-3</v>
      </c>
    </row>
    <row r="55" spans="1:10" ht="15.5">
      <c r="A55" s="46" t="str">
        <f>'Sovereign Ratings (Moody''s,S&amp;P)'!A55</f>
        <v>Gabon</v>
      </c>
      <c r="B55" s="56" t="str">
        <f>'Sovereign Ratings (Moody''s,S&amp;P)'!D55</f>
        <v>Caa2</v>
      </c>
      <c r="C55" s="118" t="s">
        <v>142</v>
      </c>
      <c r="D55" s="57" t="str">
        <f t="shared" si="0"/>
        <v>NA</v>
      </c>
      <c r="H55" s="46" t="s">
        <v>106</v>
      </c>
      <c r="I55" s="48">
        <v>2.3300000000000001E-2</v>
      </c>
      <c r="J55" s="24">
        <f t="shared" si="1"/>
        <v>1.9200000000000002E-2</v>
      </c>
    </row>
    <row r="56" spans="1:10" ht="15.5">
      <c r="A56" s="46" t="str">
        <f>'Sovereign Ratings (Moody''s,S&amp;P)'!A56</f>
        <v>Georgia</v>
      </c>
      <c r="B56" s="56" t="str">
        <f>'Sovereign Ratings (Moody''s,S&amp;P)'!D56</f>
        <v>Ba2</v>
      </c>
      <c r="C56" s="118" t="s">
        <v>142</v>
      </c>
      <c r="D56" s="57" t="str">
        <f t="shared" si="0"/>
        <v>NA</v>
      </c>
      <c r="H56" s="46" t="s">
        <v>59</v>
      </c>
      <c r="I56" s="48">
        <v>6.4000000000000003E-3</v>
      </c>
      <c r="J56" s="24">
        <f t="shared" si="1"/>
        <v>2.3E-3</v>
      </c>
    </row>
    <row r="57" spans="1:10" ht="15.5">
      <c r="A57" s="46" t="str">
        <f>'Sovereign Ratings (Moody''s,S&amp;P)'!A57</f>
        <v>Germany</v>
      </c>
      <c r="B57" s="56" t="str">
        <f>'Sovereign Ratings (Moody''s,S&amp;P)'!D57</f>
        <v>Aaa</v>
      </c>
      <c r="C57" s="118">
        <f>VLOOKUP(A57,$H$24:$J$113,2,FALSE)</f>
        <v>2.8E-3</v>
      </c>
      <c r="D57" s="57">
        <f t="shared" si="0"/>
        <v>0</v>
      </c>
      <c r="H57" s="46" t="s">
        <v>108</v>
      </c>
      <c r="I57" s="48">
        <v>1.7899999999999999E-2</v>
      </c>
      <c r="J57" s="24">
        <f t="shared" si="1"/>
        <v>1.38E-2</v>
      </c>
    </row>
    <row r="58" spans="1:10" ht="15.5">
      <c r="A58" s="46" t="str">
        <f>'Sovereign Ratings (Moody''s,S&amp;P)'!A58</f>
        <v>Ghana</v>
      </c>
      <c r="B58" s="56" t="str">
        <f>'Sovereign Ratings (Moody''s,S&amp;P)'!D58</f>
        <v>Caa2</v>
      </c>
      <c r="C58" s="118" t="s">
        <v>142</v>
      </c>
      <c r="D58" s="57" t="str">
        <f t="shared" si="0"/>
        <v>NA</v>
      </c>
      <c r="H58" s="46" t="s">
        <v>109</v>
      </c>
      <c r="I58" s="48">
        <v>3.0999999999999999E-3</v>
      </c>
      <c r="J58" s="24">
        <f t="shared" si="1"/>
        <v>0</v>
      </c>
    </row>
    <row r="59" spans="1:10" ht="15.5">
      <c r="A59" s="46" t="str">
        <f>'Sovereign Ratings (Moody''s,S&amp;P)'!A59</f>
        <v>Greece</v>
      </c>
      <c r="B59" s="56" t="str">
        <f>'Sovereign Ratings (Moody''s,S&amp;P)'!D59</f>
        <v>Ba1</v>
      </c>
      <c r="C59" s="118">
        <f>VLOOKUP(A59,$H$24:$J$113,2,FALSE)</f>
        <v>1.17E-2</v>
      </c>
      <c r="D59" s="57">
        <f t="shared" si="0"/>
        <v>7.6E-3</v>
      </c>
      <c r="H59" s="46" t="s">
        <v>110</v>
      </c>
      <c r="I59" s="48">
        <v>9.4999999999999998E-3</v>
      </c>
      <c r="J59" s="24">
        <f t="shared" si="1"/>
        <v>5.3999999999999994E-3</v>
      </c>
    </row>
    <row r="60" spans="1:10" ht="15.5">
      <c r="A60" s="46" t="str">
        <f>'Sovereign Ratings (Moody''s,S&amp;P)'!A60</f>
        <v>Guatemala</v>
      </c>
      <c r="B60" s="56" t="str">
        <f>'Sovereign Ratings (Moody''s,S&amp;P)'!D60</f>
        <v>Ba1</v>
      </c>
      <c r="C60" s="118" t="s">
        <v>142</v>
      </c>
      <c r="D60" s="57" t="str">
        <f t="shared" si="0"/>
        <v>NA</v>
      </c>
      <c r="H60" s="46" t="s">
        <v>111</v>
      </c>
      <c r="I60" s="48">
        <v>1.3100000000000001E-2</v>
      </c>
      <c r="J60" s="24">
        <f t="shared" si="1"/>
        <v>9.0000000000000011E-3</v>
      </c>
    </row>
    <row r="61" spans="1:10" ht="15.5">
      <c r="A61" s="46" t="str">
        <f>'Sovereign Ratings (Moody''s,S&amp;P)'!A61</f>
        <v>Guernsey (States of)</v>
      </c>
      <c r="B61" s="56" t="str">
        <f>'Sovereign Ratings (Moody''s,S&amp;P)'!D61</f>
        <v>A1</v>
      </c>
      <c r="C61" s="118" t="s">
        <v>142</v>
      </c>
      <c r="D61" s="57" t="str">
        <f t="shared" si="0"/>
        <v>NA</v>
      </c>
      <c r="H61" s="46" t="s">
        <v>326</v>
      </c>
      <c r="I61" s="48">
        <v>4.1500000000000002E-2</v>
      </c>
      <c r="J61" s="24">
        <f t="shared" si="1"/>
        <v>3.7400000000000003E-2</v>
      </c>
    </row>
    <row r="62" spans="1:10" ht="15.5">
      <c r="A62" s="46" t="str">
        <f>'Sovereign Ratings (Moody''s,S&amp;P)'!A62</f>
        <v>Honduras</v>
      </c>
      <c r="B62" s="56" t="str">
        <f>'Sovereign Ratings (Moody''s,S&amp;P)'!D62</f>
        <v>B1</v>
      </c>
      <c r="C62" s="118" t="s">
        <v>142</v>
      </c>
      <c r="D62" s="57" t="str">
        <f t="shared" si="0"/>
        <v>NA</v>
      </c>
      <c r="H62" s="46" t="s">
        <v>180</v>
      </c>
      <c r="I62" s="48">
        <v>3.0999999999999999E-3</v>
      </c>
      <c r="J62" s="24">
        <f t="shared" si="1"/>
        <v>0</v>
      </c>
    </row>
    <row r="63" spans="1:10" ht="15.5">
      <c r="A63" s="46" t="str">
        <f>'Sovereign Ratings (Moody''s,S&amp;P)'!A63</f>
        <v>Hong Kong</v>
      </c>
      <c r="B63" s="56" t="str">
        <f>'Sovereign Ratings (Moody''s,S&amp;P)'!D63</f>
        <v>Aa3</v>
      </c>
      <c r="C63" s="118">
        <f t="shared" ref="C63:C69" si="2">VLOOKUP(A63,$H$24:$J$113,2,FALSE)</f>
        <v>6.4000000000000003E-3</v>
      </c>
      <c r="D63" s="57">
        <f t="shared" si="0"/>
        <v>2.3E-3</v>
      </c>
      <c r="H63" s="46" t="s">
        <v>113</v>
      </c>
      <c r="I63" s="48">
        <v>1.44E-2</v>
      </c>
      <c r="J63" s="24">
        <f t="shared" si="1"/>
        <v>1.03E-2</v>
      </c>
    </row>
    <row r="64" spans="1:10" ht="15.5">
      <c r="A64" s="46" t="str">
        <f>'Sovereign Ratings (Moody''s,S&amp;P)'!A64</f>
        <v>Hungary</v>
      </c>
      <c r="B64" s="56" t="str">
        <f>'Sovereign Ratings (Moody''s,S&amp;P)'!D64</f>
        <v>Baa2</v>
      </c>
      <c r="C64" s="118">
        <f t="shared" si="2"/>
        <v>1.7899999999999999E-2</v>
      </c>
      <c r="D64" s="57">
        <f t="shared" si="0"/>
        <v>1.38E-2</v>
      </c>
      <c r="H64" s="46" t="s">
        <v>143</v>
      </c>
      <c r="I64" s="48">
        <v>1.18E-2</v>
      </c>
      <c r="J64" s="24">
        <f t="shared" si="1"/>
        <v>7.6999999999999994E-3</v>
      </c>
    </row>
    <row r="65" spans="1:10" ht="15.5">
      <c r="A65" s="46" t="str">
        <f>'Sovereign Ratings (Moody''s,S&amp;P)'!A65</f>
        <v>Iceland</v>
      </c>
      <c r="B65" s="56" t="str">
        <f>'Sovereign Ratings (Moody''s,S&amp;P)'!D65</f>
        <v>A1</v>
      </c>
      <c r="C65" s="118">
        <f t="shared" si="2"/>
        <v>3.0999999999999999E-3</v>
      </c>
      <c r="D65" s="57">
        <f t="shared" si="0"/>
        <v>0</v>
      </c>
      <c r="H65" s="46" t="s">
        <v>115</v>
      </c>
      <c r="I65" s="48">
        <v>3.3E-3</v>
      </c>
      <c r="J65" s="24">
        <f t="shared" si="1"/>
        <v>0</v>
      </c>
    </row>
    <row r="66" spans="1:10" ht="15.5">
      <c r="A66" s="46" t="str">
        <f>'Sovereign Ratings (Moody''s,S&amp;P)'!A66</f>
        <v>India</v>
      </c>
      <c r="B66" s="56" t="str">
        <f>'Sovereign Ratings (Moody''s,S&amp;P)'!D66</f>
        <v>Baa3</v>
      </c>
      <c r="C66" s="118">
        <f t="shared" si="2"/>
        <v>9.4999999999999998E-3</v>
      </c>
      <c r="D66" s="57">
        <f t="shared" si="0"/>
        <v>5.3999999999999994E-3</v>
      </c>
      <c r="H66" s="46" t="s">
        <v>117</v>
      </c>
      <c r="I66" s="48">
        <v>1.3599999999999999E-2</v>
      </c>
      <c r="J66" s="24">
        <f t="shared" si="1"/>
        <v>9.499999999999998E-3</v>
      </c>
    </row>
    <row r="67" spans="1:10" ht="15.5">
      <c r="A67" s="46" t="str">
        <f>'Sovereign Ratings (Moody''s,S&amp;P)'!A67</f>
        <v>Indonesia</v>
      </c>
      <c r="B67" s="56" t="str">
        <f>'Sovereign Ratings (Moody''s,S&amp;P)'!D67</f>
        <v>Baa2</v>
      </c>
      <c r="C67" s="118">
        <f t="shared" si="2"/>
        <v>1.3100000000000001E-2</v>
      </c>
      <c r="D67" s="57">
        <f t="shared" ref="D67:D130" si="3">IF(C67="NA","NA",IF(C67&gt;$C$153,C67-$C$153,0))</f>
        <v>9.0000000000000011E-3</v>
      </c>
      <c r="H67" s="46" t="s">
        <v>181</v>
      </c>
      <c r="I67" s="48">
        <v>5.9200000000000003E-2</v>
      </c>
      <c r="J67" s="24">
        <f t="shared" si="1"/>
        <v>5.5100000000000003E-2</v>
      </c>
    </row>
    <row r="68" spans="1:10" ht="15.5">
      <c r="A68" s="46" t="str">
        <f>'Sovereign Ratings (Moody''s,S&amp;P)'!A68</f>
        <v>Iraq</v>
      </c>
      <c r="B68" s="56" t="str">
        <f>'Sovereign Ratings (Moody''s,S&amp;P)'!D68</f>
        <v>Caa1</v>
      </c>
      <c r="C68" s="118">
        <f t="shared" si="2"/>
        <v>4.1500000000000002E-2</v>
      </c>
      <c r="D68" s="57">
        <f t="shared" si="3"/>
        <v>3.7400000000000003E-2</v>
      </c>
      <c r="H68" s="46" t="s">
        <v>118</v>
      </c>
      <c r="I68" s="48">
        <v>4.7999999999999996E-3</v>
      </c>
      <c r="J68" s="24">
        <f t="shared" si="1"/>
        <v>6.9999999999999923E-4</v>
      </c>
    </row>
    <row r="69" spans="1:10" ht="15.5">
      <c r="A69" s="46" t="str">
        <f>'Sovereign Ratings (Moody''s,S&amp;P)'!A69</f>
        <v>Ireland</v>
      </c>
      <c r="B69" s="56" t="str">
        <f>'Sovereign Ratings (Moody''s,S&amp;P)'!D69</f>
        <v>Aa3</v>
      </c>
      <c r="C69" s="118">
        <f t="shared" si="2"/>
        <v>3.0999999999999999E-3</v>
      </c>
      <c r="D69" s="57">
        <f t="shared" si="3"/>
        <v>0</v>
      </c>
      <c r="H69" s="46" t="s">
        <v>119</v>
      </c>
      <c r="I69" s="48">
        <v>9.4000000000000004E-3</v>
      </c>
      <c r="J69" s="24">
        <f t="shared" si="1"/>
        <v>5.3E-3</v>
      </c>
    </row>
    <row r="70" spans="1:10" ht="15.5">
      <c r="A70" s="46" t="str">
        <f>'Sovereign Ratings (Moody''s,S&amp;P)'!A70</f>
        <v>Isle of Man</v>
      </c>
      <c r="B70" s="56" t="str">
        <f>'Sovereign Ratings (Moody''s,S&amp;P)'!D70</f>
        <v>Aa3</v>
      </c>
      <c r="C70" s="118" t="s">
        <v>142</v>
      </c>
      <c r="D70" s="57" t="str">
        <f t="shared" si="3"/>
        <v>NA</v>
      </c>
      <c r="H70" s="46" t="s">
        <v>120</v>
      </c>
      <c r="I70" s="48">
        <v>8.5000000000000006E-3</v>
      </c>
      <c r="J70" s="24">
        <f t="shared" si="1"/>
        <v>4.4000000000000003E-3</v>
      </c>
    </row>
    <row r="71" spans="1:10" ht="15.5">
      <c r="A71" s="46" t="str">
        <f>'Sovereign Ratings (Moody''s,S&amp;P)'!A71</f>
        <v>Israel</v>
      </c>
      <c r="B71" s="56" t="str">
        <f>'Sovereign Ratings (Moody''s,S&amp;P)'!D71</f>
        <v>Baa1</v>
      </c>
      <c r="C71" s="118">
        <f>VLOOKUP(A71,$H$24:$J$113,2,FALSE)</f>
        <v>1.44E-2</v>
      </c>
      <c r="D71" s="57">
        <f t="shared" si="3"/>
        <v>1.03E-2</v>
      </c>
      <c r="H71" s="46" t="s">
        <v>121</v>
      </c>
      <c r="I71" s="48" t="s">
        <v>142</v>
      </c>
      <c r="J71" s="24" t="str">
        <f t="shared" si="1"/>
        <v>NA</v>
      </c>
    </row>
    <row r="72" spans="1:10" ht="15.5">
      <c r="A72" s="46" t="str">
        <f>'Sovereign Ratings (Moody''s,S&amp;P)'!A72</f>
        <v>Italy</v>
      </c>
      <c r="B72" s="56" t="str">
        <f>'Sovereign Ratings (Moody''s,S&amp;P)'!D72</f>
        <v>Baa3</v>
      </c>
      <c r="C72" s="118">
        <f>VLOOKUP(A72,$H$24:$J$113,2,FALSE)</f>
        <v>1.18E-2</v>
      </c>
      <c r="D72" s="57">
        <f t="shared" si="3"/>
        <v>7.6999999999999994E-3</v>
      </c>
      <c r="H72" s="46" t="s">
        <v>13</v>
      </c>
      <c r="I72" s="48">
        <v>9.5999999999999992E-3</v>
      </c>
      <c r="J72" s="24">
        <f t="shared" si="1"/>
        <v>5.4999999999999988E-3</v>
      </c>
    </row>
    <row r="73" spans="1:10" ht="15.5">
      <c r="A73" s="46" t="str">
        <f>'Sovereign Ratings (Moody''s,S&amp;P)'!A73</f>
        <v>Jamaica</v>
      </c>
      <c r="B73" s="56" t="str">
        <f>'Sovereign Ratings (Moody''s,S&amp;P)'!D73</f>
        <v>B1</v>
      </c>
      <c r="C73" s="118" t="s">
        <v>142</v>
      </c>
      <c r="D73" s="57" t="str">
        <f t="shared" si="3"/>
        <v>NA</v>
      </c>
      <c r="H73" s="46" t="s">
        <v>14</v>
      </c>
      <c r="I73" s="48">
        <v>8.5000000000000006E-3</v>
      </c>
      <c r="J73" s="24">
        <f t="shared" si="1"/>
        <v>4.4000000000000003E-3</v>
      </c>
    </row>
    <row r="74" spans="1:10" ht="15.5">
      <c r="A74" s="46" t="str">
        <f>'Sovereign Ratings (Moody''s,S&amp;P)'!A74</f>
        <v>Japan</v>
      </c>
      <c r="B74" s="56" t="str">
        <f>'Sovereign Ratings (Moody''s,S&amp;P)'!D74</f>
        <v>A1</v>
      </c>
      <c r="C74" s="118">
        <f>VLOOKUP(A74,$H$24:$J$113,2,FALSE)</f>
        <v>3.3E-3</v>
      </c>
      <c r="D74" s="57">
        <f t="shared" si="3"/>
        <v>0</v>
      </c>
      <c r="H74" s="46" t="s">
        <v>16</v>
      </c>
      <c r="I74" s="48">
        <v>2.2200000000000001E-2</v>
      </c>
      <c r="J74" s="24">
        <f t="shared" si="1"/>
        <v>1.8100000000000002E-2</v>
      </c>
    </row>
    <row r="75" spans="1:10" ht="15.5">
      <c r="A75" s="46" t="str">
        <f>'Sovereign Ratings (Moody''s,S&amp;P)'!A75</f>
        <v>Jersey (States of)</v>
      </c>
      <c r="B75" s="56" t="str">
        <f>'Sovereign Ratings (Moody''s,S&amp;P)'!D75</f>
        <v>Aa2</v>
      </c>
      <c r="C75" s="118" t="s">
        <v>142</v>
      </c>
      <c r="D75" s="57" t="str">
        <f t="shared" si="3"/>
        <v>NA</v>
      </c>
      <c r="H75" s="46" t="s">
        <v>63</v>
      </c>
      <c r="I75" s="48">
        <v>2.8899999999999999E-2</v>
      </c>
      <c r="J75" s="24">
        <f t="shared" si="1"/>
        <v>2.4799999999999999E-2</v>
      </c>
    </row>
    <row r="76" spans="1:10" ht="15.5">
      <c r="A76" s="46" t="str">
        <f>'Sovereign Ratings (Moody''s,S&amp;P)'!A76</f>
        <v>Jordan</v>
      </c>
      <c r="B76" s="56" t="str">
        <f>'Sovereign Ratings (Moody''s,S&amp;P)'!D76</f>
        <v>Ba3</v>
      </c>
      <c r="C76" s="118" t="s">
        <v>142</v>
      </c>
      <c r="D76" s="57" t="str">
        <f t="shared" si="3"/>
        <v>NA</v>
      </c>
      <c r="H76" s="46" t="s">
        <v>18</v>
      </c>
      <c r="I76" s="48">
        <v>1.5100000000000001E-2</v>
      </c>
      <c r="J76" s="24">
        <f t="shared" si="1"/>
        <v>1.0999999999999999E-2</v>
      </c>
    </row>
    <row r="77" spans="1:10" ht="15.5">
      <c r="A77" s="46" t="str">
        <f>'Sovereign Ratings (Moody''s,S&amp;P)'!A77</f>
        <v>Kazakhstan</v>
      </c>
      <c r="B77" s="56" t="str">
        <f>'Sovereign Ratings (Moody''s,S&amp;P)'!D77</f>
        <v>Baa1</v>
      </c>
      <c r="C77" s="118">
        <f>VLOOKUP(A77,$H$24:$J$113,2,FALSE)</f>
        <v>1.3599999999999999E-2</v>
      </c>
      <c r="D77" s="57">
        <f t="shared" si="3"/>
        <v>9.499999999999998E-3</v>
      </c>
      <c r="H77" s="46" t="s">
        <v>135</v>
      </c>
      <c r="I77" s="48">
        <v>3.44E-2</v>
      </c>
      <c r="J77" s="24">
        <f t="shared" si="1"/>
        <v>3.0300000000000001E-2</v>
      </c>
    </row>
    <row r="78" spans="1:10" ht="15.5">
      <c r="A78" s="46" t="str">
        <f>'Sovereign Ratings (Moody''s,S&amp;P)'!A78</f>
        <v>Kenya</v>
      </c>
      <c r="B78" s="56" t="str">
        <f>'Sovereign Ratings (Moody''s,S&amp;P)'!D78</f>
        <v>Caa1</v>
      </c>
      <c r="C78" s="118">
        <f>VLOOKUP(A78,$H$24:$J$113,2,FALSE)</f>
        <v>5.9200000000000003E-2</v>
      </c>
      <c r="D78" s="57">
        <f t="shared" si="3"/>
        <v>5.5100000000000003E-2</v>
      </c>
      <c r="H78" s="198" t="s">
        <v>184</v>
      </c>
      <c r="I78" s="199">
        <v>2.5000000000000001E-3</v>
      </c>
      <c r="J78" s="24">
        <f t="shared" si="1"/>
        <v>0</v>
      </c>
    </row>
    <row r="79" spans="1:10" ht="15.5">
      <c r="A79" s="46" t="str">
        <f>'Sovereign Ratings (Moody''s,S&amp;P)'!A79</f>
        <v>Korea</v>
      </c>
      <c r="B79" s="56" t="str">
        <f>'Sovereign Ratings (Moody''s,S&amp;P)'!D79</f>
        <v>Aa2</v>
      </c>
      <c r="C79" s="118">
        <f>VLOOKUP(A79,$H$24:$J$113,2,FALSE)</f>
        <v>4.7999999999999996E-3</v>
      </c>
      <c r="D79" s="57">
        <f t="shared" si="3"/>
        <v>6.9999999999999923E-4</v>
      </c>
      <c r="H79" s="46" t="s">
        <v>21</v>
      </c>
      <c r="I79" s="48">
        <v>2E-3</v>
      </c>
      <c r="J79" s="24">
        <f t="shared" si="1"/>
        <v>0</v>
      </c>
    </row>
    <row r="80" spans="1:10" ht="15.5">
      <c r="A80" s="46" t="str">
        <f>'Sovereign Ratings (Moody''s,S&amp;P)'!A80</f>
        <v>Kuwait</v>
      </c>
      <c r="B80" s="56" t="str">
        <f>'Sovereign Ratings (Moody''s,S&amp;P)'!D80</f>
        <v>A1</v>
      </c>
      <c r="C80" s="118">
        <f>VLOOKUP(A80,$H$24:$J$113,2,FALSE)</f>
        <v>9.4000000000000004E-3</v>
      </c>
      <c r="D80" s="57">
        <f t="shared" si="3"/>
        <v>5.3E-3</v>
      </c>
      <c r="H80" s="46" t="s">
        <v>22</v>
      </c>
      <c r="I80" s="48">
        <v>6.5699999999999995E-2</v>
      </c>
      <c r="J80" s="24">
        <f t="shared" si="1"/>
        <v>6.1599999999999995E-2</v>
      </c>
    </row>
    <row r="81" spans="1:10" ht="15.5">
      <c r="A81" s="46" t="str">
        <f>'Sovereign Ratings (Moody''s,S&amp;P)'!A81</f>
        <v>Kyrgyzstan</v>
      </c>
      <c r="B81" s="56" t="str">
        <f>'Sovereign Ratings (Moody''s,S&amp;P)'!D81</f>
        <v>B3</v>
      </c>
      <c r="C81" s="118" t="s">
        <v>142</v>
      </c>
      <c r="D81" s="57" t="str">
        <f t="shared" si="3"/>
        <v>NA</v>
      </c>
      <c r="H81" s="46" t="s">
        <v>185</v>
      </c>
      <c r="I81" s="48">
        <v>6.4399999999999999E-2</v>
      </c>
      <c r="J81" s="24">
        <f t="shared" si="1"/>
        <v>6.0299999999999999E-2</v>
      </c>
    </row>
    <row r="82" spans="1:10" ht="15.5">
      <c r="A82" s="46" t="str">
        <f>'Sovereign Ratings (Moody''s,S&amp;P)'!A82</f>
        <v>Laos</v>
      </c>
      <c r="B82" s="56" t="str">
        <f>'Sovereign Ratings (Moody''s,S&amp;P)'!D82</f>
        <v>Caa3</v>
      </c>
      <c r="C82" s="118" t="s">
        <v>142</v>
      </c>
      <c r="D82" s="57" t="str">
        <f t="shared" si="3"/>
        <v>NA</v>
      </c>
      <c r="H82" s="46" t="s">
        <v>23</v>
      </c>
      <c r="I82" s="48">
        <v>1.9E-3</v>
      </c>
      <c r="J82" s="24">
        <f t="shared" si="1"/>
        <v>0</v>
      </c>
    </row>
    <row r="83" spans="1:10" ht="15.5">
      <c r="A83" s="46" t="str">
        <f>'Sovereign Ratings (Moody''s,S&amp;P)'!A83</f>
        <v>Latvia</v>
      </c>
      <c r="B83" s="56" t="str">
        <f>'Sovereign Ratings (Moody''s,S&amp;P)'!D83</f>
        <v>A3</v>
      </c>
      <c r="C83" s="118">
        <f>VLOOKUP(A83,$H$24:$J$113,2,FALSE)</f>
        <v>8.5000000000000006E-3</v>
      </c>
      <c r="D83" s="57">
        <f t="shared" si="3"/>
        <v>4.4000000000000003E-3</v>
      </c>
      <c r="H83" s="46" t="s">
        <v>24</v>
      </c>
      <c r="I83" s="48">
        <v>1.6299999999999999E-2</v>
      </c>
      <c r="J83" s="24">
        <f t="shared" si="1"/>
        <v>1.2199999999999999E-2</v>
      </c>
    </row>
    <row r="84" spans="1:10" ht="15.5">
      <c r="A84" s="46" t="str">
        <f>'Sovereign Ratings (Moody''s,S&amp;P)'!A84</f>
        <v>Lebanon</v>
      </c>
      <c r="B84" s="56" t="str">
        <f>'Sovereign Ratings (Moody''s,S&amp;P)'!D84</f>
        <v>C</v>
      </c>
      <c r="C84" s="118" t="str">
        <f>VLOOKUP(A84,$H$24:$J$113,2,FALSE)</f>
        <v>NA</v>
      </c>
      <c r="D84" s="57" t="str">
        <f t="shared" si="3"/>
        <v>NA</v>
      </c>
      <c r="H84" s="46" t="s">
        <v>25</v>
      </c>
      <c r="I84" s="158">
        <v>0.16489999999999999</v>
      </c>
      <c r="J84" s="24">
        <f t="shared" si="1"/>
        <v>0.1608</v>
      </c>
    </row>
    <row r="85" spans="1:10" ht="15.5">
      <c r="A85" s="46" t="str">
        <f>'Sovereign Ratings (Moody''s,S&amp;P)'!A85</f>
        <v>Liechtenstein</v>
      </c>
      <c r="B85" s="56" t="str">
        <f>'Sovereign Ratings (Moody''s,S&amp;P)'!D85</f>
        <v>Aaa</v>
      </c>
      <c r="C85" s="118" t="s">
        <v>142</v>
      </c>
      <c r="D85" s="57" t="str">
        <f t="shared" si="3"/>
        <v>NA</v>
      </c>
      <c r="H85" s="46" t="s">
        <v>26</v>
      </c>
      <c r="I85" s="48">
        <v>3.0800000000000001E-2</v>
      </c>
      <c r="J85" s="24">
        <f t="shared" si="1"/>
        <v>2.6700000000000002E-2</v>
      </c>
    </row>
    <row r="86" spans="1:10" ht="15.5">
      <c r="A86" s="46" t="str">
        <f>'Sovereign Ratings (Moody''s,S&amp;P)'!A86</f>
        <v>Lithuania</v>
      </c>
      <c r="B86" s="56" t="str">
        <f>'Sovereign Ratings (Moody''s,S&amp;P)'!D86</f>
        <v>A2</v>
      </c>
      <c r="C86" s="118">
        <f>VLOOKUP(A86,$H$24:$J$113,2,FALSE)</f>
        <v>9.5999999999999992E-3</v>
      </c>
      <c r="D86" s="57">
        <f t="shared" si="3"/>
        <v>5.4999999999999988E-3</v>
      </c>
      <c r="H86" s="46" t="s">
        <v>28</v>
      </c>
      <c r="I86" s="48">
        <v>1.47E-2</v>
      </c>
      <c r="J86" s="24">
        <f t="shared" si="1"/>
        <v>1.0599999999999998E-2</v>
      </c>
    </row>
    <row r="87" spans="1:10" ht="15.5">
      <c r="A87" s="46" t="str">
        <f>'Sovereign Ratings (Moody''s,S&amp;P)'!A87</f>
        <v>Luxembourg</v>
      </c>
      <c r="B87" s="56" t="str">
        <f>'Sovereign Ratings (Moody''s,S&amp;P)'!D87</f>
        <v>Aaa</v>
      </c>
      <c r="C87" s="118" t="s">
        <v>142</v>
      </c>
      <c r="D87" s="57" t="str">
        <f t="shared" si="3"/>
        <v>NA</v>
      </c>
      <c r="H87" s="46" t="s">
        <v>29</v>
      </c>
      <c r="I87" s="48">
        <v>1.21E-2</v>
      </c>
      <c r="J87" s="24">
        <f t="shared" si="1"/>
        <v>8.0000000000000002E-3</v>
      </c>
    </row>
    <row r="88" spans="1:10" ht="15.5">
      <c r="A88" s="46" t="str">
        <f>'Sovereign Ratings (Moody''s,S&amp;P)'!A88</f>
        <v>Macao</v>
      </c>
      <c r="B88" s="56" t="str">
        <f>'Sovereign Ratings (Moody''s,S&amp;P)'!D88</f>
        <v>Aa3</v>
      </c>
      <c r="C88" s="118" t="s">
        <v>142</v>
      </c>
      <c r="D88" s="57" t="str">
        <f t="shared" si="3"/>
        <v>NA</v>
      </c>
      <c r="H88" s="46" t="s">
        <v>30</v>
      </c>
      <c r="I88" s="48">
        <v>1.0500000000000001E-2</v>
      </c>
      <c r="J88" s="24">
        <f t="shared" si="1"/>
        <v>6.4000000000000003E-3</v>
      </c>
    </row>
    <row r="89" spans="1:10" ht="15.5">
      <c r="A89" s="46" t="str">
        <f>'Sovereign Ratings (Moody''s,S&amp;P)'!A89</f>
        <v>Macedonia</v>
      </c>
      <c r="B89" s="56" t="str">
        <f>'Sovereign Ratings (Moody''s,S&amp;P)'!D89</f>
        <v>Ba3</v>
      </c>
      <c r="C89" s="118" t="s">
        <v>142</v>
      </c>
      <c r="D89" s="57" t="str">
        <f t="shared" si="3"/>
        <v>NA</v>
      </c>
      <c r="H89" s="46" t="s">
        <v>186</v>
      </c>
      <c r="I89" s="48">
        <v>5.7999999999999996E-3</v>
      </c>
      <c r="J89" s="24">
        <f t="shared" ref="J89:J113" si="4">IF(I89="NA","NA",IF(I89&lt;$I$109,0,I89-$I$109))</f>
        <v>1.6999999999999993E-3</v>
      </c>
    </row>
    <row r="90" spans="1:10" ht="15.5">
      <c r="A90" s="46" t="str">
        <f>'Sovereign Ratings (Moody''s,S&amp;P)'!A90</f>
        <v>Malaysia</v>
      </c>
      <c r="B90" s="56" t="str">
        <f>'Sovereign Ratings (Moody''s,S&amp;P)'!D90</f>
        <v>A3</v>
      </c>
      <c r="C90" s="118">
        <f>VLOOKUP(A90,$H$24:$J$113,2,FALSE)</f>
        <v>8.5000000000000006E-3</v>
      </c>
      <c r="D90" s="57">
        <f t="shared" si="3"/>
        <v>4.4000000000000003E-3</v>
      </c>
      <c r="H90" s="46" t="s">
        <v>73</v>
      </c>
      <c r="I90" s="48">
        <v>7.7000000000000002E-3</v>
      </c>
      <c r="J90" s="24">
        <f t="shared" si="4"/>
        <v>3.5999999999999999E-3</v>
      </c>
    </row>
    <row r="91" spans="1:10" ht="15.5">
      <c r="A91" s="46" t="str">
        <f>'Sovereign Ratings (Moody''s,S&amp;P)'!A91</f>
        <v>Maldives</v>
      </c>
      <c r="B91" s="56" t="str">
        <f>'Sovereign Ratings (Moody''s,S&amp;P)'!D91</f>
        <v>Caa2</v>
      </c>
      <c r="C91" s="118" t="s">
        <v>142</v>
      </c>
      <c r="D91" s="57" t="str">
        <f t="shared" si="3"/>
        <v>NA</v>
      </c>
      <c r="H91" s="46" t="s">
        <v>0</v>
      </c>
      <c r="I91" s="48">
        <v>2.3900000000000001E-2</v>
      </c>
      <c r="J91" s="24">
        <f t="shared" si="4"/>
        <v>1.9800000000000002E-2</v>
      </c>
    </row>
    <row r="92" spans="1:10" ht="15.5">
      <c r="A92" s="46" t="str">
        <f>'Sovereign Ratings (Moody''s,S&amp;P)'!A92</f>
        <v>Mali</v>
      </c>
      <c r="B92" s="56" t="str">
        <f>'Sovereign Ratings (Moody''s,S&amp;P)'!D92</f>
        <v>Caa2</v>
      </c>
      <c r="C92" s="118" t="s">
        <v>142</v>
      </c>
      <c r="D92" s="57" t="str">
        <f t="shared" si="3"/>
        <v>NA</v>
      </c>
      <c r="H92" s="46" t="s">
        <v>1</v>
      </c>
      <c r="I92" s="48" t="s">
        <v>142</v>
      </c>
      <c r="J92" s="24" t="str">
        <f t="shared" si="4"/>
        <v>NA</v>
      </c>
    </row>
    <row r="93" spans="1:10" ht="15.5">
      <c r="A93" s="46" t="str">
        <f>'Sovereign Ratings (Moody''s,S&amp;P)'!A93</f>
        <v>Malta</v>
      </c>
      <c r="B93" s="56" t="str">
        <f>'Sovereign Ratings (Moody''s,S&amp;P)'!D93</f>
        <v>A2</v>
      </c>
      <c r="C93" s="118" t="s">
        <v>142</v>
      </c>
      <c r="D93" s="57" t="str">
        <f t="shared" si="3"/>
        <v>NA</v>
      </c>
      <c r="H93" s="46" t="s">
        <v>224</v>
      </c>
      <c r="I93" s="48">
        <v>4.5499999999999999E-2</v>
      </c>
      <c r="J93" s="24">
        <f t="shared" si="4"/>
        <v>4.1399999999999999E-2</v>
      </c>
    </row>
    <row r="94" spans="1:10" ht="15.5">
      <c r="A94" s="46" t="str">
        <f>'Sovereign Ratings (Moody''s,S&amp;P)'!A94</f>
        <v>Mauritius</v>
      </c>
      <c r="B94" s="56" t="str">
        <f>'Sovereign Ratings (Moody''s,S&amp;P)'!D94</f>
        <v>Baa3</v>
      </c>
      <c r="C94" s="118" t="s">
        <v>142</v>
      </c>
      <c r="D94" s="57" t="str">
        <f t="shared" si="3"/>
        <v>NA</v>
      </c>
      <c r="H94" s="46" t="s">
        <v>2</v>
      </c>
      <c r="I94" s="48">
        <v>1.0500000000000001E-2</v>
      </c>
      <c r="J94" s="24">
        <f t="shared" si="4"/>
        <v>6.4000000000000003E-3</v>
      </c>
    </row>
    <row r="95" spans="1:10" ht="15.5">
      <c r="A95" s="46" t="str">
        <f>'Sovereign Ratings (Moody''s,S&amp;P)'!A95</f>
        <v>Mexico</v>
      </c>
      <c r="B95" s="56" t="str">
        <f>'Sovereign Ratings (Moody''s,S&amp;P)'!D95</f>
        <v>Baa2</v>
      </c>
      <c r="C95" s="118">
        <f>VLOOKUP(A95,$H$24:$J$113,2,FALSE)</f>
        <v>2.2200000000000001E-2</v>
      </c>
      <c r="D95" s="57">
        <f t="shared" si="3"/>
        <v>1.8100000000000002E-2</v>
      </c>
      <c r="H95" s="46" t="s">
        <v>134</v>
      </c>
      <c r="I95" s="48">
        <v>6.2300000000000001E-2</v>
      </c>
      <c r="J95" s="24">
        <f t="shared" si="4"/>
        <v>5.8200000000000002E-2</v>
      </c>
    </row>
    <row r="96" spans="1:10" ht="15.5">
      <c r="A96" s="46" t="str">
        <f>'Sovereign Ratings (Moody''s,S&amp;P)'!A96</f>
        <v>Moldova</v>
      </c>
      <c r="B96" s="56" t="str">
        <f>'Sovereign Ratings (Moody''s,S&amp;P)'!D96</f>
        <v>B3</v>
      </c>
      <c r="C96" s="118" t="s">
        <v>142</v>
      </c>
      <c r="D96" s="57" t="str">
        <f t="shared" si="3"/>
        <v>NA</v>
      </c>
      <c r="H96" s="46" t="s">
        <v>145</v>
      </c>
      <c r="I96" s="48">
        <v>1.26E-2</v>
      </c>
      <c r="J96" s="24">
        <f t="shared" si="4"/>
        <v>8.5000000000000006E-3</v>
      </c>
    </row>
    <row r="97" spans="1:10" ht="15.5">
      <c r="A97" s="46" t="str">
        <f>'Sovereign Ratings (Moody''s,S&amp;P)'!A97</f>
        <v>Mongolia</v>
      </c>
      <c r="B97" s="56" t="str">
        <f>'Sovereign Ratings (Moody''s,S&amp;P)'!D97</f>
        <v>B2</v>
      </c>
      <c r="C97" s="118" t="s">
        <v>142</v>
      </c>
      <c r="D97" s="57" t="str">
        <f t="shared" si="3"/>
        <v>NA</v>
      </c>
      <c r="H97" s="46" t="s">
        <v>61</v>
      </c>
      <c r="I97" s="48">
        <v>5.4999999999999997E-3</v>
      </c>
      <c r="J97" s="24">
        <f t="shared" si="4"/>
        <v>1.3999999999999993E-3</v>
      </c>
    </row>
    <row r="98" spans="1:10" ht="15.5">
      <c r="A98" s="46" t="str">
        <f>'Sovereign Ratings (Moody''s,S&amp;P)'!A98</f>
        <v>Montenegro</v>
      </c>
      <c r="B98" s="56" t="str">
        <f>'Sovereign Ratings (Moody''s,S&amp;P)'!D98</f>
        <v>B1</v>
      </c>
      <c r="C98" s="118" t="s">
        <v>142</v>
      </c>
      <c r="D98" s="57" t="str">
        <f t="shared" si="3"/>
        <v>NA</v>
      </c>
      <c r="H98" s="46" t="s">
        <v>187</v>
      </c>
      <c r="I98" s="48">
        <v>7.1999999999999998E-3</v>
      </c>
      <c r="J98" s="24">
        <f t="shared" si="4"/>
        <v>3.0999999999999995E-3</v>
      </c>
    </row>
    <row r="99" spans="1:10" ht="15.5">
      <c r="A99" s="46" t="str">
        <f>'Sovereign Ratings (Moody''s,S&amp;P)'!A99</f>
        <v>Montserrat</v>
      </c>
      <c r="B99" s="56" t="str">
        <f>'Sovereign Ratings (Moody''s,S&amp;P)'!D99</f>
        <v>Baa3</v>
      </c>
      <c r="C99" s="118" t="s">
        <v>142</v>
      </c>
      <c r="D99" s="57" t="str">
        <f t="shared" si="3"/>
        <v>NA</v>
      </c>
      <c r="H99" s="46" t="s">
        <v>75</v>
      </c>
      <c r="I99" s="48">
        <v>0.03</v>
      </c>
      <c r="J99" s="24">
        <f t="shared" si="4"/>
        <v>2.5899999999999999E-2</v>
      </c>
    </row>
    <row r="100" spans="1:10" ht="15.5">
      <c r="A100" s="46" t="str">
        <f>'Sovereign Ratings (Moody''s,S&amp;P)'!A100</f>
        <v>Morocco</v>
      </c>
      <c r="B100" s="56" t="str">
        <f>'Sovereign Ratings (Moody''s,S&amp;P)'!D100</f>
        <v>Ba1</v>
      </c>
      <c r="C100" s="118">
        <f>VLOOKUP(A100,$H$24:$J$113,2,FALSE)</f>
        <v>1.5100000000000001E-2</v>
      </c>
      <c r="D100" s="57">
        <f t="shared" si="3"/>
        <v>1.0999999999999999E-2</v>
      </c>
      <c r="H100" s="46" t="s">
        <v>137</v>
      </c>
      <c r="I100" s="48">
        <v>6.7000000000000002E-3</v>
      </c>
      <c r="J100" s="24">
        <f t="shared" si="4"/>
        <v>2.5999999999999999E-3</v>
      </c>
    </row>
    <row r="101" spans="1:10" ht="15.5">
      <c r="A101" s="46" t="str">
        <f>'Sovereign Ratings (Moody''s,S&amp;P)'!A101</f>
        <v>Mozambique</v>
      </c>
      <c r="B101" s="56" t="str">
        <f>'Sovereign Ratings (Moody''s,S&amp;P)'!D101</f>
        <v>Caa2</v>
      </c>
      <c r="C101" s="118" t="s">
        <v>142</v>
      </c>
      <c r="D101" s="57" t="str">
        <f t="shared" si="3"/>
        <v>NA</v>
      </c>
      <c r="H101" s="46" t="s">
        <v>133</v>
      </c>
      <c r="I101" s="48" t="s">
        <v>142</v>
      </c>
      <c r="J101" s="24" t="str">
        <f t="shared" si="4"/>
        <v>NA</v>
      </c>
    </row>
    <row r="102" spans="1:10" ht="15.5">
      <c r="A102" s="46" t="str">
        <f>'Sovereign Ratings (Moody''s,S&amp;P)'!A102</f>
        <v>Namibia</v>
      </c>
      <c r="B102" s="56" t="str">
        <f>'Sovereign Ratings (Moody''s,S&amp;P)'!D102</f>
        <v>B1</v>
      </c>
      <c r="C102" s="118" t="s">
        <v>142</v>
      </c>
      <c r="D102" s="57" t="str">
        <f t="shared" si="3"/>
        <v>NA</v>
      </c>
      <c r="H102" s="46" t="s">
        <v>34</v>
      </c>
      <c r="I102" s="48">
        <v>2E-3</v>
      </c>
      <c r="J102" s="24">
        <f t="shared" si="4"/>
        <v>0</v>
      </c>
    </row>
    <row r="103" spans="1:10" ht="15.5">
      <c r="A103" s="46" t="s">
        <v>373</v>
      </c>
      <c r="B103" s="56" t="str">
        <f>'Sovereign Ratings (Moody''s,S&amp;P)'!D103</f>
        <v>Ba3</v>
      </c>
      <c r="C103" s="118" t="s">
        <v>142</v>
      </c>
      <c r="D103" s="57" t="str">
        <f t="shared" si="3"/>
        <v>NA</v>
      </c>
      <c r="H103" s="46" t="s">
        <v>35</v>
      </c>
      <c r="I103" s="48">
        <v>1.4E-3</v>
      </c>
      <c r="J103" s="24">
        <f t="shared" si="4"/>
        <v>0</v>
      </c>
    </row>
    <row r="104" spans="1:10" ht="15.5">
      <c r="A104" s="46" t="str">
        <f>'Sovereign Ratings (Moody''s,S&amp;P)'!A104</f>
        <v>Netherlands</v>
      </c>
      <c r="B104" s="56" t="str">
        <f>'Sovereign Ratings (Moody''s,S&amp;P)'!D104</f>
        <v>Aaa</v>
      </c>
      <c r="C104" s="118">
        <f>VLOOKUP(A104,$H$24:$J$113,2,FALSE)</f>
        <v>2.5000000000000001E-3</v>
      </c>
      <c r="D104" s="57">
        <f t="shared" si="3"/>
        <v>0</v>
      </c>
      <c r="H104" s="46" t="s">
        <v>65</v>
      </c>
      <c r="I104" s="48">
        <v>7.0000000000000001E-3</v>
      </c>
      <c r="J104" s="24">
        <f t="shared" si="4"/>
        <v>2.8999999999999998E-3</v>
      </c>
    </row>
    <row r="105" spans="1:10" ht="15.5">
      <c r="A105" s="46" t="str">
        <f>'Sovereign Ratings (Moody''s,S&amp;P)'!A105</f>
        <v>New Zealand</v>
      </c>
      <c r="B105" s="56" t="str">
        <f>'Sovereign Ratings (Moody''s,S&amp;P)'!D105</f>
        <v>Aaa</v>
      </c>
      <c r="C105" s="118">
        <f>VLOOKUP(A105,$H$24:$J$113,2,FALSE)</f>
        <v>2E-3</v>
      </c>
      <c r="D105" s="57">
        <f t="shared" si="3"/>
        <v>0</v>
      </c>
      <c r="H105" s="46" t="s">
        <v>76</v>
      </c>
      <c r="I105" s="48">
        <v>0.1024</v>
      </c>
      <c r="J105" s="24">
        <f t="shared" si="4"/>
        <v>9.8299999999999998E-2</v>
      </c>
    </row>
    <row r="106" spans="1:10" ht="15.5">
      <c r="A106" s="46" t="str">
        <f>'Sovereign Ratings (Moody''s,S&amp;P)'!A106</f>
        <v>Nicaragua</v>
      </c>
      <c r="B106" s="56" t="str">
        <f>'Sovereign Ratings (Moody''s,S&amp;P)'!D106</f>
        <v>B2</v>
      </c>
      <c r="C106" s="118">
        <f>VLOOKUP(A106,$H$24:$J$113,2,FALSE)</f>
        <v>6.5699999999999995E-2</v>
      </c>
      <c r="D106" s="57">
        <f t="shared" si="3"/>
        <v>6.1599999999999995E-2</v>
      </c>
      <c r="H106" s="46" t="s">
        <v>66</v>
      </c>
      <c r="I106" s="48">
        <v>3.6200000000000003E-2</v>
      </c>
      <c r="J106" s="24">
        <f t="shared" si="4"/>
        <v>3.2100000000000004E-2</v>
      </c>
    </row>
    <row r="107" spans="1:10" ht="15.5">
      <c r="A107" s="46" t="s">
        <v>316</v>
      </c>
      <c r="B107" s="56" t="str">
        <f>'Sovereign Ratings (Moody''s,S&amp;P)'!D107</f>
        <v>Caa3</v>
      </c>
      <c r="C107" s="118" t="s">
        <v>142</v>
      </c>
      <c r="D107" s="57" t="str">
        <f t="shared" si="3"/>
        <v>NA</v>
      </c>
      <c r="H107" s="46" t="s">
        <v>68</v>
      </c>
      <c r="I107" s="48" t="s">
        <v>142</v>
      </c>
      <c r="J107" s="24" t="str">
        <f t="shared" si="4"/>
        <v>NA</v>
      </c>
    </row>
    <row r="108" spans="1:10" ht="15.5">
      <c r="A108" s="46" t="str">
        <f>'Sovereign Ratings (Moody''s,S&amp;P)'!A108</f>
        <v>Nigeria</v>
      </c>
      <c r="B108" s="56" t="str">
        <f>'Sovereign Ratings (Moody''s,S&amp;P)'!D108</f>
        <v>Caa1</v>
      </c>
      <c r="C108" s="118">
        <f>VLOOKUP(A108,$H$24:$J$113,2,FALSE)</f>
        <v>6.4399999999999999E-2</v>
      </c>
      <c r="D108" s="57">
        <f t="shared" si="3"/>
        <v>6.0299999999999999E-2</v>
      </c>
      <c r="H108" s="46" t="s">
        <v>57</v>
      </c>
      <c r="I108" s="48">
        <v>3.8999999999999998E-3</v>
      </c>
      <c r="J108" s="24">
        <f t="shared" si="4"/>
        <v>0</v>
      </c>
    </row>
    <row r="109" spans="1:10" ht="15.5">
      <c r="A109" s="46" t="str">
        <f>'Sovereign Ratings (Moody''s,S&amp;P)'!A109</f>
        <v>Norway</v>
      </c>
      <c r="B109" s="56" t="str">
        <f>'Sovereign Ratings (Moody''s,S&amp;P)'!D109</f>
        <v>Aaa</v>
      </c>
      <c r="C109" s="118">
        <f>VLOOKUP(A109,$H$24:$J$113,2,FALSE)</f>
        <v>1.9E-3</v>
      </c>
      <c r="D109" s="57">
        <f t="shared" si="3"/>
        <v>0</v>
      </c>
      <c r="H109" s="46" t="s">
        <v>348</v>
      </c>
      <c r="I109" s="48">
        <v>4.1000000000000003E-3</v>
      </c>
      <c r="J109" s="24">
        <f t="shared" si="4"/>
        <v>0</v>
      </c>
    </row>
    <row r="110" spans="1:10" ht="15.5">
      <c r="A110" s="46" t="str">
        <f>'Sovereign Ratings (Moody''s,S&amp;P)'!A110</f>
        <v>Oman</v>
      </c>
      <c r="B110" s="56" t="str">
        <f>'Sovereign Ratings (Moody''s,S&amp;P)'!D110</f>
        <v>Ba1</v>
      </c>
      <c r="C110" s="118">
        <f>VLOOKUP(A110,$H$24:$J$113,2,FALSE)</f>
        <v>1.6299999999999999E-2</v>
      </c>
      <c r="D110" s="57">
        <f t="shared" si="3"/>
        <v>1.2199999999999999E-2</v>
      </c>
      <c r="H110" s="46" t="s">
        <v>69</v>
      </c>
      <c r="I110" s="48">
        <v>1.2699999999999999E-2</v>
      </c>
      <c r="J110" s="24">
        <f t="shared" si="4"/>
        <v>8.6E-3</v>
      </c>
    </row>
    <row r="111" spans="1:10" ht="15.5">
      <c r="A111" s="46" t="str">
        <f>'Sovereign Ratings (Moody''s,S&amp;P)'!A111</f>
        <v>Pakistan</v>
      </c>
      <c r="B111" s="56" t="str">
        <f>'Sovereign Ratings (Moody''s,S&amp;P)'!D111</f>
        <v>Caa2</v>
      </c>
      <c r="C111" s="118">
        <f>VLOOKUP(A111,$H$24:$J$113,2,FALSE)</f>
        <v>0.16489999999999999</v>
      </c>
      <c r="D111" s="57">
        <f t="shared" si="3"/>
        <v>0.1608</v>
      </c>
      <c r="H111" s="46" t="s">
        <v>70</v>
      </c>
      <c r="I111" s="48">
        <v>0.1008</v>
      </c>
      <c r="J111" s="24">
        <f t="shared" si="4"/>
        <v>9.6699999999999994E-2</v>
      </c>
    </row>
    <row r="112" spans="1:10" ht="15.5">
      <c r="A112" s="46" t="str">
        <f>'Sovereign Ratings (Moody''s,S&amp;P)'!A112</f>
        <v>Panama</v>
      </c>
      <c r="B112" s="56" t="str">
        <f>'Sovereign Ratings (Moody''s,S&amp;P)'!D112</f>
        <v>Baa3</v>
      </c>
      <c r="C112" s="118">
        <f>VLOOKUP(A112,$H$24:$J$113,2,FALSE)</f>
        <v>3.0800000000000001E-2</v>
      </c>
      <c r="D112" s="57">
        <f t="shared" si="3"/>
        <v>2.6700000000000002E-2</v>
      </c>
      <c r="H112" t="s">
        <v>71</v>
      </c>
      <c r="I112" s="63">
        <v>1.6500000000000001E-2</v>
      </c>
      <c r="J112" s="24">
        <f t="shared" si="4"/>
        <v>1.2400000000000001E-2</v>
      </c>
    </row>
    <row r="113" spans="1:10" ht="15.5">
      <c r="A113" s="46" t="str">
        <f>'Sovereign Ratings (Moody''s,S&amp;P)'!A113</f>
        <v>Papua New Guinea</v>
      </c>
      <c r="B113" s="56" t="str">
        <f>'Sovereign Ratings (Moody''s,S&amp;P)'!D113</f>
        <v>B2</v>
      </c>
      <c r="C113" s="118" t="s">
        <v>142</v>
      </c>
      <c r="D113" s="57" t="str">
        <f t="shared" si="3"/>
        <v>NA</v>
      </c>
      <c r="H113" t="s">
        <v>189</v>
      </c>
      <c r="I113" s="63" t="s">
        <v>142</v>
      </c>
      <c r="J113" s="24" t="str">
        <f t="shared" si="4"/>
        <v>NA</v>
      </c>
    </row>
    <row r="114" spans="1:10" ht="15.5">
      <c r="A114" s="46" t="str">
        <f>'Sovereign Ratings (Moody''s,S&amp;P)'!A114</f>
        <v>Paraguay</v>
      </c>
      <c r="B114" s="56" t="str">
        <f>'Sovereign Ratings (Moody''s,S&amp;P)'!D114</f>
        <v>Baa3</v>
      </c>
      <c r="C114" s="118" t="s">
        <v>142</v>
      </c>
      <c r="D114" s="57" t="str">
        <f t="shared" si="3"/>
        <v>NA</v>
      </c>
    </row>
    <row r="115" spans="1:10" ht="15.5">
      <c r="A115" s="46" t="str">
        <f>'Sovereign Ratings (Moody''s,S&amp;P)'!A115</f>
        <v>Peru</v>
      </c>
      <c r="B115" s="56" t="str">
        <f>'Sovereign Ratings (Moody''s,S&amp;P)'!D115</f>
        <v>Baa1</v>
      </c>
      <c r="C115" s="118">
        <f>VLOOKUP(A115,$H$24:$J$113,2,FALSE)</f>
        <v>1.47E-2</v>
      </c>
      <c r="D115" s="57">
        <f t="shared" si="3"/>
        <v>1.0599999999999998E-2</v>
      </c>
    </row>
    <row r="116" spans="1:10" ht="15.5">
      <c r="A116" s="46" t="str">
        <f>'Sovereign Ratings (Moody''s,S&amp;P)'!A116</f>
        <v>Philippines</v>
      </c>
      <c r="B116" s="56" t="str">
        <f>'Sovereign Ratings (Moody''s,S&amp;P)'!D116</f>
        <v>Baa2</v>
      </c>
      <c r="C116" s="118">
        <f>VLOOKUP(A116,$H$24:$J$113,2,FALSE)</f>
        <v>1.21E-2</v>
      </c>
      <c r="D116" s="57">
        <f t="shared" si="3"/>
        <v>8.0000000000000002E-3</v>
      </c>
    </row>
    <row r="117" spans="1:10" ht="15.5">
      <c r="A117" s="46" t="str">
        <f>'Sovereign Ratings (Moody''s,S&amp;P)'!A117</f>
        <v>Poland</v>
      </c>
      <c r="B117" s="56" t="str">
        <f>'Sovereign Ratings (Moody''s,S&amp;P)'!D117</f>
        <v>A2</v>
      </c>
      <c r="C117" s="118">
        <f>VLOOKUP(A117,$H$24:$J$113,2,FALSE)</f>
        <v>1.0500000000000001E-2</v>
      </c>
      <c r="D117" s="57">
        <f t="shared" si="3"/>
        <v>6.4000000000000003E-3</v>
      </c>
    </row>
    <row r="118" spans="1:10" ht="15.5">
      <c r="A118" s="46" t="str">
        <f>'Sovereign Ratings (Moody''s,S&amp;P)'!A118</f>
        <v>Portugal</v>
      </c>
      <c r="B118" s="56" t="str">
        <f>'Sovereign Ratings (Moody''s,S&amp;P)'!D118</f>
        <v>A3</v>
      </c>
      <c r="C118" s="118">
        <f>VLOOKUP(A118,$H$24:$J$113,2,FALSE)</f>
        <v>5.7999999999999996E-3</v>
      </c>
      <c r="D118" s="57">
        <f t="shared" si="3"/>
        <v>1.6999999999999993E-3</v>
      </c>
    </row>
    <row r="119" spans="1:10" ht="15.5">
      <c r="A119" s="46" t="str">
        <f>'Sovereign Ratings (Moody''s,S&amp;P)'!A119</f>
        <v>Qatar</v>
      </c>
      <c r="B119" s="56" t="str">
        <f>'Sovereign Ratings (Moody''s,S&amp;P)'!D119</f>
        <v>Aa2</v>
      </c>
      <c r="C119" s="118">
        <f>VLOOKUP(A119,$H$24:$J$113,2,FALSE)</f>
        <v>7.7000000000000002E-3</v>
      </c>
      <c r="D119" s="57">
        <f t="shared" si="3"/>
        <v>3.5999999999999999E-3</v>
      </c>
    </row>
    <row r="120" spans="1:10" ht="15.5">
      <c r="A120" s="46" t="str">
        <f>'Sovereign Ratings (Moody''s,S&amp;P)'!A120</f>
        <v>Ras Al Khaimah (Emirate of)</v>
      </c>
      <c r="B120" s="56" t="str">
        <f>'Sovereign Ratings (Moody''s,S&amp;P)'!D120</f>
        <v>A3</v>
      </c>
      <c r="C120" s="118" t="s">
        <v>142</v>
      </c>
      <c r="D120" s="57" t="str">
        <f t="shared" si="3"/>
        <v>NA</v>
      </c>
    </row>
    <row r="121" spans="1:10" ht="15.5">
      <c r="A121" s="46" t="str">
        <f>'Sovereign Ratings (Moody''s,S&amp;P)'!A121</f>
        <v>Romania</v>
      </c>
      <c r="B121" s="56" t="str">
        <f>'Sovereign Ratings (Moody''s,S&amp;P)'!D121</f>
        <v>Baa3</v>
      </c>
      <c r="C121" s="118">
        <f t="shared" ref="C121" si="5">VLOOKUP(A121,$H$24:$J$113,2,FALSE)</f>
        <v>2.3900000000000001E-2</v>
      </c>
      <c r="D121" s="57">
        <f t="shared" si="3"/>
        <v>1.9800000000000002E-2</v>
      </c>
    </row>
    <row r="122" spans="1:10" ht="15.5">
      <c r="A122" s="46" t="str">
        <f>'Sovereign Ratings (Moody''s,S&amp;P)'!A122</f>
        <v>Rwanda</v>
      </c>
      <c r="B122" s="56" t="str">
        <f>'Sovereign Ratings (Moody''s,S&amp;P)'!D122</f>
        <v>B2</v>
      </c>
      <c r="C122" s="118">
        <f t="shared" ref="C122:C158" si="6">VLOOKUP(A122,$H$24:$J$113,2,FALSE)</f>
        <v>4.5499999999999999E-2</v>
      </c>
      <c r="D122" s="57">
        <f t="shared" si="3"/>
        <v>4.1399999999999999E-2</v>
      </c>
    </row>
    <row r="123" spans="1:10" ht="15.5">
      <c r="A123" s="46" t="str">
        <f>'Sovereign Ratings (Moody''s,S&amp;P)'!A123</f>
        <v>Saudi Arabia</v>
      </c>
      <c r="B123" s="56" t="str">
        <f>'Sovereign Ratings (Moody''s,S&amp;P)'!D123</f>
        <v>Aa3</v>
      </c>
      <c r="C123" s="118">
        <f t="shared" si="6"/>
        <v>1.0500000000000001E-2</v>
      </c>
      <c r="D123" s="57">
        <f t="shared" si="3"/>
        <v>6.4000000000000003E-3</v>
      </c>
    </row>
    <row r="124" spans="1:10" ht="15.5">
      <c r="A124" s="46" t="str">
        <f>'Sovereign Ratings (Moody''s,S&amp;P)'!A124</f>
        <v>Senegal</v>
      </c>
      <c r="B124" s="56" t="str">
        <f>'Sovereign Ratings (Moody''s,S&amp;P)'!D124</f>
        <v>B1</v>
      </c>
      <c r="C124" s="118">
        <f t="shared" si="6"/>
        <v>6.2300000000000001E-2</v>
      </c>
      <c r="D124" s="57">
        <f t="shared" si="3"/>
        <v>5.8200000000000002E-2</v>
      </c>
    </row>
    <row r="125" spans="1:10" ht="15.5">
      <c r="A125" s="46" t="str">
        <f>'Sovereign Ratings (Moody''s,S&amp;P)'!A125</f>
        <v>Serbia</v>
      </c>
      <c r="B125" s="56" t="str">
        <f>'Sovereign Ratings (Moody''s,S&amp;P)'!D125</f>
        <v>Ba2</v>
      </c>
      <c r="C125" s="118">
        <f t="shared" si="6"/>
        <v>1.26E-2</v>
      </c>
      <c r="D125" s="57">
        <f t="shared" si="3"/>
        <v>8.5000000000000006E-3</v>
      </c>
    </row>
    <row r="126" spans="1:10" ht="15.5">
      <c r="A126" s="46" t="str">
        <f>'Sovereign Ratings (Moody''s,S&amp;P)'!A126</f>
        <v>Sharjah</v>
      </c>
      <c r="B126" s="56" t="str">
        <f>'Sovereign Ratings (Moody''s,S&amp;P)'!D126</f>
        <v>Ba1</v>
      </c>
      <c r="C126" s="118" t="e">
        <f t="shared" si="6"/>
        <v>#N/A</v>
      </c>
      <c r="D126" s="57" t="e">
        <f t="shared" si="3"/>
        <v>#N/A</v>
      </c>
    </row>
    <row r="127" spans="1:10" ht="15.5">
      <c r="A127" s="46" t="str">
        <f>'Sovereign Ratings (Moody''s,S&amp;P)'!A127</f>
        <v>Singapore</v>
      </c>
      <c r="B127" s="56" t="str">
        <f>'Sovereign Ratings (Moody''s,S&amp;P)'!D127</f>
        <v>Aaa</v>
      </c>
      <c r="C127" s="118" t="e">
        <f t="shared" si="6"/>
        <v>#N/A</v>
      </c>
      <c r="D127" s="57" t="e">
        <f t="shared" si="3"/>
        <v>#N/A</v>
      </c>
    </row>
    <row r="128" spans="1:10" ht="15.5">
      <c r="A128" s="46" t="str">
        <f>'Sovereign Ratings (Moody''s,S&amp;P)'!A128</f>
        <v>Slovakia</v>
      </c>
      <c r="B128" s="56" t="str">
        <f>'Sovereign Ratings (Moody''s,S&amp;P)'!D128</f>
        <v>A3</v>
      </c>
      <c r="C128" s="118">
        <f t="shared" si="6"/>
        <v>5.4999999999999997E-3</v>
      </c>
      <c r="D128" s="57">
        <f t="shared" si="3"/>
        <v>1.3999999999999993E-3</v>
      </c>
    </row>
    <row r="129" spans="1:4" ht="15.5">
      <c r="A129" s="46" t="str">
        <f>'Sovereign Ratings (Moody''s,S&amp;P)'!A129</f>
        <v>Slovenia</v>
      </c>
      <c r="B129" s="56" t="str">
        <f>'Sovereign Ratings (Moody''s,S&amp;P)'!D129</f>
        <v>A3</v>
      </c>
      <c r="C129" s="118">
        <f t="shared" si="6"/>
        <v>7.1999999999999998E-3</v>
      </c>
      <c r="D129" s="57">
        <f t="shared" si="3"/>
        <v>3.0999999999999995E-3</v>
      </c>
    </row>
    <row r="130" spans="1:4" ht="15.5">
      <c r="A130" s="46" t="str">
        <f>'Sovereign Ratings (Moody''s,S&amp;P)'!A130</f>
        <v>Solomon Islands</v>
      </c>
      <c r="B130" s="56" t="str">
        <f>'Sovereign Ratings (Moody''s,S&amp;P)'!D130</f>
        <v>Caa1</v>
      </c>
      <c r="C130" s="118" t="e">
        <f t="shared" si="6"/>
        <v>#N/A</v>
      </c>
      <c r="D130" s="57" t="e">
        <f t="shared" si="3"/>
        <v>#N/A</v>
      </c>
    </row>
    <row r="131" spans="1:4" ht="15.5">
      <c r="A131" s="46" t="str">
        <f>'Sovereign Ratings (Moody''s,S&amp;P)'!A131</f>
        <v>South Africa</v>
      </c>
      <c r="B131" s="56" t="str">
        <f>'Sovereign Ratings (Moody''s,S&amp;P)'!D131</f>
        <v>Ba2</v>
      </c>
      <c r="C131" s="118">
        <f t="shared" si="6"/>
        <v>0.03</v>
      </c>
      <c r="D131" s="57">
        <f t="shared" ref="D131:D158" si="7">IF(C131="NA","NA",IF(C131&gt;$C$153,C131-$C$153,0))</f>
        <v>2.5899999999999999E-2</v>
      </c>
    </row>
    <row r="132" spans="1:4" ht="15.5">
      <c r="A132" s="46" t="str">
        <f>'Sovereign Ratings (Moody''s,S&amp;P)'!A132</f>
        <v>Spain</v>
      </c>
      <c r="B132" s="56" t="str">
        <f>'Sovereign Ratings (Moody''s,S&amp;P)'!D132</f>
        <v>Baa1</v>
      </c>
      <c r="C132" s="118">
        <f t="shared" si="6"/>
        <v>6.7000000000000002E-3</v>
      </c>
      <c r="D132" s="57">
        <f t="shared" si="7"/>
        <v>2.5999999999999999E-3</v>
      </c>
    </row>
    <row r="133" spans="1:4" ht="15.5">
      <c r="A133" s="46" t="str">
        <f>'Sovereign Ratings (Moody''s,S&amp;P)'!A133</f>
        <v>Sri Lanka</v>
      </c>
      <c r="B133" s="56" t="str">
        <f>'Sovereign Ratings (Moody''s,S&amp;P)'!D133</f>
        <v>Ca</v>
      </c>
      <c r="C133" s="118" t="str">
        <f t="shared" si="6"/>
        <v>NA</v>
      </c>
      <c r="D133" s="57" t="str">
        <f t="shared" si="7"/>
        <v>NA</v>
      </c>
    </row>
    <row r="134" spans="1:4" ht="15.5">
      <c r="A134" s="46" t="str">
        <f>'Sovereign Ratings (Moody''s,S&amp;P)'!A134</f>
        <v>St. Maarten</v>
      </c>
      <c r="B134" s="56" t="str">
        <f>'Sovereign Ratings (Moody''s,S&amp;P)'!D134</f>
        <v>Ba2</v>
      </c>
      <c r="C134" s="118" t="e">
        <f t="shared" si="6"/>
        <v>#N/A</v>
      </c>
      <c r="D134" s="57" t="e">
        <f t="shared" si="7"/>
        <v>#N/A</v>
      </c>
    </row>
    <row r="135" spans="1:4" ht="15.5">
      <c r="A135" s="46" t="str">
        <f>'Sovereign Ratings (Moody''s,S&amp;P)'!A135</f>
        <v>St. Vincent &amp; the Grenadines</v>
      </c>
      <c r="B135" s="56" t="str">
        <f>'Sovereign Ratings (Moody''s,S&amp;P)'!D135</f>
        <v>B3</v>
      </c>
      <c r="C135" s="118" t="e">
        <f t="shared" si="6"/>
        <v>#N/A</v>
      </c>
      <c r="D135" s="57" t="e">
        <f t="shared" si="7"/>
        <v>#N/A</v>
      </c>
    </row>
    <row r="136" spans="1:4" ht="15.5">
      <c r="A136" s="46" t="str">
        <f>'Sovereign Ratings (Moody''s,S&amp;P)'!A136</f>
        <v>Suriname</v>
      </c>
      <c r="B136" s="56" t="str">
        <f>'Sovereign Ratings (Moody''s,S&amp;P)'!D136</f>
        <v>Caa1</v>
      </c>
      <c r="C136" s="118" t="e">
        <f t="shared" si="6"/>
        <v>#N/A</v>
      </c>
      <c r="D136" s="57" t="e">
        <f t="shared" si="7"/>
        <v>#N/A</v>
      </c>
    </row>
    <row r="137" spans="1:4" ht="15.5">
      <c r="A137" s="46" t="str">
        <f>'Sovereign Ratings (Moody''s,S&amp;P)'!A137</f>
        <v>Swaziland</v>
      </c>
      <c r="B137" s="56" t="str">
        <f>'Sovereign Ratings (Moody''s,S&amp;P)'!D137</f>
        <v>B2</v>
      </c>
      <c r="C137" s="118" t="e">
        <f t="shared" si="6"/>
        <v>#N/A</v>
      </c>
      <c r="D137" s="57" t="e">
        <f t="shared" si="7"/>
        <v>#N/A</v>
      </c>
    </row>
    <row r="138" spans="1:4" ht="15.5">
      <c r="A138" s="46" t="str">
        <f>'Sovereign Ratings (Moody''s,S&amp;P)'!A138</f>
        <v>Sweden</v>
      </c>
      <c r="B138" s="56" t="str">
        <f>'Sovereign Ratings (Moody''s,S&amp;P)'!D138</f>
        <v>Aaa</v>
      </c>
      <c r="C138" s="118">
        <f t="shared" si="6"/>
        <v>2E-3</v>
      </c>
      <c r="D138" s="57">
        <f t="shared" si="7"/>
        <v>0</v>
      </c>
    </row>
    <row r="139" spans="1:4" ht="15.5">
      <c r="A139" s="46" t="str">
        <f>'Sovereign Ratings (Moody''s,S&amp;P)'!A139</f>
        <v>Switzerland</v>
      </c>
      <c r="B139" s="56" t="str">
        <f>'Sovereign Ratings (Moody''s,S&amp;P)'!D139</f>
        <v>Aaa</v>
      </c>
      <c r="C139" s="118">
        <f t="shared" si="6"/>
        <v>1.4E-3</v>
      </c>
      <c r="D139" s="57">
        <f t="shared" si="7"/>
        <v>0</v>
      </c>
    </row>
    <row r="140" spans="1:4" ht="15.5">
      <c r="A140" s="46" t="str">
        <f>'Sovereign Ratings (Moody''s,S&amp;P)'!A140</f>
        <v>Taiwan</v>
      </c>
      <c r="B140" s="56" t="str">
        <f>'Sovereign Ratings (Moody''s,S&amp;P)'!D140</f>
        <v>Aa3</v>
      </c>
      <c r="C140" s="118" t="e">
        <f t="shared" si="6"/>
        <v>#N/A</v>
      </c>
      <c r="D140" s="57" t="e">
        <f t="shared" si="7"/>
        <v>#N/A</v>
      </c>
    </row>
    <row r="141" spans="1:4" ht="15.5">
      <c r="A141" s="46" t="str">
        <f>'Sovereign Ratings (Moody''s,S&amp;P)'!A141</f>
        <v>Tajikistan</v>
      </c>
      <c r="B141" s="56" t="str">
        <f>'Sovereign Ratings (Moody''s,S&amp;P)'!D141</f>
        <v>B3</v>
      </c>
      <c r="C141" s="118" t="e">
        <f t="shared" si="6"/>
        <v>#N/A</v>
      </c>
      <c r="D141" s="57" t="e">
        <f t="shared" si="7"/>
        <v>#N/A</v>
      </c>
    </row>
    <row r="142" spans="1:4" ht="15.5">
      <c r="A142" s="46" t="str">
        <f>'Sovereign Ratings (Moody''s,S&amp;P)'!A142</f>
        <v>Tanzania</v>
      </c>
      <c r="B142" s="56" t="str">
        <f>'Sovereign Ratings (Moody''s,S&amp;P)'!D142</f>
        <v>B1</v>
      </c>
      <c r="C142" s="118" t="e">
        <f t="shared" si="6"/>
        <v>#N/A</v>
      </c>
      <c r="D142" s="57" t="e">
        <f t="shared" si="7"/>
        <v>#N/A</v>
      </c>
    </row>
    <row r="143" spans="1:4" ht="15.5">
      <c r="A143" s="46" t="str">
        <f>'Sovereign Ratings (Moody''s,S&amp;P)'!A143</f>
        <v>Thailand</v>
      </c>
      <c r="B143" s="56" t="str">
        <f>'Sovereign Ratings (Moody''s,S&amp;P)'!D143</f>
        <v>Baa1</v>
      </c>
      <c r="C143" s="118">
        <f t="shared" si="6"/>
        <v>7.0000000000000001E-3</v>
      </c>
      <c r="D143" s="57">
        <f t="shared" si="7"/>
        <v>2.8999999999999998E-3</v>
      </c>
    </row>
    <row r="144" spans="1:4" ht="15.5">
      <c r="A144" s="46" t="str">
        <f>'Sovereign Ratings (Moody''s,S&amp;P)'!A144</f>
        <v>Togo</v>
      </c>
      <c r="B144" s="56" t="str">
        <f>'Sovereign Ratings (Moody''s,S&amp;P)'!D144</f>
        <v>B3</v>
      </c>
      <c r="C144" s="118" t="e">
        <f t="shared" si="6"/>
        <v>#N/A</v>
      </c>
      <c r="D144" s="57" t="e">
        <f t="shared" si="7"/>
        <v>#N/A</v>
      </c>
    </row>
    <row r="145" spans="1:4" ht="15.5">
      <c r="A145" s="46" t="str">
        <f>'Sovereign Ratings (Moody''s,S&amp;P)'!A145</f>
        <v>Trinidad and Tobago</v>
      </c>
      <c r="B145" s="56" t="str">
        <f>'Sovereign Ratings (Moody''s,S&amp;P)'!D145</f>
        <v>Ba2</v>
      </c>
      <c r="C145" s="118" t="e">
        <f t="shared" si="6"/>
        <v>#N/A</v>
      </c>
      <c r="D145" s="57" t="e">
        <f t="shared" si="7"/>
        <v>#N/A</v>
      </c>
    </row>
    <row r="146" spans="1:4" ht="15.5">
      <c r="A146" s="46" t="str">
        <f>'Sovereign Ratings (Moody''s,S&amp;P)'!A146</f>
        <v>Tunisia</v>
      </c>
      <c r="B146" s="56" t="str">
        <f>'Sovereign Ratings (Moody''s,S&amp;P)'!D146</f>
        <v>Caa2</v>
      </c>
      <c r="C146" s="118">
        <f t="shared" si="6"/>
        <v>0.1024</v>
      </c>
      <c r="D146" s="57">
        <f t="shared" si="7"/>
        <v>9.8299999999999998E-2</v>
      </c>
    </row>
    <row r="147" spans="1:4" ht="15.5">
      <c r="A147" s="46" t="str">
        <f>'Sovereign Ratings (Moody''s,S&amp;P)'!A147</f>
        <v>Turkey</v>
      </c>
      <c r="B147" s="56" t="str">
        <f>'Sovereign Ratings (Moody''s,S&amp;P)'!D147</f>
        <v>B1</v>
      </c>
      <c r="C147" s="118">
        <f t="shared" si="6"/>
        <v>3.6200000000000003E-2</v>
      </c>
      <c r="D147" s="57">
        <f t="shared" si="7"/>
        <v>3.2100000000000004E-2</v>
      </c>
    </row>
    <row r="148" spans="1:4" ht="15.5">
      <c r="A148" s="46" t="str">
        <f>'Sovereign Ratings (Moody''s,S&amp;P)'!A148</f>
        <v>Turks and Caicos Islands</v>
      </c>
      <c r="B148" s="56" t="str">
        <f>'Sovereign Ratings (Moody''s,S&amp;P)'!D148</f>
        <v>Baa1</v>
      </c>
      <c r="C148" s="118" t="e">
        <f t="shared" si="6"/>
        <v>#N/A</v>
      </c>
      <c r="D148" s="57" t="e">
        <f t="shared" si="7"/>
        <v>#N/A</v>
      </c>
    </row>
    <row r="149" spans="1:4" ht="15.5">
      <c r="A149" s="46" t="str">
        <f>'Sovereign Ratings (Moody''s,S&amp;P)'!A149</f>
        <v>Uganda</v>
      </c>
      <c r="B149" s="56" t="str">
        <f>'Sovereign Ratings (Moody''s,S&amp;P)'!D149</f>
        <v>B3</v>
      </c>
      <c r="C149" s="118" t="e">
        <f t="shared" si="6"/>
        <v>#N/A</v>
      </c>
      <c r="D149" s="57" t="e">
        <f t="shared" si="7"/>
        <v>#N/A</v>
      </c>
    </row>
    <row r="150" spans="1:4" ht="15.5">
      <c r="A150" s="46" t="str">
        <f>'Sovereign Ratings (Moody''s,S&amp;P)'!A150</f>
        <v>Ukraine</v>
      </c>
      <c r="B150" s="56" t="str">
        <f>'Sovereign Ratings (Moody''s,S&amp;P)'!D150</f>
        <v>Ca</v>
      </c>
      <c r="C150" s="118" t="str">
        <f t="shared" si="6"/>
        <v>NA</v>
      </c>
      <c r="D150" s="57" t="str">
        <f t="shared" si="7"/>
        <v>NA</v>
      </c>
    </row>
    <row r="151" spans="1:4" ht="15.5">
      <c r="A151" s="46" t="str">
        <f>'Sovereign Ratings (Moody''s,S&amp;P)'!A151</f>
        <v>United Arab Emirates</v>
      </c>
      <c r="B151" s="56" t="str">
        <f>'Sovereign Ratings (Moody''s,S&amp;P)'!D151</f>
        <v>Aa2</v>
      </c>
      <c r="C151" s="118" t="e">
        <f t="shared" si="6"/>
        <v>#N/A</v>
      </c>
      <c r="D151" s="57" t="e">
        <f t="shared" si="7"/>
        <v>#N/A</v>
      </c>
    </row>
    <row r="152" spans="1:4" ht="15.5">
      <c r="A152" s="46" t="str">
        <f>'Sovereign Ratings (Moody''s,S&amp;P)'!A152</f>
        <v>United Kingdom</v>
      </c>
      <c r="B152" s="56" t="str">
        <f>'Sovereign Ratings (Moody''s,S&amp;P)'!D152</f>
        <v>Aa3</v>
      </c>
      <c r="C152" s="118">
        <f t="shared" si="6"/>
        <v>3.8999999999999998E-3</v>
      </c>
      <c r="D152" s="57">
        <f t="shared" si="7"/>
        <v>0</v>
      </c>
    </row>
    <row r="153" spans="1:4" ht="15.5">
      <c r="A153" s="46" t="str">
        <f>'Sovereign Ratings (Moody''s,S&amp;P)'!A153</f>
        <v>United States</v>
      </c>
      <c r="B153" s="56" t="str">
        <f>'Sovereign Ratings (Moody''s,S&amp;P)'!D153</f>
        <v>Aaa</v>
      </c>
      <c r="C153" s="118">
        <f t="shared" si="6"/>
        <v>4.1000000000000003E-3</v>
      </c>
      <c r="D153" s="57">
        <f t="shared" si="7"/>
        <v>0</v>
      </c>
    </row>
    <row r="154" spans="1:4" ht="15.5">
      <c r="A154" s="46" t="str">
        <f>'Sovereign Ratings (Moody''s,S&amp;P)'!A154</f>
        <v>Uruguay</v>
      </c>
      <c r="B154" s="56" t="str">
        <f>'Sovereign Ratings (Moody''s,S&amp;P)'!D154</f>
        <v>Baa1</v>
      </c>
      <c r="C154" s="118">
        <f t="shared" si="6"/>
        <v>1.2699999999999999E-2</v>
      </c>
      <c r="D154" s="57">
        <f t="shared" si="7"/>
        <v>8.6E-3</v>
      </c>
    </row>
    <row r="155" spans="1:4" ht="15.5">
      <c r="A155" s="46" t="str">
        <f>'Sovereign Ratings (Moody''s,S&amp;P)'!A155</f>
        <v>Uzbekistan</v>
      </c>
      <c r="B155" s="56" t="str">
        <f>'Sovereign Ratings (Moody''s,S&amp;P)'!D155</f>
        <v>Ba3</v>
      </c>
      <c r="C155" s="118" t="e">
        <f t="shared" si="6"/>
        <v>#N/A</v>
      </c>
      <c r="D155" s="57" t="e">
        <f t="shared" si="7"/>
        <v>#N/A</v>
      </c>
    </row>
    <row r="156" spans="1:4" ht="15.5">
      <c r="A156" s="46" t="str">
        <f>'Sovereign Ratings (Moody''s,S&amp;P)'!A156</f>
        <v>Venezuela</v>
      </c>
      <c r="B156" s="56" t="str">
        <f>'Sovereign Ratings (Moody''s,S&amp;P)'!D156</f>
        <v>C</v>
      </c>
      <c r="C156" s="118">
        <f t="shared" si="6"/>
        <v>0.1008</v>
      </c>
      <c r="D156" s="57">
        <f t="shared" si="7"/>
        <v>9.6699999999999994E-2</v>
      </c>
    </row>
    <row r="157" spans="1:4" ht="15.5">
      <c r="A157" s="46" t="str">
        <f>'Sovereign Ratings (Moody''s,S&amp;P)'!A157</f>
        <v>Vietnam</v>
      </c>
      <c r="B157" s="56" t="str">
        <f>'Sovereign Ratings (Moody''s,S&amp;P)'!D157</f>
        <v>Ba2</v>
      </c>
      <c r="C157" s="118">
        <f t="shared" si="6"/>
        <v>1.6500000000000001E-2</v>
      </c>
      <c r="D157" s="57">
        <f t="shared" si="7"/>
        <v>1.2400000000000001E-2</v>
      </c>
    </row>
    <row r="158" spans="1:4" ht="15.5">
      <c r="A158" s="46" t="str">
        <f>'Sovereign Ratings (Moody''s,S&amp;P)'!A158</f>
        <v>Zambia</v>
      </c>
      <c r="B158" s="56" t="str">
        <f>'Sovereign Ratings (Moody''s,S&amp;P)'!D158</f>
        <v>Caa2</v>
      </c>
      <c r="C158" s="118" t="str">
        <f t="shared" si="6"/>
        <v>NA</v>
      </c>
      <c r="D158" s="57" t="str">
        <f t="shared" si="7"/>
        <v>NA</v>
      </c>
    </row>
  </sheetData>
  <pageMargins left="0.75" right="0.75" top="1" bottom="1" header="0.5" footer="0.5"/>
  <pageSetup orientation="portrait"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84"/>
  <sheetViews>
    <sheetView workbookViewId="0">
      <selection activeCell="D2" sqref="D2"/>
    </sheetView>
  </sheetViews>
  <sheetFormatPr defaultColWidth="11.19921875" defaultRowHeight="11.5"/>
  <cols>
    <col min="1" max="1" width="12.19921875" style="19" bestFit="1" customWidth="1"/>
    <col min="2" max="2" width="35.5" bestFit="1" customWidth="1"/>
    <col min="3" max="3" width="21" bestFit="1" customWidth="1"/>
    <col min="4" max="4" width="21.296875" bestFit="1" customWidth="1"/>
  </cols>
  <sheetData>
    <row r="1" spans="1:8" s="147" customFormat="1" ht="18">
      <c r="A1" s="145" t="s">
        <v>464</v>
      </c>
      <c r="B1" s="146">
        <v>43861</v>
      </c>
      <c r="D1" s="147" t="s">
        <v>568</v>
      </c>
    </row>
    <row r="2" spans="1:8">
      <c r="A2" s="143"/>
      <c r="B2" s="144"/>
    </row>
    <row r="3" spans="1:8" ht="17.5">
      <c r="A3" s="213" t="s">
        <v>74</v>
      </c>
      <c r="B3" s="214" t="s">
        <v>560</v>
      </c>
      <c r="C3" s="215" t="s">
        <v>561</v>
      </c>
      <c r="D3" s="216" t="s">
        <v>562</v>
      </c>
      <c r="E3" s="215" t="s">
        <v>563</v>
      </c>
      <c r="F3" s="213" t="s">
        <v>564</v>
      </c>
      <c r="G3" s="217" t="s">
        <v>463</v>
      </c>
      <c r="H3" s="218" t="s">
        <v>565</v>
      </c>
    </row>
    <row r="4" spans="1:8" ht="15.5">
      <c r="A4" s="219" t="s">
        <v>83</v>
      </c>
      <c r="B4" s="220">
        <v>0.56520000000000004</v>
      </c>
      <c r="C4" s="221">
        <v>0.48054999999999998</v>
      </c>
      <c r="D4" s="222">
        <f t="shared" ref="D4:D28" si="0">IF(C4="NA","NA",IF(B4="NA","NA",B4/C4))</f>
        <v>1.17615232546041</v>
      </c>
      <c r="E4" s="220" t="s">
        <v>142</v>
      </c>
      <c r="F4" s="220" t="s">
        <v>142</v>
      </c>
      <c r="G4" s="223" t="str">
        <f t="shared" ref="G4:G28" si="1">IF(F4="NA","NA",E4/F4)</f>
        <v>NA</v>
      </c>
      <c r="H4" s="222" t="str">
        <f t="shared" ref="H4:H28" si="2">IF(G4="NA","NA",IF(B4="NA","NA",B4/G4))</f>
        <v>NA</v>
      </c>
    </row>
    <row r="5" spans="1:8" ht="15.5">
      <c r="A5" s="219" t="s">
        <v>86</v>
      </c>
      <c r="B5" s="220">
        <v>5.11E-2</v>
      </c>
      <c r="C5" s="224" t="s">
        <v>142</v>
      </c>
      <c r="D5" s="222" t="str">
        <f t="shared" si="0"/>
        <v>NA</v>
      </c>
      <c r="E5" s="220">
        <v>2.8999999999999998E-3</v>
      </c>
      <c r="F5" s="220">
        <v>2.69E-2</v>
      </c>
      <c r="G5" s="223">
        <f t="shared" si="1"/>
        <v>0.10780669144981411</v>
      </c>
      <c r="H5" s="222">
        <f t="shared" si="2"/>
        <v>0.47399655172413796</v>
      </c>
    </row>
    <row r="6" spans="1:8" ht="15.5">
      <c r="A6" s="219" t="s">
        <v>91</v>
      </c>
      <c r="B6" s="220">
        <v>0.16209999999999999</v>
      </c>
      <c r="C6" s="221">
        <v>0.13320000000000001</v>
      </c>
      <c r="D6" s="222">
        <f t="shared" si="0"/>
        <v>1.2169669669669667</v>
      </c>
      <c r="E6" s="220">
        <v>2.0999999999999999E-3</v>
      </c>
      <c r="F6" s="220">
        <v>2.3099999999999999E-2</v>
      </c>
      <c r="G6" s="223">
        <f t="shared" si="1"/>
        <v>9.0909090909090912E-2</v>
      </c>
      <c r="H6" s="222">
        <f t="shared" si="2"/>
        <v>1.7830999999999999</v>
      </c>
    </row>
    <row r="7" spans="1:8" ht="15.5">
      <c r="A7" s="219" t="s">
        <v>50</v>
      </c>
      <c r="B7" s="220">
        <v>0.1744</v>
      </c>
      <c r="C7" s="224" t="s">
        <v>142</v>
      </c>
      <c r="D7" s="222" t="str">
        <f t="shared" si="0"/>
        <v>NA</v>
      </c>
      <c r="E7" s="220">
        <v>2.3E-3</v>
      </c>
      <c r="F7" s="220">
        <v>2.75E-2</v>
      </c>
      <c r="G7" s="223">
        <f t="shared" si="1"/>
        <v>8.3636363636363634E-2</v>
      </c>
      <c r="H7" s="222">
        <f t="shared" si="2"/>
        <v>2.0852173913043477</v>
      </c>
    </row>
    <row r="8" spans="1:8" ht="15.5">
      <c r="A8" s="219" t="s">
        <v>56</v>
      </c>
      <c r="B8" s="220">
        <v>7.1400000000000005E-2</v>
      </c>
      <c r="C8" s="221">
        <v>4.9200000000000001E-2</v>
      </c>
      <c r="D8" s="222">
        <f t="shared" si="0"/>
        <v>1.4512195121951221</v>
      </c>
      <c r="E8" s="220">
        <v>4.4999999999999997E-3</v>
      </c>
      <c r="F8" s="220">
        <v>2.4199999999999999E-2</v>
      </c>
      <c r="G8" s="223">
        <f t="shared" si="1"/>
        <v>0.18595041322314049</v>
      </c>
      <c r="H8" s="222">
        <f t="shared" si="2"/>
        <v>0.38397333333333339</v>
      </c>
    </row>
    <row r="9" spans="1:8" ht="15.5">
      <c r="A9" s="219" t="s">
        <v>104</v>
      </c>
      <c r="B9" s="220">
        <v>0.27329999999999999</v>
      </c>
      <c r="C9" s="224" t="s">
        <v>142</v>
      </c>
      <c r="D9" s="222" t="str">
        <f t="shared" si="0"/>
        <v>NA</v>
      </c>
      <c r="E9" s="220">
        <v>6.4999999999999997E-3</v>
      </c>
      <c r="F9" s="220">
        <v>6.3299999999999995E-2</v>
      </c>
      <c r="G9" s="223">
        <f t="shared" si="1"/>
        <v>0.10268562401263823</v>
      </c>
      <c r="H9" s="222">
        <f t="shared" si="2"/>
        <v>2.6615215384615385</v>
      </c>
    </row>
    <row r="10" spans="1:8" ht="15.5">
      <c r="A10" s="219" t="s">
        <v>108</v>
      </c>
      <c r="B10" s="220">
        <v>0.14410000000000001</v>
      </c>
      <c r="C10" s="221">
        <v>0.1226</v>
      </c>
      <c r="D10" s="222">
        <f t="shared" si="0"/>
        <v>1.1753670473083198</v>
      </c>
      <c r="E10" s="220">
        <v>2.7000000000000001E-3</v>
      </c>
      <c r="F10" s="220">
        <v>1.7500000000000002E-2</v>
      </c>
      <c r="G10" s="223">
        <f t="shared" si="1"/>
        <v>0.15428571428571428</v>
      </c>
      <c r="H10" s="222">
        <f t="shared" si="2"/>
        <v>0.93398148148148152</v>
      </c>
    </row>
    <row r="11" spans="1:8" ht="15.5">
      <c r="A11" s="219" t="s">
        <v>114</v>
      </c>
      <c r="B11" s="220">
        <v>0.1124</v>
      </c>
      <c r="C11" s="221">
        <v>9.0800000000000006E-2</v>
      </c>
      <c r="D11" s="222">
        <f t="shared" si="0"/>
        <v>1.2378854625550659</v>
      </c>
      <c r="E11" s="220">
        <v>3.8E-3</v>
      </c>
      <c r="F11" s="220">
        <v>1.5599999999999999E-2</v>
      </c>
      <c r="G11" s="223">
        <f t="shared" si="1"/>
        <v>0.24358974358974361</v>
      </c>
      <c r="H11" s="222">
        <f t="shared" si="2"/>
        <v>0.46143157894736836</v>
      </c>
    </row>
    <row r="12" spans="1:8" ht="15.5">
      <c r="A12" s="219" t="s">
        <v>181</v>
      </c>
      <c r="B12" s="220">
        <v>0.1767</v>
      </c>
      <c r="C12" s="224" t="s">
        <v>142</v>
      </c>
      <c r="D12" s="222" t="str">
        <f t="shared" si="0"/>
        <v>NA</v>
      </c>
      <c r="E12" s="220">
        <v>7.1999999999999998E-3</v>
      </c>
      <c r="F12" s="220">
        <v>4.5699999999999998E-2</v>
      </c>
      <c r="G12" s="223">
        <f t="shared" si="1"/>
        <v>0.1575492341356674</v>
      </c>
      <c r="H12" s="222">
        <f t="shared" si="2"/>
        <v>1.1215541666666666</v>
      </c>
    </row>
    <row r="13" spans="1:8" ht="15.5">
      <c r="A13" s="219" t="s">
        <v>121</v>
      </c>
      <c r="B13" s="220">
        <v>0.31</v>
      </c>
      <c r="C13" s="221">
        <v>0.1646</v>
      </c>
      <c r="D13" s="222">
        <f t="shared" si="0"/>
        <v>1.8833535844471445</v>
      </c>
      <c r="E13" s="220" t="s">
        <v>142</v>
      </c>
      <c r="F13" s="220" t="s">
        <v>142</v>
      </c>
      <c r="G13" s="223" t="str">
        <f t="shared" si="1"/>
        <v>NA</v>
      </c>
      <c r="H13" s="222" t="str">
        <f t="shared" si="2"/>
        <v>NA</v>
      </c>
    </row>
    <row r="14" spans="1:8" ht="15.5">
      <c r="A14" s="219" t="s">
        <v>16</v>
      </c>
      <c r="B14" s="220">
        <v>0.1414</v>
      </c>
      <c r="C14" s="221">
        <v>8.0100000000000005E-2</v>
      </c>
      <c r="D14" s="222">
        <f t="shared" si="0"/>
        <v>1.7652933832709112</v>
      </c>
      <c r="E14" s="220">
        <v>2.5000000000000001E-3</v>
      </c>
      <c r="F14" s="220">
        <v>1.5800000000000002E-2</v>
      </c>
      <c r="G14" s="223">
        <f t="shared" si="1"/>
        <v>0.15822784810126581</v>
      </c>
      <c r="H14" s="222">
        <f t="shared" si="2"/>
        <v>0.89364800000000011</v>
      </c>
    </row>
    <row r="15" spans="1:8" ht="15.5">
      <c r="A15" s="219" t="s">
        <v>63</v>
      </c>
      <c r="B15" s="220">
        <v>0.1545</v>
      </c>
      <c r="C15" s="224" t="s">
        <v>142</v>
      </c>
      <c r="D15" s="222" t="str">
        <f t="shared" si="0"/>
        <v>NA</v>
      </c>
      <c r="E15" s="220">
        <v>5.0000000000000001E-3</v>
      </c>
      <c r="F15" s="220">
        <v>3.6499999999999998E-2</v>
      </c>
      <c r="G15" s="223">
        <f t="shared" si="1"/>
        <v>0.13698630136986303</v>
      </c>
      <c r="H15" s="222">
        <f t="shared" si="2"/>
        <v>1.1278499999999998</v>
      </c>
    </row>
    <row r="16" spans="1:8" ht="15.5">
      <c r="A16" s="219" t="s">
        <v>18</v>
      </c>
      <c r="B16" s="220">
        <v>9.9000000000000005E-2</v>
      </c>
      <c r="C16" s="224" t="s">
        <v>142</v>
      </c>
      <c r="D16" s="222" t="str">
        <f t="shared" si="0"/>
        <v>NA</v>
      </c>
      <c r="E16" s="220">
        <v>4.4999999999999997E-3</v>
      </c>
      <c r="F16" s="220">
        <v>1.5299999999999999E-2</v>
      </c>
      <c r="G16" s="223">
        <f t="shared" si="1"/>
        <v>0.29411764705882354</v>
      </c>
      <c r="H16" s="222">
        <f t="shared" si="2"/>
        <v>0.33660000000000001</v>
      </c>
    </row>
    <row r="17" spans="1:8" ht="15.5">
      <c r="A17" s="219" t="s">
        <v>185</v>
      </c>
      <c r="B17" s="220">
        <v>0.16739999999999999</v>
      </c>
      <c r="C17" s="224" t="s">
        <v>142</v>
      </c>
      <c r="D17" s="222" t="str">
        <f t="shared" si="0"/>
        <v>NA</v>
      </c>
      <c r="E17" s="220">
        <v>4.8999999999999998E-3</v>
      </c>
      <c r="F17" s="220">
        <v>6.9400000000000003E-2</v>
      </c>
      <c r="G17" s="223">
        <f t="shared" si="1"/>
        <v>7.0605187319884716E-2</v>
      </c>
      <c r="H17" s="222">
        <f t="shared" si="2"/>
        <v>2.3709306122448983</v>
      </c>
    </row>
    <row r="18" spans="1:8" ht="15.5">
      <c r="A18" s="219" t="s">
        <v>24</v>
      </c>
      <c r="B18" s="220">
        <v>7.3300000000000004E-2</v>
      </c>
      <c r="C18" s="224" t="s">
        <v>142</v>
      </c>
      <c r="D18" s="222" t="str">
        <f t="shared" si="0"/>
        <v>NA</v>
      </c>
      <c r="E18" s="220">
        <v>4.1000000000000003E-3</v>
      </c>
      <c r="F18" s="220">
        <v>1.6799999999999999E-2</v>
      </c>
      <c r="G18" s="223">
        <f t="shared" si="1"/>
        <v>0.2440476190476191</v>
      </c>
      <c r="H18" s="222">
        <f t="shared" si="2"/>
        <v>0.30035121951219507</v>
      </c>
    </row>
    <row r="19" spans="1:8" ht="15.5">
      <c r="A19" s="219" t="s">
        <v>26</v>
      </c>
      <c r="B19" s="220">
        <v>7.9399999999999998E-2</v>
      </c>
      <c r="C19" s="221">
        <v>8.8999999999999996E-2</v>
      </c>
      <c r="D19" s="222">
        <f t="shared" si="0"/>
        <v>0.89213483146067418</v>
      </c>
      <c r="E19" s="220">
        <v>2.5999999999999999E-3</v>
      </c>
      <c r="F19" s="220">
        <v>2.6800000000000001E-2</v>
      </c>
      <c r="G19" s="223">
        <f t="shared" si="1"/>
        <v>9.7014925373134317E-2</v>
      </c>
      <c r="H19" s="222">
        <f t="shared" si="2"/>
        <v>0.81843076923076929</v>
      </c>
    </row>
    <row r="20" spans="1:8" ht="15.5">
      <c r="A20" s="219" t="s">
        <v>0</v>
      </c>
      <c r="B20" s="220">
        <v>0.1109</v>
      </c>
      <c r="C20" s="221">
        <v>8.0299999999999996E-2</v>
      </c>
      <c r="D20" s="222">
        <f t="shared" si="0"/>
        <v>1.3810709838107098</v>
      </c>
      <c r="E20" s="220" t="s">
        <v>142</v>
      </c>
      <c r="F20" s="220" t="s">
        <v>142</v>
      </c>
      <c r="G20" s="223" t="str">
        <f t="shared" si="1"/>
        <v>NA</v>
      </c>
      <c r="H20" s="222" t="str">
        <f t="shared" si="2"/>
        <v>NA</v>
      </c>
    </row>
    <row r="21" spans="1:8" ht="15.5">
      <c r="A21" s="219" t="s">
        <v>145</v>
      </c>
      <c r="B21" s="220">
        <v>7.1199999999999999E-2</v>
      </c>
      <c r="C21" s="224" t="s">
        <v>142</v>
      </c>
      <c r="D21" s="222" t="str">
        <f t="shared" si="0"/>
        <v>NA</v>
      </c>
      <c r="E21" s="220">
        <v>3.2000000000000002E-3</v>
      </c>
      <c r="F21" s="220">
        <v>2.63E-2</v>
      </c>
      <c r="G21" s="223">
        <f t="shared" si="1"/>
        <v>0.12167300380228137</v>
      </c>
      <c r="H21" s="222">
        <f t="shared" si="2"/>
        <v>0.585175</v>
      </c>
    </row>
    <row r="22" spans="1:8" ht="15.5">
      <c r="A22" s="219" t="s">
        <v>3</v>
      </c>
      <c r="B22" s="220">
        <v>0.1162</v>
      </c>
      <c r="C22" s="221">
        <v>5.9900000000000002E-2</v>
      </c>
      <c r="D22" s="222">
        <f t="shared" si="0"/>
        <v>1.9398998330550916</v>
      </c>
      <c r="E22" s="220" t="s">
        <v>142</v>
      </c>
      <c r="F22" s="220" t="s">
        <v>142</v>
      </c>
      <c r="G22" s="223" t="str">
        <f t="shared" si="1"/>
        <v>NA</v>
      </c>
      <c r="H22" s="222" t="str">
        <f t="shared" si="2"/>
        <v>NA</v>
      </c>
    </row>
    <row r="23" spans="1:8" ht="31">
      <c r="A23" s="219" t="s">
        <v>75</v>
      </c>
      <c r="B23" s="220">
        <v>0.1729</v>
      </c>
      <c r="C23" s="224" t="s">
        <v>142</v>
      </c>
      <c r="D23" s="222" t="str">
        <f t="shared" si="0"/>
        <v>NA</v>
      </c>
      <c r="E23" s="220">
        <v>2.7000000000000001E-3</v>
      </c>
      <c r="F23" s="220">
        <v>3.4700000000000002E-2</v>
      </c>
      <c r="G23" s="223">
        <f t="shared" si="1"/>
        <v>7.7809798270893377E-2</v>
      </c>
      <c r="H23" s="222">
        <f t="shared" si="2"/>
        <v>2.2220851851851848</v>
      </c>
    </row>
    <row r="24" spans="1:8" ht="15.5">
      <c r="A24" s="219" t="s">
        <v>64</v>
      </c>
      <c r="B24" s="220">
        <v>0.13980000000000001</v>
      </c>
      <c r="C24" s="221">
        <v>0.13730000000000001</v>
      </c>
      <c r="D24" s="222">
        <f t="shared" si="0"/>
        <v>1.0182083029861617</v>
      </c>
      <c r="E24" s="220" t="s">
        <v>142</v>
      </c>
      <c r="F24" s="220" t="s">
        <v>142</v>
      </c>
      <c r="G24" s="223" t="str">
        <f t="shared" si="1"/>
        <v>NA</v>
      </c>
      <c r="H24" s="222" t="str">
        <f t="shared" si="2"/>
        <v>NA</v>
      </c>
    </row>
    <row r="25" spans="1:8" ht="15.5">
      <c r="A25" s="219" t="s">
        <v>76</v>
      </c>
      <c r="B25" s="220">
        <v>5.3900000000000003E-2</v>
      </c>
      <c r="C25" s="224" t="s">
        <v>142</v>
      </c>
      <c r="D25" s="222" t="str">
        <f t="shared" si="0"/>
        <v>NA</v>
      </c>
      <c r="E25" s="220">
        <v>4.0000000000000001E-3</v>
      </c>
      <c r="F25" s="220">
        <v>8.1600000000000006E-2</v>
      </c>
      <c r="G25" s="223">
        <f t="shared" si="1"/>
        <v>4.9019607843137254E-2</v>
      </c>
      <c r="H25" s="222">
        <f t="shared" si="2"/>
        <v>1.0995600000000001</v>
      </c>
    </row>
    <row r="26" spans="1:8" ht="15.5">
      <c r="A26" s="219" t="s">
        <v>66</v>
      </c>
      <c r="B26" s="220">
        <v>0.31890000000000002</v>
      </c>
      <c r="C26" s="221">
        <v>0.14799999999999999</v>
      </c>
      <c r="D26" s="222">
        <f t="shared" si="0"/>
        <v>2.1547297297297301</v>
      </c>
      <c r="E26" s="220">
        <v>3.5999999999999999E-3</v>
      </c>
      <c r="F26" s="220">
        <v>4.1399999999999999E-2</v>
      </c>
      <c r="G26" s="223">
        <f t="shared" si="1"/>
        <v>8.6956521739130432E-2</v>
      </c>
      <c r="H26" s="222">
        <f t="shared" si="2"/>
        <v>3.6673500000000003</v>
      </c>
    </row>
    <row r="27" spans="1:8" ht="15.5">
      <c r="A27" s="219" t="s">
        <v>70</v>
      </c>
      <c r="B27" s="220">
        <v>0.30809999999999998</v>
      </c>
      <c r="C27" s="221">
        <v>0.69730000000000003</v>
      </c>
      <c r="D27" s="222">
        <f t="shared" si="0"/>
        <v>0.44184712462354792</v>
      </c>
      <c r="E27" s="220">
        <v>1.23E-2</v>
      </c>
      <c r="F27" s="220">
        <v>0.1065</v>
      </c>
      <c r="G27" s="223">
        <f t="shared" si="1"/>
        <v>0.11549295774647887</v>
      </c>
      <c r="H27" s="222">
        <f t="shared" si="2"/>
        <v>2.6676951219512195</v>
      </c>
    </row>
    <row r="28" spans="1:8" ht="15.5">
      <c r="A28" s="219" t="s">
        <v>71</v>
      </c>
      <c r="B28" s="220">
        <v>0.15959999999999999</v>
      </c>
      <c r="C28" s="224" t="s">
        <v>142</v>
      </c>
      <c r="D28" s="222" t="str">
        <f t="shared" si="0"/>
        <v>NA</v>
      </c>
      <c r="E28" s="220">
        <v>2.3999999999999998E-3</v>
      </c>
      <c r="F28" s="220">
        <v>1.7999999999999999E-2</v>
      </c>
      <c r="G28" s="223">
        <f t="shared" si="1"/>
        <v>0.13333333333333333</v>
      </c>
      <c r="H28" s="222">
        <f t="shared" si="2"/>
        <v>1.1970000000000001</v>
      </c>
    </row>
    <row r="29" spans="1:8" ht="15.5">
      <c r="A29" s="225" t="s">
        <v>146</v>
      </c>
      <c r="B29" s="226"/>
      <c r="C29" s="227"/>
      <c r="D29" s="228">
        <f>AVERAGE(D4:D28)</f>
        <v>1.3641637759899889</v>
      </c>
      <c r="E29" s="229"/>
      <c r="F29" s="229"/>
      <c r="G29" s="227"/>
      <c r="H29" s="228">
        <f>AVERAGE(H4:H28)</f>
        <v>1.3595725975021569</v>
      </c>
    </row>
    <row r="30" spans="1:8" ht="15.5">
      <c r="A30" s="225" t="s">
        <v>147</v>
      </c>
      <c r="B30" s="226"/>
      <c r="C30" s="227"/>
      <c r="D30" s="228">
        <f>MEDIAN(D4:D28)</f>
        <v>1.2378854625550659</v>
      </c>
      <c r="E30" s="229"/>
      <c r="F30" s="229"/>
      <c r="G30" s="227"/>
      <c r="H30" s="228">
        <f>MEDIAN(H4:H28)</f>
        <v>1.1105570833333334</v>
      </c>
    </row>
    <row r="31" spans="1:8" ht="15.5">
      <c r="A31" s="225" t="s">
        <v>566</v>
      </c>
      <c r="B31" s="230"/>
      <c r="C31" s="231"/>
      <c r="D31" s="232">
        <f>MAX(D4:D28)</f>
        <v>2.1547297297297301</v>
      </c>
      <c r="E31" s="231"/>
      <c r="F31" s="231"/>
      <c r="G31" s="231"/>
      <c r="H31" s="232">
        <f>MAX(H4:H28)</f>
        <v>3.6673500000000003</v>
      </c>
    </row>
    <row r="32" spans="1:8" ht="15.5">
      <c r="A32" s="225" t="s">
        <v>567</v>
      </c>
      <c r="B32" s="230"/>
      <c r="C32" s="231"/>
      <c r="D32" s="232">
        <f>MIN(D4:D28)</f>
        <v>0.44184712462354792</v>
      </c>
      <c r="E32" s="231"/>
      <c r="F32" s="231"/>
      <c r="G32" s="231"/>
      <c r="H32" s="232">
        <f>MIN(H4:H28)</f>
        <v>0.30035121951219507</v>
      </c>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row r="80" spans="1:1">
      <c r="A80"/>
    </row>
    <row r="81" spans="1:1">
      <c r="A81"/>
    </row>
    <row r="82" spans="1:1">
      <c r="A82"/>
    </row>
    <row r="83" spans="1:1">
      <c r="A83"/>
    </row>
    <row r="84" spans="1:1">
      <c r="A84"/>
    </row>
  </sheetData>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219"/>
  <sheetViews>
    <sheetView topLeftCell="A50" workbookViewId="0">
      <selection activeCell="B103" sqref="B103"/>
    </sheetView>
  </sheetViews>
  <sheetFormatPr defaultColWidth="11.19921875" defaultRowHeight="15.5"/>
  <cols>
    <col min="1" max="1" width="26.5" style="20" bestFit="1" customWidth="1"/>
    <col min="2" max="2" width="26.5" style="183" customWidth="1"/>
    <col min="3" max="3" width="7.5" customWidth="1"/>
    <col min="4" max="4" width="11" bestFit="1" customWidth="1"/>
    <col min="5" max="5" width="23.296875" customWidth="1"/>
    <col min="6" max="6" width="28" customWidth="1"/>
    <col min="10" max="10" width="26.5" style="20" bestFit="1" customWidth="1"/>
    <col min="11" max="11" width="26.5" style="183" customWidth="1"/>
  </cols>
  <sheetData>
    <row r="1" spans="1:11" s="1" customFormat="1">
      <c r="A1" s="49" t="s">
        <v>74</v>
      </c>
      <c r="B1" s="181" t="s">
        <v>553</v>
      </c>
      <c r="E1" t="s">
        <v>512</v>
      </c>
      <c r="F1" s="206" t="s">
        <v>554</v>
      </c>
      <c r="G1"/>
      <c r="H1"/>
      <c r="J1" s="49" t="s">
        <v>74</v>
      </c>
      <c r="K1" s="181" t="s">
        <v>523</v>
      </c>
    </row>
    <row r="2" spans="1:11">
      <c r="A2" s="50" t="s">
        <v>269</v>
      </c>
      <c r="B2" s="182">
        <v>310000</v>
      </c>
      <c r="E2" t="s">
        <v>374</v>
      </c>
      <c r="F2" s="197">
        <v>14502.158192090395</v>
      </c>
      <c r="J2" s="50" t="s">
        <v>269</v>
      </c>
      <c r="K2" s="182">
        <v>299500</v>
      </c>
    </row>
    <row r="3" spans="1:11">
      <c r="A3" s="50" t="s">
        <v>4</v>
      </c>
      <c r="B3" s="182">
        <f>VLOOKUP(A3,$E$2:$F$219,2,FALSE)</f>
        <v>22977.677860797856</v>
      </c>
      <c r="C3" s="32" t="s">
        <v>251</v>
      </c>
      <c r="D3" s="99" t="s">
        <v>252</v>
      </c>
      <c r="E3" t="s">
        <v>4</v>
      </c>
      <c r="F3" s="197">
        <v>22977.677860797856</v>
      </c>
      <c r="J3" s="50" t="s">
        <v>4</v>
      </c>
      <c r="K3" s="182">
        <f>VLOOKUP(J3,$E$2:$F$214,2,FALSE)</f>
        <v>22977.677860797856</v>
      </c>
    </row>
    <row r="4" spans="1:11">
      <c r="A4" s="50" t="s">
        <v>282</v>
      </c>
      <c r="B4" s="182">
        <v>3352</v>
      </c>
      <c r="C4" s="32" t="s">
        <v>290</v>
      </c>
      <c r="D4" s="32">
        <v>2022</v>
      </c>
      <c r="E4" t="s">
        <v>332</v>
      </c>
      <c r="F4" s="197">
        <v>239899.49112774237</v>
      </c>
      <c r="J4" s="50" t="s">
        <v>282</v>
      </c>
      <c r="K4" s="182">
        <v>3330</v>
      </c>
    </row>
    <row r="5" spans="1:11">
      <c r="A5" s="50" t="s">
        <v>130</v>
      </c>
      <c r="B5" s="182">
        <f t="shared" ref="B5:B67" si="0">VLOOKUP(A5,$E$2:$F$219,2,FALSE)</f>
        <v>84722.957642375652</v>
      </c>
      <c r="E5" t="s">
        <v>429</v>
      </c>
      <c r="F5" s="197">
        <v>871</v>
      </c>
      <c r="J5" s="50" t="s">
        <v>130</v>
      </c>
      <c r="K5" s="182">
        <f t="shared" ref="K5:K11" si="1">VLOOKUP(J5,$E$2:$F$214,2,FALSE)</f>
        <v>84722.957642375652</v>
      </c>
    </row>
    <row r="6" spans="1:11">
      <c r="A6" s="50" t="s">
        <v>83</v>
      </c>
      <c r="B6" s="182">
        <f t="shared" si="0"/>
        <v>640591.41066388343</v>
      </c>
      <c r="E6" t="s">
        <v>194</v>
      </c>
      <c r="F6" s="197">
        <v>3727.6735930192158</v>
      </c>
      <c r="J6" s="50" t="s">
        <v>83</v>
      </c>
      <c r="K6" s="182">
        <f t="shared" si="1"/>
        <v>640591.41066388343</v>
      </c>
    </row>
    <row r="7" spans="1:11">
      <c r="A7" s="50" t="s">
        <v>19</v>
      </c>
      <c r="B7" s="182">
        <f t="shared" si="0"/>
        <v>24212.134631064004</v>
      </c>
      <c r="E7" t="s">
        <v>130</v>
      </c>
      <c r="F7" s="197">
        <v>84722.957642375652</v>
      </c>
      <c r="J7" s="50" t="s">
        <v>19</v>
      </c>
      <c r="K7" s="182">
        <f t="shared" si="1"/>
        <v>24212.134631064004</v>
      </c>
    </row>
    <row r="8" spans="1:11">
      <c r="A8" s="50" t="s">
        <v>198</v>
      </c>
      <c r="B8" s="182">
        <f t="shared" si="0"/>
        <v>3544.7077880566426</v>
      </c>
      <c r="E8" t="s">
        <v>394</v>
      </c>
      <c r="F8" s="197">
        <v>2033.0851851851849</v>
      </c>
      <c r="J8" s="50" t="s">
        <v>198</v>
      </c>
      <c r="K8" s="182">
        <f t="shared" si="1"/>
        <v>3544.7077880566426</v>
      </c>
    </row>
    <row r="9" spans="1:11">
      <c r="A9" s="50" t="s">
        <v>84</v>
      </c>
      <c r="B9" s="182">
        <f t="shared" si="0"/>
        <v>1723827.2153347062</v>
      </c>
      <c r="E9" t="s">
        <v>83</v>
      </c>
      <c r="F9" s="197">
        <v>640591.41066388343</v>
      </c>
      <c r="J9" s="50" t="s">
        <v>84</v>
      </c>
      <c r="K9" s="182">
        <f t="shared" si="1"/>
        <v>1723827.2153347062</v>
      </c>
    </row>
    <row r="10" spans="1:11">
      <c r="A10" s="50" t="s">
        <v>173</v>
      </c>
      <c r="B10" s="182">
        <f t="shared" si="0"/>
        <v>516034.14411595033</v>
      </c>
      <c r="E10" t="s">
        <v>19</v>
      </c>
      <c r="F10" s="197">
        <v>24212.134631064004</v>
      </c>
      <c r="J10" s="50" t="s">
        <v>173</v>
      </c>
      <c r="K10" s="182">
        <f t="shared" si="1"/>
        <v>516034.14411595033</v>
      </c>
    </row>
    <row r="11" spans="1:11">
      <c r="A11" s="50" t="s">
        <v>20</v>
      </c>
      <c r="B11" s="182">
        <f t="shared" si="0"/>
        <v>72356.176470588238</v>
      </c>
      <c r="E11" t="s">
        <v>198</v>
      </c>
      <c r="F11" s="197">
        <v>3544.7077880566426</v>
      </c>
      <c r="J11" s="50" t="s">
        <v>20</v>
      </c>
      <c r="K11" s="182">
        <f t="shared" si="1"/>
        <v>72356.176470588238</v>
      </c>
    </row>
    <row r="12" spans="1:11">
      <c r="A12" s="50" t="s">
        <v>85</v>
      </c>
      <c r="B12" s="182">
        <f>K12</f>
        <v>11210</v>
      </c>
      <c r="E12" t="s">
        <v>84</v>
      </c>
      <c r="F12" s="197">
        <v>1723827.2153347062</v>
      </c>
      <c r="J12" s="50" t="s">
        <v>85</v>
      </c>
      <c r="K12" s="182">
        <v>11210</v>
      </c>
    </row>
    <row r="13" spans="1:11">
      <c r="A13" s="50" t="s">
        <v>86</v>
      </c>
      <c r="B13" s="182">
        <f t="shared" si="0"/>
        <v>43205</v>
      </c>
      <c r="E13" t="s">
        <v>173</v>
      </c>
      <c r="F13" s="197">
        <v>516034.14411595033</v>
      </c>
      <c r="J13" s="50" t="s">
        <v>86</v>
      </c>
      <c r="K13" s="182">
        <f t="shared" ref="K13:K29" si="2">VLOOKUP(J13,$E$2:$F$214,2,FALSE)</f>
        <v>43205</v>
      </c>
    </row>
    <row r="14" spans="1:11">
      <c r="A14" s="50" t="s">
        <v>131</v>
      </c>
      <c r="B14" s="182">
        <f t="shared" si="0"/>
        <v>437415.33104099432</v>
      </c>
      <c r="E14" t="s">
        <v>20</v>
      </c>
      <c r="F14" s="197">
        <v>72356.176470588238</v>
      </c>
      <c r="J14" s="50" t="s">
        <v>131</v>
      </c>
      <c r="K14" s="182">
        <f t="shared" si="2"/>
        <v>437415.33104099432</v>
      </c>
    </row>
    <row r="15" spans="1:11">
      <c r="A15" s="50" t="s">
        <v>87</v>
      </c>
      <c r="B15" s="182">
        <f t="shared" si="0"/>
        <v>6393.5641896134503</v>
      </c>
      <c r="E15" t="s">
        <v>489</v>
      </c>
      <c r="F15" s="197">
        <v>14338.5</v>
      </c>
      <c r="J15" s="50" t="s">
        <v>87</v>
      </c>
      <c r="K15" s="182">
        <f t="shared" si="2"/>
        <v>6393.5641896134503</v>
      </c>
    </row>
    <row r="16" spans="1:11">
      <c r="A16" s="50" t="s">
        <v>5</v>
      </c>
      <c r="B16" s="182">
        <f t="shared" si="0"/>
        <v>71857.382745606592</v>
      </c>
      <c r="E16" t="s">
        <v>86</v>
      </c>
      <c r="F16" s="197">
        <v>43205</v>
      </c>
      <c r="J16" s="50" t="s">
        <v>5</v>
      </c>
      <c r="K16" s="182">
        <f t="shared" si="2"/>
        <v>71857.382745606592</v>
      </c>
    </row>
    <row r="17" spans="1:11">
      <c r="A17" s="50" t="s">
        <v>174</v>
      </c>
      <c r="B17" s="182">
        <f t="shared" si="0"/>
        <v>632216.57707510924</v>
      </c>
      <c r="E17" t="s">
        <v>131</v>
      </c>
      <c r="F17" s="197">
        <v>437415.33104099432</v>
      </c>
      <c r="J17" s="50" t="s">
        <v>174</v>
      </c>
      <c r="K17" s="182">
        <f t="shared" si="2"/>
        <v>632216.57707510924</v>
      </c>
    </row>
    <row r="18" spans="1:11">
      <c r="A18" s="50" t="s">
        <v>88</v>
      </c>
      <c r="B18" s="182">
        <f t="shared" si="0"/>
        <v>3281.5</v>
      </c>
      <c r="E18" t="s">
        <v>87</v>
      </c>
      <c r="F18" s="197">
        <v>6393.5641896134503</v>
      </c>
      <c r="J18" s="50" t="s">
        <v>88</v>
      </c>
      <c r="K18" s="182">
        <f t="shared" si="2"/>
        <v>3281.5</v>
      </c>
    </row>
    <row r="19" spans="1:11">
      <c r="A19" s="50" t="s">
        <v>205</v>
      </c>
      <c r="B19" s="182">
        <f t="shared" si="0"/>
        <v>19673.284686002258</v>
      </c>
      <c r="E19" t="s">
        <v>5</v>
      </c>
      <c r="F19" s="197">
        <v>71857.382745606592</v>
      </c>
      <c r="J19" s="50" t="s">
        <v>205</v>
      </c>
      <c r="K19" s="182">
        <f t="shared" si="2"/>
        <v>19673.284686002258</v>
      </c>
    </row>
    <row r="20" spans="1:11">
      <c r="A20" s="50" t="s">
        <v>89</v>
      </c>
      <c r="B20" s="182">
        <f t="shared" si="0"/>
        <v>7827.98</v>
      </c>
      <c r="E20" t="s">
        <v>174</v>
      </c>
      <c r="F20" s="197">
        <v>632216.57707510924</v>
      </c>
      <c r="J20" s="50" t="s">
        <v>89</v>
      </c>
      <c r="K20" s="182">
        <f t="shared" si="2"/>
        <v>7827.98</v>
      </c>
    </row>
    <row r="21" spans="1:11">
      <c r="A21" s="50" t="s">
        <v>90</v>
      </c>
      <c r="B21" s="182">
        <f t="shared" si="0"/>
        <v>45849.832906413896</v>
      </c>
      <c r="E21" t="s">
        <v>88</v>
      </c>
      <c r="F21" s="197">
        <v>3281.5</v>
      </c>
      <c r="J21" s="50" t="s">
        <v>90</v>
      </c>
      <c r="K21" s="182">
        <f t="shared" si="2"/>
        <v>45849.832906413896</v>
      </c>
    </row>
    <row r="22" spans="1:11">
      <c r="A22" s="50" t="s">
        <v>7</v>
      </c>
      <c r="B22" s="182">
        <f t="shared" si="0"/>
        <v>27054.889362885206</v>
      </c>
      <c r="E22" t="s">
        <v>205</v>
      </c>
      <c r="F22" s="197">
        <v>19673.284686002258</v>
      </c>
      <c r="J22" s="50" t="s">
        <v>7</v>
      </c>
      <c r="K22" s="182">
        <f t="shared" si="2"/>
        <v>27054.889362885206</v>
      </c>
    </row>
    <row r="23" spans="1:11">
      <c r="A23" s="50" t="s">
        <v>122</v>
      </c>
      <c r="B23" s="182">
        <f t="shared" si="0"/>
        <v>19395.765126312748</v>
      </c>
      <c r="E23" t="s">
        <v>89</v>
      </c>
      <c r="F23" s="197">
        <v>7827.98</v>
      </c>
      <c r="J23" s="50" t="s">
        <v>122</v>
      </c>
      <c r="K23" s="182">
        <f t="shared" si="2"/>
        <v>19395.765126312748</v>
      </c>
    </row>
    <row r="24" spans="1:11">
      <c r="A24" s="50" t="s">
        <v>91</v>
      </c>
      <c r="B24" s="182">
        <f t="shared" si="0"/>
        <v>2173665.6559372735</v>
      </c>
      <c r="E24" t="s">
        <v>388</v>
      </c>
      <c r="F24" s="197">
        <v>2898.2277132231538</v>
      </c>
      <c r="J24" s="50" t="s">
        <v>91</v>
      </c>
      <c r="K24" s="182">
        <f t="shared" si="2"/>
        <v>2173665.6559372735</v>
      </c>
    </row>
    <row r="25" spans="1:11">
      <c r="A25" s="50" t="s">
        <v>93</v>
      </c>
      <c r="B25" s="182">
        <f t="shared" si="0"/>
        <v>101584.38467278588</v>
      </c>
      <c r="E25" t="s">
        <v>90</v>
      </c>
      <c r="F25" s="197">
        <v>45849.832906413896</v>
      </c>
      <c r="J25" s="50" t="s">
        <v>93</v>
      </c>
      <c r="K25" s="182">
        <f t="shared" si="2"/>
        <v>101584.38467278588</v>
      </c>
    </row>
    <row r="26" spans="1:11">
      <c r="A26" s="50" t="s">
        <v>208</v>
      </c>
      <c r="B26" s="182">
        <f t="shared" si="0"/>
        <v>20324.617838967646</v>
      </c>
      <c r="E26" t="s">
        <v>7</v>
      </c>
      <c r="F26" s="197">
        <v>27054.889362885206</v>
      </c>
      <c r="J26" s="50" t="s">
        <v>208</v>
      </c>
      <c r="K26" s="182">
        <f t="shared" si="2"/>
        <v>20324.617838967646</v>
      </c>
    </row>
    <row r="27" spans="1:11">
      <c r="A27" s="50" t="s">
        <v>6</v>
      </c>
      <c r="B27" s="182">
        <f t="shared" si="0"/>
        <v>31772.759998857127</v>
      </c>
      <c r="E27" t="s">
        <v>122</v>
      </c>
      <c r="F27" s="197">
        <v>19395.765126312748</v>
      </c>
      <c r="J27" s="50" t="s">
        <v>6</v>
      </c>
      <c r="K27" s="182">
        <f t="shared" si="2"/>
        <v>31772.759998857127</v>
      </c>
    </row>
    <row r="28" spans="1:11">
      <c r="A28" s="50" t="s">
        <v>209</v>
      </c>
      <c r="B28" s="182">
        <f t="shared" si="0"/>
        <v>47945.510090052856</v>
      </c>
      <c r="E28" t="s">
        <v>91</v>
      </c>
      <c r="F28" s="197">
        <v>2173665.6559372735</v>
      </c>
      <c r="J28" s="50" t="s">
        <v>209</v>
      </c>
      <c r="K28" s="182">
        <f t="shared" si="2"/>
        <v>47945.510090052856</v>
      </c>
    </row>
    <row r="29" spans="1:11">
      <c r="A29" s="50" t="s">
        <v>94</v>
      </c>
      <c r="B29" s="182">
        <f t="shared" si="0"/>
        <v>2140085.5677914512</v>
      </c>
      <c r="E29" t="s">
        <v>522</v>
      </c>
      <c r="F29" s="197">
        <v>0</v>
      </c>
      <c r="J29" s="50" t="s">
        <v>94</v>
      </c>
      <c r="K29" s="182">
        <f t="shared" si="2"/>
        <v>2140085.5677914512</v>
      </c>
    </row>
    <row r="30" spans="1:11">
      <c r="A30" s="50" t="s">
        <v>210</v>
      </c>
      <c r="B30" s="182">
        <f>K30</f>
        <v>1936</v>
      </c>
      <c r="E30" t="s">
        <v>375</v>
      </c>
      <c r="F30" s="197">
        <v>15128.292953509841</v>
      </c>
      <c r="J30" s="50" t="s">
        <v>210</v>
      </c>
      <c r="K30" s="182">
        <v>1936</v>
      </c>
    </row>
    <row r="31" spans="1:11">
      <c r="A31" s="50" t="s">
        <v>55</v>
      </c>
      <c r="B31" s="182">
        <f t="shared" si="0"/>
        <v>6600.8440015372053</v>
      </c>
      <c r="E31" t="s">
        <v>93</v>
      </c>
      <c r="F31" s="197">
        <v>101584.38467278588</v>
      </c>
      <c r="J31" s="50" t="s">
        <v>55</v>
      </c>
      <c r="K31" s="182">
        <f>VLOOKUP(J31,$E$2:$F$214,2,FALSE)</f>
        <v>6600.8440015372053</v>
      </c>
    </row>
    <row r="32" spans="1:11">
      <c r="A32" s="50" t="s">
        <v>95</v>
      </c>
      <c r="B32" s="182">
        <f t="shared" si="0"/>
        <v>335533.33166921913</v>
      </c>
      <c r="E32" t="s">
        <v>208</v>
      </c>
      <c r="F32" s="197">
        <v>20324.617838967646</v>
      </c>
      <c r="J32" s="50" t="s">
        <v>95</v>
      </c>
      <c r="K32" s="182">
        <f>VLOOKUP(J32,$E$2:$F$214,2,FALSE)</f>
        <v>335533.33166921913</v>
      </c>
    </row>
    <row r="33" spans="1:11">
      <c r="A33" s="50" t="s">
        <v>96</v>
      </c>
      <c r="B33" s="182">
        <f t="shared" si="0"/>
        <v>17794781.986104459</v>
      </c>
      <c r="E33" t="s">
        <v>384</v>
      </c>
      <c r="F33" s="197">
        <v>2642.1616689275384</v>
      </c>
      <c r="J33" s="50" t="s">
        <v>96</v>
      </c>
      <c r="K33" s="182">
        <f>VLOOKUP(J33,$E$2:$F$214,2,FALSE)</f>
        <v>17794781.986104459</v>
      </c>
    </row>
    <row r="34" spans="1:11">
      <c r="A34" s="50" t="s">
        <v>50</v>
      </c>
      <c r="B34" s="182">
        <f t="shared" si="0"/>
        <v>363540.15623486834</v>
      </c>
      <c r="E34" t="s">
        <v>490</v>
      </c>
      <c r="F34" s="197">
        <v>2587.2520763055991</v>
      </c>
      <c r="J34" s="50" t="s">
        <v>50</v>
      </c>
      <c r="K34" s="182">
        <f>VLOOKUP(J34,$E$2:$F$214,2,FALSE)</f>
        <v>363540.15623486834</v>
      </c>
    </row>
    <row r="35" spans="1:11">
      <c r="A35" s="50" t="s">
        <v>283</v>
      </c>
      <c r="B35" s="182">
        <f>F46</f>
        <v>66383.287002996891</v>
      </c>
      <c r="E35" t="s">
        <v>6</v>
      </c>
      <c r="F35" s="197">
        <v>31772.759998857127</v>
      </c>
      <c r="J35" s="50" t="s">
        <v>283</v>
      </c>
      <c r="K35" s="182">
        <f>O51</f>
        <v>0</v>
      </c>
    </row>
    <row r="36" spans="1:11">
      <c r="A36" s="50" t="s">
        <v>284</v>
      </c>
      <c r="B36" s="182">
        <f>F47</f>
        <v>15321.055818326313</v>
      </c>
      <c r="E36" t="s">
        <v>209</v>
      </c>
      <c r="F36" s="197">
        <v>47945.510090052856</v>
      </c>
      <c r="J36" s="50" t="s">
        <v>284</v>
      </c>
      <c r="K36" s="182">
        <v>14616</v>
      </c>
    </row>
    <row r="37" spans="1:11">
      <c r="A37" s="50" t="s">
        <v>211</v>
      </c>
      <c r="B37" s="182">
        <f>K37</f>
        <v>1414</v>
      </c>
      <c r="E37" t="s">
        <v>94</v>
      </c>
      <c r="F37" s="197">
        <v>2140085.5677914512</v>
      </c>
      <c r="J37" s="50" t="s">
        <v>211</v>
      </c>
      <c r="K37" s="182">
        <v>1414</v>
      </c>
    </row>
    <row r="38" spans="1:11">
      <c r="A38" s="50" t="s">
        <v>56</v>
      </c>
      <c r="B38" s="182">
        <f t="shared" si="0"/>
        <v>86497.941439017435</v>
      </c>
      <c r="E38" t="s">
        <v>55</v>
      </c>
      <c r="F38" s="197">
        <v>6600.8440015372053</v>
      </c>
      <c r="J38" s="50" t="s">
        <v>56</v>
      </c>
      <c r="K38" s="182">
        <f>VLOOKUP(J38,$E$2:$F$214,2,FALSE)</f>
        <v>86497.941439017435</v>
      </c>
    </row>
    <row r="39" spans="1:11">
      <c r="A39" s="50" t="s">
        <v>279</v>
      </c>
      <c r="B39" s="182">
        <f>F49</f>
        <v>78788.828906863448</v>
      </c>
      <c r="E39" t="s">
        <v>390</v>
      </c>
      <c r="F39" s="197">
        <v>2555.4920852483065</v>
      </c>
      <c r="J39" s="50" t="s">
        <v>279</v>
      </c>
      <c r="K39" s="182">
        <v>70019</v>
      </c>
    </row>
    <row r="40" spans="1:11">
      <c r="A40" s="50" t="s">
        <v>97</v>
      </c>
      <c r="B40" s="182">
        <f t="shared" si="0"/>
        <v>82688.842717392588</v>
      </c>
      <c r="E40" t="s">
        <v>378</v>
      </c>
      <c r="F40" s="197">
        <v>13149.325358738261</v>
      </c>
      <c r="J40" s="50" t="s">
        <v>97</v>
      </c>
      <c r="K40" s="182">
        <f>VLOOKUP(J40,$E$2:$F$214,2,FALSE)</f>
        <v>82688.842717392588</v>
      </c>
    </row>
    <row r="41" spans="1:11">
      <c r="A41" s="50" t="s">
        <v>98</v>
      </c>
      <c r="B41" s="182">
        <v>107351</v>
      </c>
      <c r="E41" t="s">
        <v>513</v>
      </c>
      <c r="F41" s="197">
        <v>11228.317318765241</v>
      </c>
      <c r="J41" s="50" t="s">
        <v>98</v>
      </c>
      <c r="K41" s="182">
        <f>VLOOKUP(J41,$E$2:$F$214,2,FALSE)</f>
        <v>0</v>
      </c>
    </row>
    <row r="42" spans="1:11">
      <c r="A42" s="50" t="s">
        <v>214</v>
      </c>
      <c r="B42" s="182">
        <f t="shared" si="0"/>
        <v>3073.8403254328496</v>
      </c>
      <c r="E42" t="s">
        <v>95</v>
      </c>
      <c r="F42" s="197">
        <v>335533.33166921913</v>
      </c>
      <c r="J42" s="50" t="s">
        <v>214</v>
      </c>
      <c r="K42" s="182">
        <f>VLOOKUP(J42,$E$2:$F$214,2,FALSE)</f>
        <v>3073.8403254328496</v>
      </c>
    </row>
    <row r="43" spans="1:11">
      <c r="A43" s="50" t="s">
        <v>175</v>
      </c>
      <c r="B43" s="182">
        <f t="shared" si="0"/>
        <v>32229.622669195112</v>
      </c>
      <c r="E43" t="s">
        <v>96</v>
      </c>
      <c r="F43" s="197">
        <v>17794781.986104459</v>
      </c>
      <c r="J43" s="50" t="s">
        <v>175</v>
      </c>
      <c r="K43" s="182">
        <f>VLOOKUP(J43,$E$2:$F$214,2,FALSE)</f>
        <v>32229.622669195112</v>
      </c>
    </row>
    <row r="44" spans="1:11">
      <c r="A44" s="50" t="s">
        <v>100</v>
      </c>
      <c r="B44" s="182">
        <f>F54</f>
        <v>330858.33987168607</v>
      </c>
      <c r="E44" t="s">
        <v>50</v>
      </c>
      <c r="F44" s="197">
        <v>363540.15623486834</v>
      </c>
      <c r="J44" s="50" t="s">
        <v>100</v>
      </c>
      <c r="K44" s="182">
        <f>O59</f>
        <v>0</v>
      </c>
    </row>
    <row r="45" spans="1:11">
      <c r="A45" s="50" t="s">
        <v>101</v>
      </c>
      <c r="B45" s="182">
        <f t="shared" si="0"/>
        <v>404198.75753797416</v>
      </c>
      <c r="E45" t="s">
        <v>402</v>
      </c>
      <c r="F45" s="197">
        <v>1352.3809721566217</v>
      </c>
      <c r="J45" s="50" t="s">
        <v>101</v>
      </c>
      <c r="K45" s="182">
        <f>VLOOKUP(J45,$E$2:$F$214,2,FALSE)</f>
        <v>404198.75753797416</v>
      </c>
    </row>
    <row r="46" spans="1:11">
      <c r="A46" s="50" t="s">
        <v>102</v>
      </c>
      <c r="B46" s="182">
        <f t="shared" si="0"/>
        <v>121444.27931393079</v>
      </c>
      <c r="E46" t="s">
        <v>491</v>
      </c>
      <c r="F46" s="197">
        <v>66383.287002996891</v>
      </c>
      <c r="J46" s="50" t="s">
        <v>102</v>
      </c>
      <c r="K46" s="182">
        <f>VLOOKUP(J46,$E$2:$F$214,2,FALSE)</f>
        <v>121444.27931393079</v>
      </c>
    </row>
    <row r="47" spans="1:11">
      <c r="A47" s="50" t="s">
        <v>103</v>
      </c>
      <c r="B47" s="182">
        <f t="shared" si="0"/>
        <v>118844.826</v>
      </c>
      <c r="E47" t="s">
        <v>492</v>
      </c>
      <c r="F47" s="197">
        <v>15321.055818326313</v>
      </c>
      <c r="J47" s="50" t="s">
        <v>103</v>
      </c>
      <c r="K47" s="182">
        <f>VLOOKUP(J47,$E$2:$F$214,2,FALSE)</f>
        <v>118844.826</v>
      </c>
    </row>
    <row r="48" spans="1:11">
      <c r="A48" s="50" t="s">
        <v>104</v>
      </c>
      <c r="B48" s="182">
        <f>F60</f>
        <v>395926.07516300579</v>
      </c>
      <c r="E48" t="s">
        <v>56</v>
      </c>
      <c r="F48" s="197">
        <v>86497.941439017435</v>
      </c>
      <c r="J48" s="50" t="s">
        <v>104</v>
      </c>
      <c r="K48" s="182">
        <f>O69</f>
        <v>0</v>
      </c>
    </row>
    <row r="49" spans="1:11">
      <c r="A49" s="50" t="s">
        <v>31</v>
      </c>
      <c r="B49" s="182">
        <f t="shared" si="0"/>
        <v>34015.620000000003</v>
      </c>
      <c r="E49" t="s">
        <v>361</v>
      </c>
      <c r="F49" s="197">
        <v>78788.828906863448</v>
      </c>
      <c r="J49" s="50" t="s">
        <v>31</v>
      </c>
      <c r="K49" s="182">
        <f t="shared" ref="K49:K60" si="3">VLOOKUP(J49,$E$2:$F$214,2,FALSE)</f>
        <v>34015.620000000003</v>
      </c>
    </row>
    <row r="50" spans="1:11">
      <c r="A50" s="50" t="s">
        <v>105</v>
      </c>
      <c r="B50" s="182">
        <f t="shared" si="0"/>
        <v>40744.848827953661</v>
      </c>
      <c r="E50" t="s">
        <v>97</v>
      </c>
      <c r="F50" s="197">
        <v>82688.842717392588</v>
      </c>
      <c r="J50" s="50" t="s">
        <v>105</v>
      </c>
      <c r="K50" s="182">
        <f t="shared" si="3"/>
        <v>40744.848827953661</v>
      </c>
    </row>
    <row r="51" spans="1:11">
      <c r="A51" s="50" t="s">
        <v>280</v>
      </c>
      <c r="B51" s="182">
        <f t="shared" si="0"/>
        <v>163697.92759398237</v>
      </c>
      <c r="E51" t="s">
        <v>98</v>
      </c>
      <c r="F51" s="197">
        <v>0</v>
      </c>
      <c r="J51" s="50" t="s">
        <v>280</v>
      </c>
      <c r="K51" s="182">
        <f t="shared" si="3"/>
        <v>163697.92759398237</v>
      </c>
    </row>
    <row r="52" spans="1:11">
      <c r="A52" s="50" t="s">
        <v>216</v>
      </c>
      <c r="B52" s="182">
        <f t="shared" si="0"/>
        <v>5494.7975407336471</v>
      </c>
      <c r="E52" t="s">
        <v>214</v>
      </c>
      <c r="F52" s="197">
        <v>3073.8403254328496</v>
      </c>
      <c r="J52" s="50" t="s">
        <v>216</v>
      </c>
      <c r="K52" s="182">
        <f t="shared" si="3"/>
        <v>5494.7975407336471</v>
      </c>
    </row>
    <row r="53" spans="1:11">
      <c r="A53" s="50" t="s">
        <v>176</v>
      </c>
      <c r="B53" s="182">
        <f t="shared" si="0"/>
        <v>300187.20269608375</v>
      </c>
      <c r="E53" t="s">
        <v>175</v>
      </c>
      <c r="F53" s="197">
        <v>32229.622669195112</v>
      </c>
      <c r="J53" s="50" t="s">
        <v>176</v>
      </c>
      <c r="K53" s="182">
        <f t="shared" si="3"/>
        <v>300187.20269608375</v>
      </c>
    </row>
    <row r="54" spans="1:11">
      <c r="A54" s="50" t="s">
        <v>177</v>
      </c>
      <c r="B54" s="182">
        <f t="shared" si="0"/>
        <v>3030904.0896078963</v>
      </c>
      <c r="E54" t="s">
        <v>514</v>
      </c>
      <c r="F54" s="197">
        <v>330858.33987168607</v>
      </c>
      <c r="J54" s="50" t="s">
        <v>177</v>
      </c>
      <c r="K54" s="182">
        <f t="shared" si="3"/>
        <v>3030904.0896078963</v>
      </c>
    </row>
    <row r="55" spans="1:11">
      <c r="A55" s="50" t="s">
        <v>217</v>
      </c>
      <c r="B55" s="182">
        <f t="shared" si="0"/>
        <v>20516.134388660783</v>
      </c>
      <c r="E55" t="s">
        <v>101</v>
      </c>
      <c r="F55" s="197">
        <v>404198.75753797416</v>
      </c>
      <c r="J55" s="50" t="s">
        <v>217</v>
      </c>
      <c r="K55" s="182">
        <f t="shared" si="3"/>
        <v>20516.134388660783</v>
      </c>
    </row>
    <row r="56" spans="1:11">
      <c r="A56" s="50" t="s">
        <v>132</v>
      </c>
      <c r="B56" s="182">
        <f t="shared" si="0"/>
        <v>30535.530479022662</v>
      </c>
      <c r="E56" t="s">
        <v>389</v>
      </c>
      <c r="F56" s="197">
        <v>4098.5305135577673</v>
      </c>
      <c r="J56" s="50" t="s">
        <v>132</v>
      </c>
      <c r="K56" s="182">
        <f t="shared" si="3"/>
        <v>30535.530479022662</v>
      </c>
    </row>
    <row r="57" spans="1:11">
      <c r="A57" s="50" t="s">
        <v>178</v>
      </c>
      <c r="B57" s="182">
        <f t="shared" si="0"/>
        <v>4456081.016705961</v>
      </c>
      <c r="E57" t="s">
        <v>403</v>
      </c>
      <c r="F57" s="197">
        <v>653.99259259259259</v>
      </c>
      <c r="J57" s="50" t="s">
        <v>178</v>
      </c>
      <c r="K57" s="182">
        <f t="shared" si="3"/>
        <v>4456081.016705961</v>
      </c>
    </row>
    <row r="58" spans="1:11">
      <c r="A58" s="50" t="s">
        <v>218</v>
      </c>
      <c r="B58" s="182">
        <f t="shared" si="0"/>
        <v>76370.394412416266</v>
      </c>
      <c r="E58" t="s">
        <v>102</v>
      </c>
      <c r="F58" s="197">
        <v>121444.27931393079</v>
      </c>
      <c r="J58" s="50" t="s">
        <v>218</v>
      </c>
      <c r="K58" s="182">
        <f t="shared" si="3"/>
        <v>76370.394412416266</v>
      </c>
    </row>
    <row r="59" spans="1:11">
      <c r="A59" s="50" t="s">
        <v>179</v>
      </c>
      <c r="B59" s="182">
        <f t="shared" si="0"/>
        <v>238206.31263252773</v>
      </c>
      <c r="E59" t="s">
        <v>103</v>
      </c>
      <c r="F59" s="197">
        <v>118844.826</v>
      </c>
      <c r="J59" s="50" t="s">
        <v>179</v>
      </c>
      <c r="K59" s="182">
        <f t="shared" si="3"/>
        <v>238206.31263252773</v>
      </c>
    </row>
    <row r="60" spans="1:11">
      <c r="A60" s="50" t="s">
        <v>106</v>
      </c>
      <c r="B60" s="182">
        <f t="shared" si="0"/>
        <v>102050.47386363636</v>
      </c>
      <c r="E60" t="s">
        <v>493</v>
      </c>
      <c r="F60" s="197">
        <v>395926.07516300579</v>
      </c>
      <c r="J60" s="50" t="s">
        <v>106</v>
      </c>
      <c r="K60" s="182">
        <f t="shared" si="3"/>
        <v>102050.47386363636</v>
      </c>
    </row>
    <row r="61" spans="1:11">
      <c r="A61" s="50" t="s">
        <v>285</v>
      </c>
      <c r="B61" s="182">
        <f>K61</f>
        <v>3446</v>
      </c>
      <c r="E61" t="s">
        <v>31</v>
      </c>
      <c r="F61" s="197">
        <v>34015.620000000003</v>
      </c>
      <c r="J61" s="50" t="s">
        <v>285</v>
      </c>
      <c r="K61" s="182">
        <v>3446</v>
      </c>
    </row>
    <row r="62" spans="1:11">
      <c r="A62" s="50" t="s">
        <v>107</v>
      </c>
      <c r="B62" s="182">
        <f t="shared" si="0"/>
        <v>34400.509852043651</v>
      </c>
      <c r="E62" t="s">
        <v>377</v>
      </c>
      <c r="F62" s="197">
        <v>12116.922539411173</v>
      </c>
      <c r="J62" s="50" t="s">
        <v>107</v>
      </c>
      <c r="K62" s="182">
        <f>VLOOKUP(J62,$E$2:$F$214,2,FALSE)</f>
        <v>34400.509852043651</v>
      </c>
    </row>
    <row r="63" spans="1:11">
      <c r="A63" s="50" t="s">
        <v>59</v>
      </c>
      <c r="B63" s="182">
        <f>F88</f>
        <v>382054.57429852907</v>
      </c>
      <c r="E63" t="s">
        <v>515</v>
      </c>
      <c r="F63" s="197">
        <v>0</v>
      </c>
      <c r="J63" s="50" t="s">
        <v>59</v>
      </c>
      <c r="K63" s="182">
        <f>O105</f>
        <v>0</v>
      </c>
    </row>
    <row r="64" spans="1:11">
      <c r="A64" s="50" t="s">
        <v>108</v>
      </c>
      <c r="B64" s="182">
        <f t="shared" si="0"/>
        <v>212388.90645872394</v>
      </c>
      <c r="E64" t="s">
        <v>105</v>
      </c>
      <c r="F64" s="197">
        <v>40744.848827953661</v>
      </c>
      <c r="J64" s="50" t="s">
        <v>108</v>
      </c>
      <c r="K64" s="182">
        <f>VLOOKUP(J64,$E$2:$F$214,2,FALSE)</f>
        <v>212388.90645872394</v>
      </c>
    </row>
    <row r="65" spans="1:11">
      <c r="A65" s="50" t="s">
        <v>109</v>
      </c>
      <c r="B65" s="182">
        <f t="shared" si="0"/>
        <v>31020.032583197215</v>
      </c>
      <c r="E65" t="s">
        <v>448</v>
      </c>
      <c r="F65" s="197">
        <v>4597.8558450427581</v>
      </c>
      <c r="J65" s="50" t="s">
        <v>109</v>
      </c>
      <c r="K65" s="182">
        <f>VLOOKUP(J65,$E$2:$F$214,2,FALSE)</f>
        <v>31020.032583197215</v>
      </c>
    </row>
    <row r="66" spans="1:11">
      <c r="A66" s="50" t="s">
        <v>110</v>
      </c>
      <c r="B66" s="182">
        <f t="shared" si="0"/>
        <v>3549918.9187775319</v>
      </c>
      <c r="E66" t="s">
        <v>280</v>
      </c>
      <c r="F66" s="197">
        <v>163697.92759398237</v>
      </c>
      <c r="J66" s="50" t="s">
        <v>110</v>
      </c>
      <c r="K66" s="182">
        <f t="shared" ref="K66:K124" si="4">VLOOKUP(J66,$E$2:$F$214,2,FALSE)</f>
        <v>3549918.9187775319</v>
      </c>
    </row>
    <row r="67" spans="1:11">
      <c r="A67" s="50" t="s">
        <v>111</v>
      </c>
      <c r="B67" s="182">
        <f t="shared" si="0"/>
        <v>1371171.152331155</v>
      </c>
      <c r="E67" t="s">
        <v>385</v>
      </c>
      <c r="F67" s="197">
        <v>3555.9298330505053</v>
      </c>
      <c r="J67" s="50" t="s">
        <v>111</v>
      </c>
      <c r="K67" s="182">
        <f t="shared" si="4"/>
        <v>1371171.152331155</v>
      </c>
    </row>
    <row r="68" spans="1:11">
      <c r="A68" s="50" t="s">
        <v>326</v>
      </c>
      <c r="B68" s="182">
        <f t="shared" ref="B68:B132" si="5">VLOOKUP(A68,$E$2:$F$219,2,FALSE)</f>
        <v>250842.78213946417</v>
      </c>
      <c r="E68" t="s">
        <v>216</v>
      </c>
      <c r="F68" s="197">
        <v>5494.7975407336471</v>
      </c>
      <c r="J68" s="50" t="s">
        <v>326</v>
      </c>
      <c r="K68" s="182">
        <f t="shared" si="4"/>
        <v>250842.78213946417</v>
      </c>
    </row>
    <row r="69" spans="1:11">
      <c r="A69" s="50" t="s">
        <v>180</v>
      </c>
      <c r="B69" s="182">
        <f t="shared" si="5"/>
        <v>545629.45040373516</v>
      </c>
      <c r="E69" t="s">
        <v>176</v>
      </c>
      <c r="F69" s="197">
        <v>300187.20269608375</v>
      </c>
      <c r="J69" s="50" t="s">
        <v>180</v>
      </c>
      <c r="K69" s="182">
        <f t="shared" si="4"/>
        <v>545629.45040373516</v>
      </c>
    </row>
    <row r="70" spans="1:11">
      <c r="A70" s="50" t="s">
        <v>112</v>
      </c>
      <c r="B70" s="182">
        <f>K70</f>
        <v>0</v>
      </c>
      <c r="E70" t="s">
        <v>177</v>
      </c>
      <c r="F70" s="197">
        <v>3030904.0896078963</v>
      </c>
      <c r="J70" s="50" t="s">
        <v>112</v>
      </c>
      <c r="K70" s="182">
        <f t="shared" si="4"/>
        <v>0</v>
      </c>
    </row>
    <row r="71" spans="1:11">
      <c r="A71" s="50" t="s">
        <v>113</v>
      </c>
      <c r="B71" s="182">
        <f t="shared" si="5"/>
        <v>509901.49570210325</v>
      </c>
      <c r="E71" t="s">
        <v>501</v>
      </c>
      <c r="F71" s="197">
        <v>5814.6612089054443</v>
      </c>
      <c r="J71" s="50" t="s">
        <v>113</v>
      </c>
      <c r="K71" s="182">
        <f t="shared" si="4"/>
        <v>509901.49570210325</v>
      </c>
    </row>
    <row r="72" spans="1:11">
      <c r="A72" s="50" t="s">
        <v>143</v>
      </c>
      <c r="B72" s="182">
        <f t="shared" si="5"/>
        <v>2254851.2127318047</v>
      </c>
      <c r="E72" t="s">
        <v>217</v>
      </c>
      <c r="F72" s="197">
        <v>20516.134388660783</v>
      </c>
      <c r="J72" s="50" t="s">
        <v>143</v>
      </c>
      <c r="K72" s="182">
        <f t="shared" si="4"/>
        <v>2254851.2127318047</v>
      </c>
    </row>
    <row r="73" spans="1:11">
      <c r="A73" s="50" t="s">
        <v>114</v>
      </c>
      <c r="B73" s="182">
        <f t="shared" si="5"/>
        <v>19423.355367237178</v>
      </c>
      <c r="E73" t="s">
        <v>397</v>
      </c>
      <c r="F73" s="197">
        <v>2339.904156792144</v>
      </c>
      <c r="J73" s="50" t="s">
        <v>114</v>
      </c>
      <c r="K73" s="182">
        <f t="shared" si="4"/>
        <v>19423.355367237178</v>
      </c>
    </row>
    <row r="74" spans="1:11">
      <c r="A74" s="50" t="s">
        <v>115</v>
      </c>
      <c r="B74" s="182">
        <f t="shared" si="5"/>
        <v>4212945.1597814029</v>
      </c>
      <c r="E74" t="s">
        <v>132</v>
      </c>
      <c r="F74" s="197">
        <v>30535.530479022662</v>
      </c>
      <c r="J74" s="50" t="s">
        <v>115</v>
      </c>
      <c r="K74" s="182">
        <f t="shared" si="4"/>
        <v>4212945.1597814029</v>
      </c>
    </row>
    <row r="75" spans="1:11">
      <c r="A75" s="50" t="s">
        <v>286</v>
      </c>
      <c r="B75" s="182">
        <f>K75</f>
        <v>4890</v>
      </c>
      <c r="E75" t="s">
        <v>178</v>
      </c>
      <c r="F75" s="197">
        <v>4456081.016705961</v>
      </c>
      <c r="J75" s="50" t="s">
        <v>286</v>
      </c>
      <c r="K75" s="182">
        <v>4890</v>
      </c>
    </row>
    <row r="76" spans="1:11">
      <c r="A76" s="50" t="s">
        <v>116</v>
      </c>
      <c r="B76" s="182">
        <f t="shared" si="5"/>
        <v>50813.642348674643</v>
      </c>
      <c r="E76" t="s">
        <v>218</v>
      </c>
      <c r="F76" s="197">
        <v>76370.394412416266</v>
      </c>
      <c r="J76" s="50" t="s">
        <v>116</v>
      </c>
      <c r="K76" s="182">
        <f t="shared" si="4"/>
        <v>50813.642348674643</v>
      </c>
    </row>
    <row r="77" spans="1:11">
      <c r="A77" s="50" t="s">
        <v>117</v>
      </c>
      <c r="B77" s="182">
        <f t="shared" si="5"/>
        <v>261421.12108557209</v>
      </c>
      <c r="E77" t="s">
        <v>411</v>
      </c>
      <c r="F77" s="197">
        <v>0</v>
      </c>
      <c r="J77" s="50" t="s">
        <v>117</v>
      </c>
      <c r="K77" s="182">
        <f t="shared" si="4"/>
        <v>261421.12108557209</v>
      </c>
    </row>
    <row r="78" spans="1:11">
      <c r="A78" s="50" t="s">
        <v>181</v>
      </c>
      <c r="B78" s="182">
        <f t="shared" si="5"/>
        <v>107440.57583804752</v>
      </c>
      <c r="E78" t="s">
        <v>179</v>
      </c>
      <c r="F78" s="197">
        <v>238206.31263252773</v>
      </c>
      <c r="J78" s="50" t="s">
        <v>181</v>
      </c>
      <c r="K78" s="182">
        <f t="shared" si="4"/>
        <v>107440.57583804752</v>
      </c>
    </row>
    <row r="79" spans="1:11">
      <c r="A79" s="50" t="s">
        <v>118</v>
      </c>
      <c r="B79" s="182">
        <f>F106</f>
        <v>1712792.8542023688</v>
      </c>
      <c r="E79" t="s">
        <v>386</v>
      </c>
      <c r="F79" s="197">
        <v>0</v>
      </c>
      <c r="J79" s="50" t="s">
        <v>118</v>
      </c>
      <c r="K79" s="182">
        <f>O128</f>
        <v>0</v>
      </c>
    </row>
    <row r="80" spans="1:11">
      <c r="A80" s="50" t="s">
        <v>119</v>
      </c>
      <c r="B80" s="182">
        <f>K119</f>
        <v>11000</v>
      </c>
      <c r="E80" t="s">
        <v>396</v>
      </c>
      <c r="F80" s="197">
        <v>1320.334235588974</v>
      </c>
      <c r="J80" s="50" t="s">
        <v>119</v>
      </c>
      <c r="K80" s="182">
        <f t="shared" si="4"/>
        <v>161772.22195094163</v>
      </c>
    </row>
    <row r="81" spans="1:11">
      <c r="A81" t="s">
        <v>345</v>
      </c>
      <c r="B81" s="182">
        <f>F109</f>
        <v>13987.627908838138</v>
      </c>
      <c r="E81" t="s">
        <v>430</v>
      </c>
      <c r="F81" s="197">
        <v>6910</v>
      </c>
      <c r="J81" t="s">
        <v>345</v>
      </c>
      <c r="K81" s="182">
        <f>O131</f>
        <v>0</v>
      </c>
    </row>
    <row r="82" spans="1:11">
      <c r="A82" s="89" t="s">
        <v>337</v>
      </c>
      <c r="B82" s="182">
        <f>F110</f>
        <v>15843.155731255179</v>
      </c>
      <c r="E82" t="s">
        <v>106</v>
      </c>
      <c r="F82" s="197">
        <v>102050.47386363636</v>
      </c>
      <c r="J82" s="89" t="s">
        <v>337</v>
      </c>
      <c r="K82" s="182">
        <f>O132</f>
        <v>0</v>
      </c>
    </row>
    <row r="83" spans="1:11">
      <c r="A83" s="50" t="s">
        <v>120</v>
      </c>
      <c r="B83" s="182">
        <f t="shared" si="5"/>
        <v>43627.078481287048</v>
      </c>
      <c r="E83" t="s">
        <v>312</v>
      </c>
      <c r="F83" s="197">
        <v>23612.295818096096</v>
      </c>
      <c r="J83" s="50" t="s">
        <v>120</v>
      </c>
      <c r="K83" s="182">
        <f t="shared" si="4"/>
        <v>43627.078481287048</v>
      </c>
    </row>
    <row r="84" spans="1:11">
      <c r="A84" s="50" t="s">
        <v>121</v>
      </c>
      <c r="B84" s="182">
        <f t="shared" si="5"/>
        <v>17937.256175140981</v>
      </c>
      <c r="E84" t="s">
        <v>328</v>
      </c>
      <c r="F84" s="197">
        <v>1966.4614003583265</v>
      </c>
      <c r="J84" s="50" t="s">
        <v>121</v>
      </c>
      <c r="K84" s="182">
        <f t="shared" si="4"/>
        <v>17937.256175140981</v>
      </c>
    </row>
    <row r="85" spans="1:11">
      <c r="A85" s="50" t="s">
        <v>220</v>
      </c>
      <c r="B85" s="182">
        <f t="shared" si="5"/>
        <v>7364.6545151398359</v>
      </c>
      <c r="E85" t="s">
        <v>325</v>
      </c>
      <c r="F85" s="197">
        <v>16786.302158273382</v>
      </c>
      <c r="J85" s="50" t="s">
        <v>220</v>
      </c>
      <c r="K85" s="182">
        <f t="shared" si="4"/>
        <v>7364.6545151398359</v>
      </c>
    </row>
    <row r="86" spans="1:11">
      <c r="A86" s="50" t="s">
        <v>13</v>
      </c>
      <c r="B86" s="182">
        <f t="shared" si="5"/>
        <v>77836.396962771963</v>
      </c>
      <c r="E86" t="s">
        <v>321</v>
      </c>
      <c r="F86" s="197">
        <v>19850.829757747146</v>
      </c>
      <c r="J86" s="50" t="s">
        <v>13</v>
      </c>
      <c r="K86" s="182">
        <f t="shared" si="4"/>
        <v>77836.396962771963</v>
      </c>
    </row>
    <row r="87" spans="1:11">
      <c r="A87" s="50" t="s">
        <v>182</v>
      </c>
      <c r="B87" s="182">
        <f t="shared" si="5"/>
        <v>85755.006123597588</v>
      </c>
      <c r="E87" t="s">
        <v>107</v>
      </c>
      <c r="F87" s="197">
        <v>34400.509852043651</v>
      </c>
      <c r="J87" s="50" t="s">
        <v>182</v>
      </c>
      <c r="K87" s="182">
        <f t="shared" si="4"/>
        <v>85755.006123597588</v>
      </c>
    </row>
    <row r="88" spans="1:11">
      <c r="A88" s="50" t="s">
        <v>32</v>
      </c>
      <c r="B88" s="182">
        <f>F119</f>
        <v>47061.843715856485</v>
      </c>
      <c r="E88" t="s">
        <v>484</v>
      </c>
      <c r="F88" s="197">
        <v>382054.57429852907</v>
      </c>
      <c r="J88" s="50" t="s">
        <v>32</v>
      </c>
      <c r="K88" s="182">
        <f>O149</f>
        <v>0</v>
      </c>
    </row>
    <row r="89" spans="1:11">
      <c r="A89" s="50" t="s">
        <v>144</v>
      </c>
      <c r="B89" s="182">
        <f>F147</f>
        <v>14761.237042205697</v>
      </c>
      <c r="E89" t="s">
        <v>108</v>
      </c>
      <c r="F89" s="197">
        <v>212388.90645872394</v>
      </c>
      <c r="J89" s="50" t="s">
        <v>144</v>
      </c>
      <c r="K89" s="182">
        <f>O182</f>
        <v>0</v>
      </c>
    </row>
    <row r="90" spans="1:11">
      <c r="A90" s="50" t="s">
        <v>14</v>
      </c>
      <c r="B90" s="182">
        <f t="shared" si="5"/>
        <v>399648.82854650426</v>
      </c>
      <c r="E90" t="s">
        <v>109</v>
      </c>
      <c r="F90" s="197">
        <v>31020.032583197215</v>
      </c>
      <c r="J90" s="50" t="s">
        <v>14</v>
      </c>
      <c r="K90" s="182">
        <f t="shared" si="4"/>
        <v>399648.82854650426</v>
      </c>
    </row>
    <row r="91" spans="1:11">
      <c r="A91" s="122" t="s">
        <v>383</v>
      </c>
      <c r="B91" s="182">
        <f t="shared" si="5"/>
        <v>6600</v>
      </c>
      <c r="E91" t="s">
        <v>110</v>
      </c>
      <c r="F91" s="197">
        <v>3549918.9187775319</v>
      </c>
      <c r="J91" s="50" t="s">
        <v>383</v>
      </c>
      <c r="K91" s="182">
        <f t="shared" si="4"/>
        <v>6600</v>
      </c>
    </row>
    <row r="92" spans="1:11">
      <c r="A92" s="50" t="s">
        <v>320</v>
      </c>
      <c r="B92" s="182">
        <f t="shared" si="5"/>
        <v>20904.898296250143</v>
      </c>
      <c r="E92" t="s">
        <v>111</v>
      </c>
      <c r="F92" s="197">
        <v>1371171.152331155</v>
      </c>
      <c r="J92" s="50" t="s">
        <v>320</v>
      </c>
      <c r="K92" s="182">
        <f t="shared" si="4"/>
        <v>20904.898296250143</v>
      </c>
    </row>
    <row r="93" spans="1:11">
      <c r="A93" s="50" t="s">
        <v>183</v>
      </c>
      <c r="B93" s="182">
        <f t="shared" si="5"/>
        <v>20956.999452431664</v>
      </c>
      <c r="E93" t="s">
        <v>369</v>
      </c>
      <c r="F93" s="197">
        <v>401504.51471871819</v>
      </c>
      <c r="J93" s="50" t="s">
        <v>183</v>
      </c>
      <c r="K93" s="182">
        <f t="shared" si="4"/>
        <v>20956.999452431664</v>
      </c>
    </row>
    <row r="94" spans="1:11">
      <c r="A94" s="50" t="s">
        <v>15</v>
      </c>
      <c r="B94" s="182">
        <f t="shared" si="5"/>
        <v>14397.127281382942</v>
      </c>
      <c r="E94" t="s">
        <v>326</v>
      </c>
      <c r="F94" s="197">
        <v>250842.78213946417</v>
      </c>
      <c r="J94" s="50" t="s">
        <v>15</v>
      </c>
      <c r="K94" s="182">
        <f t="shared" si="4"/>
        <v>14397.127281382942</v>
      </c>
    </row>
    <row r="95" spans="1:11">
      <c r="A95" s="50" t="s">
        <v>16</v>
      </c>
      <c r="B95" s="182">
        <f t="shared" si="5"/>
        <v>1788886.8210468132</v>
      </c>
      <c r="E95" t="s">
        <v>180</v>
      </c>
      <c r="F95" s="197">
        <v>545629.45040373516</v>
      </c>
      <c r="J95" s="50" t="s">
        <v>16</v>
      </c>
      <c r="K95" s="182">
        <f t="shared" si="4"/>
        <v>1788886.8210468132</v>
      </c>
    </row>
    <row r="96" spans="1:11">
      <c r="A96" s="50" t="s">
        <v>17</v>
      </c>
      <c r="B96" s="182">
        <f t="shared" si="5"/>
        <v>16539.436547294972</v>
      </c>
      <c r="E96" t="s">
        <v>112</v>
      </c>
      <c r="F96" s="197">
        <v>0</v>
      </c>
      <c r="J96" s="50" t="s">
        <v>17</v>
      </c>
      <c r="K96" s="182">
        <f t="shared" si="4"/>
        <v>16539.436547294972</v>
      </c>
    </row>
    <row r="97" spans="1:11">
      <c r="A97" s="50" t="s">
        <v>63</v>
      </c>
      <c r="B97" s="182">
        <f t="shared" si="5"/>
        <v>19872.180369627498</v>
      </c>
      <c r="E97" t="s">
        <v>113</v>
      </c>
      <c r="F97" s="197">
        <v>509901.49570210325</v>
      </c>
      <c r="J97" s="50" t="s">
        <v>63</v>
      </c>
      <c r="K97" s="182">
        <f t="shared" si="4"/>
        <v>19872.180369627498</v>
      </c>
    </row>
    <row r="98" spans="1:11">
      <c r="A98" s="50" t="s">
        <v>8</v>
      </c>
      <c r="B98" s="182">
        <f t="shared" si="5"/>
        <v>7404.5419645077918</v>
      </c>
      <c r="E98" t="s">
        <v>143</v>
      </c>
      <c r="F98" s="197">
        <v>2254851.2127318047</v>
      </c>
      <c r="J98" s="50" t="s">
        <v>8</v>
      </c>
      <c r="K98" s="182">
        <f t="shared" si="4"/>
        <v>7404.5419645077918</v>
      </c>
    </row>
    <row r="99" spans="1:11">
      <c r="A99" s="50" t="s">
        <v>222</v>
      </c>
      <c r="B99" s="182">
        <f>K99</f>
        <v>16199</v>
      </c>
      <c r="E99" t="s">
        <v>114</v>
      </c>
      <c r="F99" s="197">
        <v>19423.355367237178</v>
      </c>
      <c r="J99" s="50" t="s">
        <v>222</v>
      </c>
      <c r="K99" s="182">
        <v>16199</v>
      </c>
    </row>
    <row r="100" spans="1:11">
      <c r="A100" s="50" t="s">
        <v>18</v>
      </c>
      <c r="B100" s="182">
        <f t="shared" si="5"/>
        <v>141109.37320941436</v>
      </c>
      <c r="E100" t="s">
        <v>115</v>
      </c>
      <c r="F100" s="197">
        <v>4212945.1597814029</v>
      </c>
      <c r="J100" s="50" t="s">
        <v>18</v>
      </c>
      <c r="K100" s="182">
        <f t="shared" si="4"/>
        <v>141109.37320941436</v>
      </c>
    </row>
    <row r="101" spans="1:11">
      <c r="A101" s="50" t="s">
        <v>223</v>
      </c>
      <c r="B101" s="182">
        <f t="shared" si="5"/>
        <v>20624.597846549506</v>
      </c>
      <c r="E101" t="s">
        <v>116</v>
      </c>
      <c r="F101" s="197">
        <v>50813.642348674643</v>
      </c>
      <c r="J101" s="50" t="s">
        <v>223</v>
      </c>
      <c r="K101" s="182">
        <f t="shared" si="4"/>
        <v>20624.597846549506</v>
      </c>
    </row>
    <row r="102" spans="1:11">
      <c r="A102" s="50" t="s">
        <v>135</v>
      </c>
      <c r="B102" s="182">
        <f t="shared" si="5"/>
        <v>12351.024843746696</v>
      </c>
      <c r="E102" t="s">
        <v>117</v>
      </c>
      <c r="F102" s="197">
        <v>261421.12108557209</v>
      </c>
      <c r="J102" s="50" t="s">
        <v>135</v>
      </c>
      <c r="K102" s="182">
        <f t="shared" si="4"/>
        <v>12351.024843746696</v>
      </c>
    </row>
    <row r="103" spans="1:11">
      <c r="A103" s="50" t="s">
        <v>373</v>
      </c>
      <c r="B103" s="182">
        <f t="shared" si="5"/>
        <v>40908.073366845521</v>
      </c>
      <c r="E103" t="s">
        <v>181</v>
      </c>
      <c r="F103" s="197">
        <v>107440.57583804752</v>
      </c>
      <c r="J103" s="50" t="s">
        <v>184</v>
      </c>
      <c r="K103" s="182">
        <f t="shared" si="4"/>
        <v>1118124.7498862941</v>
      </c>
    </row>
    <row r="104" spans="1:11">
      <c r="A104" s="50" t="s">
        <v>184</v>
      </c>
      <c r="B104" s="182">
        <f t="shared" si="5"/>
        <v>1118124.7498862941</v>
      </c>
      <c r="E104" t="s">
        <v>408</v>
      </c>
      <c r="F104" s="197">
        <v>279.03435510842144</v>
      </c>
      <c r="J104" s="50" t="s">
        <v>21</v>
      </c>
      <c r="K104" s="182">
        <f t="shared" si="4"/>
        <v>253465.70323214593</v>
      </c>
    </row>
    <row r="105" spans="1:11">
      <c r="A105" s="50" t="s">
        <v>21</v>
      </c>
      <c r="B105" s="182">
        <f t="shared" si="5"/>
        <v>253465.70323214593</v>
      </c>
      <c r="E105" t="s">
        <v>517</v>
      </c>
      <c r="F105" s="197">
        <v>0</v>
      </c>
      <c r="J105" s="50" t="s">
        <v>22</v>
      </c>
      <c r="K105" s="182">
        <f t="shared" si="4"/>
        <v>17829.215283799655</v>
      </c>
    </row>
    <row r="106" spans="1:11">
      <c r="A106" s="50" t="s">
        <v>22</v>
      </c>
      <c r="B106" s="182">
        <f t="shared" si="5"/>
        <v>17829.215283799655</v>
      </c>
      <c r="E106" t="s">
        <v>494</v>
      </c>
      <c r="F106" s="197">
        <v>1712792.8542023688</v>
      </c>
      <c r="J106" s="50" t="s">
        <v>316</v>
      </c>
      <c r="K106" s="182">
        <f t="shared" si="4"/>
        <v>16819.170420565319</v>
      </c>
    </row>
    <row r="107" spans="1:11">
      <c r="A107" s="50" t="s">
        <v>316</v>
      </c>
      <c r="B107" s="182">
        <f t="shared" si="5"/>
        <v>16819.170420565319</v>
      </c>
      <c r="E107" t="s">
        <v>380</v>
      </c>
      <c r="F107" s="197">
        <v>10438.351483167697</v>
      </c>
      <c r="J107" s="50" t="s">
        <v>185</v>
      </c>
      <c r="K107" s="182">
        <f t="shared" si="4"/>
        <v>362814.95169607276</v>
      </c>
    </row>
    <row r="108" spans="1:11">
      <c r="A108" s="50" t="s">
        <v>185</v>
      </c>
      <c r="B108" s="182">
        <f t="shared" si="5"/>
        <v>362814.95169607276</v>
      </c>
      <c r="E108" t="s">
        <v>119</v>
      </c>
      <c r="F108" s="197">
        <v>161772.22195094163</v>
      </c>
      <c r="J108" s="50" t="s">
        <v>23</v>
      </c>
      <c r="K108" s="182">
        <f t="shared" si="4"/>
        <v>485513.31650363043</v>
      </c>
    </row>
    <row r="109" spans="1:11">
      <c r="A109" s="50" t="s">
        <v>23</v>
      </c>
      <c r="B109" s="182">
        <f t="shared" si="5"/>
        <v>485513.31650363043</v>
      </c>
      <c r="E109" t="s">
        <v>346</v>
      </c>
      <c r="F109" s="197">
        <v>13987.627908838138</v>
      </c>
      <c r="J109" s="50" t="s">
        <v>24</v>
      </c>
      <c r="K109" s="182">
        <f t="shared" si="4"/>
        <v>108192.45773732119</v>
      </c>
    </row>
    <row r="110" spans="1:11">
      <c r="A110" s="50" t="s">
        <v>24</v>
      </c>
      <c r="B110" s="182">
        <f t="shared" si="5"/>
        <v>108192.45773732119</v>
      </c>
      <c r="E110" t="s">
        <v>495</v>
      </c>
      <c r="F110" s="197">
        <v>15843.155731255179</v>
      </c>
      <c r="J110" s="50" t="s">
        <v>25</v>
      </c>
      <c r="K110" s="182">
        <f t="shared" si="4"/>
        <v>338368.45531787578</v>
      </c>
    </row>
    <row r="111" spans="1:11">
      <c r="A111" s="50" t="s">
        <v>25</v>
      </c>
      <c r="B111" s="182">
        <f t="shared" si="5"/>
        <v>338368.45531787578</v>
      </c>
      <c r="E111" t="s">
        <v>120</v>
      </c>
      <c r="F111" s="197">
        <v>43627.078481287048</v>
      </c>
      <c r="J111" s="50" t="s">
        <v>26</v>
      </c>
      <c r="K111" s="182">
        <f t="shared" si="4"/>
        <v>83382.399999999994</v>
      </c>
    </row>
    <row r="112" spans="1:11">
      <c r="A112" s="50" t="s">
        <v>26</v>
      </c>
      <c r="B112" s="182">
        <f t="shared" si="5"/>
        <v>83382.399999999994</v>
      </c>
      <c r="E112" t="s">
        <v>121</v>
      </c>
      <c r="F112" s="197">
        <v>17937.256175140981</v>
      </c>
      <c r="J112" s="50" t="s">
        <v>9</v>
      </c>
      <c r="K112" s="182">
        <f t="shared" si="4"/>
        <v>30932.496249791653</v>
      </c>
    </row>
    <row r="113" spans="1:11">
      <c r="A113" s="50" t="s">
        <v>9</v>
      </c>
      <c r="B113" s="182">
        <f t="shared" si="5"/>
        <v>30932.496249791653</v>
      </c>
      <c r="E113" t="s">
        <v>387</v>
      </c>
      <c r="F113" s="197">
        <v>2046.0390244585401</v>
      </c>
      <c r="J113" s="50" t="s">
        <v>27</v>
      </c>
      <c r="K113" s="182">
        <f t="shared" si="4"/>
        <v>42956.263543948167</v>
      </c>
    </row>
    <row r="114" spans="1:11">
      <c r="A114" s="50" t="s">
        <v>27</v>
      </c>
      <c r="B114" s="182">
        <f t="shared" si="5"/>
        <v>42956.263543948167</v>
      </c>
      <c r="E114" t="s">
        <v>313</v>
      </c>
      <c r="F114" s="197">
        <v>4332</v>
      </c>
      <c r="J114" s="50" t="s">
        <v>28</v>
      </c>
      <c r="K114" s="182">
        <f t="shared" si="4"/>
        <v>267603.24865525268</v>
      </c>
    </row>
    <row r="115" spans="1:11">
      <c r="A115" s="50" t="s">
        <v>28</v>
      </c>
      <c r="B115" s="182">
        <f t="shared" si="5"/>
        <v>267603.24865525268</v>
      </c>
      <c r="E115" t="s">
        <v>317</v>
      </c>
      <c r="F115" s="197">
        <v>50491.722445777297</v>
      </c>
      <c r="J115" s="50" t="s">
        <v>29</v>
      </c>
      <c r="K115" s="182">
        <f t="shared" si="4"/>
        <v>437146.37272994244</v>
      </c>
    </row>
    <row r="116" spans="1:11">
      <c r="A116" s="50" t="s">
        <v>29</v>
      </c>
      <c r="B116" s="182">
        <f t="shared" si="5"/>
        <v>437146.37272994244</v>
      </c>
      <c r="E116" t="s">
        <v>220</v>
      </c>
      <c r="F116" s="197">
        <v>7364.6545151398359</v>
      </c>
      <c r="J116" s="50" t="s">
        <v>30</v>
      </c>
      <c r="K116" s="182">
        <f t="shared" si="4"/>
        <v>811229.10068756633</v>
      </c>
    </row>
    <row r="117" spans="1:11">
      <c r="A117" s="50" t="s">
        <v>30</v>
      </c>
      <c r="B117" s="182">
        <f t="shared" si="5"/>
        <v>811229.10068756633</v>
      </c>
      <c r="E117" t="s">
        <v>13</v>
      </c>
      <c r="F117" s="197">
        <v>77836.396962771963</v>
      </c>
      <c r="J117" s="50" t="s">
        <v>186</v>
      </c>
      <c r="K117" s="182">
        <f t="shared" si="4"/>
        <v>287080.01357449719</v>
      </c>
    </row>
    <row r="118" spans="1:11">
      <c r="A118" s="50" t="s">
        <v>186</v>
      </c>
      <c r="B118" s="182">
        <f t="shared" si="5"/>
        <v>287080.01357449719</v>
      </c>
      <c r="E118" t="s">
        <v>182</v>
      </c>
      <c r="F118" s="197">
        <v>85755.006123597588</v>
      </c>
      <c r="J118" s="50" t="s">
        <v>73</v>
      </c>
      <c r="K118" s="182">
        <f t="shared" si="4"/>
        <v>235770.4037349</v>
      </c>
    </row>
    <row r="119" spans="1:11">
      <c r="A119" s="50" t="s">
        <v>73</v>
      </c>
      <c r="B119" s="182">
        <f t="shared" si="5"/>
        <v>235770.4037349</v>
      </c>
      <c r="E119" t="s">
        <v>485</v>
      </c>
      <c r="F119" s="197">
        <v>47061.843715856485</v>
      </c>
      <c r="J119" s="50" t="s">
        <v>287</v>
      </c>
      <c r="K119" s="182">
        <v>11000</v>
      </c>
    </row>
    <row r="120" spans="1:11">
      <c r="A120" s="50" t="s">
        <v>287</v>
      </c>
      <c r="B120" s="182">
        <f>K119</f>
        <v>11000</v>
      </c>
      <c r="E120" t="s">
        <v>331</v>
      </c>
      <c r="F120" s="197">
        <v>16031.702914919531</v>
      </c>
      <c r="J120" s="50" t="s">
        <v>0</v>
      </c>
      <c r="K120" s="182">
        <f t="shared" si="4"/>
        <v>351002.57962967013</v>
      </c>
    </row>
    <row r="121" spans="1:11">
      <c r="A121" s="50" t="s">
        <v>0</v>
      </c>
      <c r="B121" s="182">
        <f t="shared" si="5"/>
        <v>351002.57962967013</v>
      </c>
      <c r="E121" t="s">
        <v>322</v>
      </c>
      <c r="F121" s="197">
        <v>14084.341062367504</v>
      </c>
      <c r="J121" s="50" t="s">
        <v>1</v>
      </c>
      <c r="K121" s="182">
        <f>O204</f>
        <v>0</v>
      </c>
    </row>
    <row r="122" spans="1:11">
      <c r="A122" s="50" t="s">
        <v>1</v>
      </c>
      <c r="B122" s="182">
        <f>F163</f>
        <v>2021421.4760354171</v>
      </c>
      <c r="E122" t="s">
        <v>14</v>
      </c>
      <c r="F122" s="197">
        <v>399648.82854650426</v>
      </c>
      <c r="J122" s="50" t="s">
        <v>224</v>
      </c>
      <c r="K122" s="182">
        <f t="shared" si="4"/>
        <v>14097.76864766952</v>
      </c>
    </row>
    <row r="123" spans="1:11">
      <c r="A123" s="50" t="s">
        <v>224</v>
      </c>
      <c r="B123" s="182">
        <f t="shared" si="5"/>
        <v>14097.76864766952</v>
      </c>
      <c r="E123" t="s">
        <v>383</v>
      </c>
      <c r="F123" s="197">
        <v>6600</v>
      </c>
      <c r="J123" s="50" t="s">
        <v>2</v>
      </c>
      <c r="K123" s="182">
        <f t="shared" si="4"/>
        <v>1067582.9333333333</v>
      </c>
    </row>
    <row r="124" spans="1:11">
      <c r="A124" s="50" t="s">
        <v>2</v>
      </c>
      <c r="B124" s="182">
        <f t="shared" si="5"/>
        <v>1067582.9333333333</v>
      </c>
      <c r="E124" t="s">
        <v>320</v>
      </c>
      <c r="F124" s="197">
        <v>20904.898296250143</v>
      </c>
      <c r="J124" s="50" t="s">
        <v>134</v>
      </c>
      <c r="K124" s="182">
        <f t="shared" si="4"/>
        <v>31013.986429186058</v>
      </c>
    </row>
    <row r="125" spans="1:11">
      <c r="A125" s="50" t="s">
        <v>134</v>
      </c>
      <c r="B125" s="182">
        <f t="shared" si="5"/>
        <v>31013.986429186058</v>
      </c>
      <c r="E125" t="s">
        <v>183</v>
      </c>
      <c r="F125" s="197">
        <v>20956.999452431664</v>
      </c>
      <c r="J125" s="50" t="s">
        <v>145</v>
      </c>
      <c r="K125" s="182">
        <f>VLOOKUP(J125,$E$2:$F$267,2,FALSE)</f>
        <v>75187.125426737548</v>
      </c>
    </row>
    <row r="126" spans="1:11">
      <c r="A126" s="50" t="s">
        <v>145</v>
      </c>
      <c r="B126" s="182">
        <f t="shared" si="5"/>
        <v>75187.125426737548</v>
      </c>
      <c r="E126" t="s">
        <v>407</v>
      </c>
      <c r="F126" s="197">
        <v>284</v>
      </c>
      <c r="J126" s="50" t="s">
        <v>281</v>
      </c>
      <c r="K126" s="182">
        <v>24800</v>
      </c>
    </row>
    <row r="127" spans="1:11">
      <c r="A127" s="50" t="s">
        <v>281</v>
      </c>
      <c r="B127" s="182">
        <f>K126</f>
        <v>24800</v>
      </c>
      <c r="E127" t="s">
        <v>381</v>
      </c>
      <c r="F127" s="197">
        <v>10452.57706275806</v>
      </c>
      <c r="J127" s="50" t="s">
        <v>3</v>
      </c>
      <c r="K127" s="182">
        <f t="shared" ref="K127:K180" si="6">VLOOKUP(J127,$E$2:$F$267,2,FALSE)</f>
        <v>501427.50008005853</v>
      </c>
    </row>
    <row r="128" spans="1:11">
      <c r="A128" s="50" t="s">
        <v>3</v>
      </c>
      <c r="B128" s="182">
        <f t="shared" si="5"/>
        <v>501427.50008005853</v>
      </c>
      <c r="E128" t="s">
        <v>15</v>
      </c>
      <c r="F128" s="197">
        <v>14397.127281382942</v>
      </c>
      <c r="J128" s="50" t="s">
        <v>61</v>
      </c>
      <c r="K128" s="182">
        <f>O216</f>
        <v>0</v>
      </c>
    </row>
    <row r="129" spans="1:11">
      <c r="A129" s="50" t="s">
        <v>61</v>
      </c>
      <c r="B129" s="182">
        <f>F175</f>
        <v>132793.62228307096</v>
      </c>
      <c r="E129" t="s">
        <v>16</v>
      </c>
      <c r="F129" s="197">
        <v>1788886.8210468132</v>
      </c>
      <c r="J129" s="142" t="s">
        <v>187</v>
      </c>
      <c r="K129" s="182">
        <f t="shared" si="6"/>
        <v>68216.781410522774</v>
      </c>
    </row>
    <row r="130" spans="1:11">
      <c r="A130" s="142" t="s">
        <v>187</v>
      </c>
      <c r="B130" s="182">
        <f t="shared" si="5"/>
        <v>68216.781410522774</v>
      </c>
      <c r="E130" t="s">
        <v>405</v>
      </c>
      <c r="F130" s="197">
        <v>460</v>
      </c>
      <c r="J130" s="50" t="s">
        <v>395</v>
      </c>
      <c r="K130" s="182">
        <f t="shared" si="6"/>
        <v>1631.2867011151561</v>
      </c>
    </row>
    <row r="131" spans="1:11">
      <c r="A131" s="122" t="s">
        <v>395</v>
      </c>
      <c r="B131" s="182">
        <f t="shared" si="5"/>
        <v>1631.2867011151561</v>
      </c>
      <c r="E131" t="s">
        <v>17</v>
      </c>
      <c r="F131" s="197">
        <v>16539.436547294972</v>
      </c>
      <c r="J131" s="50" t="s">
        <v>75</v>
      </c>
      <c r="K131" s="182">
        <f t="shared" si="6"/>
        <v>377781.60098587308</v>
      </c>
    </row>
    <row r="132" spans="1:11">
      <c r="A132" s="50" t="s">
        <v>75</v>
      </c>
      <c r="B132" s="182">
        <f t="shared" si="5"/>
        <v>377781.60098587308</v>
      </c>
      <c r="E132" t="s">
        <v>431</v>
      </c>
      <c r="F132" s="197">
        <v>8784.0029316866458</v>
      </c>
      <c r="J132" s="50" t="s">
        <v>137</v>
      </c>
      <c r="K132" s="182">
        <f t="shared" si="6"/>
        <v>1580694.7125157141</v>
      </c>
    </row>
    <row r="133" spans="1:11">
      <c r="A133" s="50" t="s">
        <v>137</v>
      </c>
      <c r="B133" s="182">
        <f t="shared" ref="B133:B181" si="7">VLOOKUP(A133,$E$2:$F$219,2,FALSE)</f>
        <v>1580694.7125157141</v>
      </c>
      <c r="E133" t="s">
        <v>63</v>
      </c>
      <c r="F133" s="197">
        <v>19872.180369627498</v>
      </c>
      <c r="J133" s="50" t="s">
        <v>133</v>
      </c>
      <c r="K133" s="182">
        <f t="shared" si="6"/>
        <v>84356.860421129953</v>
      </c>
    </row>
    <row r="134" spans="1:11">
      <c r="A134" s="50" t="s">
        <v>133</v>
      </c>
      <c r="B134" s="182">
        <f t="shared" si="7"/>
        <v>84356.860421129953</v>
      </c>
      <c r="E134" t="s">
        <v>8</v>
      </c>
      <c r="F134" s="197">
        <v>7404.5419645077918</v>
      </c>
      <c r="J134" s="50" t="s">
        <v>188</v>
      </c>
      <c r="K134" s="182">
        <v>11900</v>
      </c>
    </row>
    <row r="135" spans="1:11">
      <c r="A135" s="50" t="s">
        <v>188</v>
      </c>
      <c r="B135" s="182">
        <f>K134</f>
        <v>11900</v>
      </c>
      <c r="E135" t="s">
        <v>18</v>
      </c>
      <c r="F135" s="197">
        <v>141109.37320941436</v>
      </c>
      <c r="J135" s="50" t="s">
        <v>10</v>
      </c>
      <c r="K135" s="182">
        <v>8100</v>
      </c>
    </row>
    <row r="136" spans="1:11">
      <c r="A136" s="50" t="s">
        <v>10</v>
      </c>
      <c r="B136" s="182">
        <f>K135</f>
        <v>8100</v>
      </c>
      <c r="E136" t="s">
        <v>223</v>
      </c>
      <c r="F136" s="197">
        <v>20624.597846549506</v>
      </c>
      <c r="J136" s="50" t="s">
        <v>33</v>
      </c>
      <c r="K136" s="182">
        <f t="shared" si="6"/>
        <v>3782.4372960432288</v>
      </c>
    </row>
    <row r="137" spans="1:11">
      <c r="A137" s="50" t="s">
        <v>33</v>
      </c>
      <c r="B137" s="182">
        <f t="shared" si="7"/>
        <v>3782.4372960432288</v>
      </c>
      <c r="E137" t="s">
        <v>330</v>
      </c>
      <c r="F137" s="197">
        <v>64815.031669095246</v>
      </c>
      <c r="J137" s="50" t="s">
        <v>382</v>
      </c>
      <c r="K137" s="182">
        <f>O74</f>
        <v>0</v>
      </c>
    </row>
    <row r="138" spans="1:11">
      <c r="A138" s="50" t="s">
        <v>382</v>
      </c>
      <c r="B138" s="182">
        <f>F65</f>
        <v>4597.8558450427581</v>
      </c>
      <c r="E138" t="s">
        <v>135</v>
      </c>
      <c r="F138" s="197">
        <v>12351.024843746696</v>
      </c>
      <c r="J138" s="50" t="s">
        <v>34</v>
      </c>
      <c r="K138" s="182">
        <f t="shared" si="6"/>
        <v>593267.70103340817</v>
      </c>
    </row>
    <row r="139" spans="1:11">
      <c r="A139" s="50" t="s">
        <v>34</v>
      </c>
      <c r="B139" s="182">
        <f t="shared" si="7"/>
        <v>593267.70103340817</v>
      </c>
      <c r="E139" t="s">
        <v>496</v>
      </c>
      <c r="F139" s="197">
        <v>154.12779819354142</v>
      </c>
      <c r="J139" s="50" t="s">
        <v>35</v>
      </c>
      <c r="K139" s="182">
        <f t="shared" si="6"/>
        <v>884940.40223040886</v>
      </c>
    </row>
    <row r="140" spans="1:11">
      <c r="A140" s="50" t="s">
        <v>35</v>
      </c>
      <c r="B140" s="182">
        <f t="shared" si="7"/>
        <v>884940.40223040886</v>
      </c>
      <c r="E140" t="s">
        <v>373</v>
      </c>
      <c r="F140" s="197">
        <v>40908.073366845521</v>
      </c>
      <c r="J140" s="50" t="s">
        <v>64</v>
      </c>
      <c r="K140" s="182">
        <f>761690</f>
        <v>761690</v>
      </c>
    </row>
    <row r="141" spans="1:11">
      <c r="A141" s="50" t="s">
        <v>64</v>
      </c>
      <c r="B141" s="182">
        <v>791610</v>
      </c>
      <c r="E141" t="s">
        <v>184</v>
      </c>
      <c r="F141" s="197">
        <v>1118124.7498862941</v>
      </c>
      <c r="J141" s="50" t="s">
        <v>379</v>
      </c>
      <c r="K141" s="182">
        <f t="shared" si="6"/>
        <v>12060.602008847782</v>
      </c>
    </row>
    <row r="142" spans="1:11">
      <c r="A142" s="50" t="s">
        <v>379</v>
      </c>
      <c r="B142" s="182">
        <f t="shared" si="7"/>
        <v>12060.602008847782</v>
      </c>
      <c r="E142" t="s">
        <v>500</v>
      </c>
      <c r="F142" s="197">
        <v>9623.3187183145947</v>
      </c>
      <c r="J142" s="50" t="s">
        <v>327</v>
      </c>
      <c r="K142" s="182">
        <f t="shared" si="6"/>
        <v>79158.286333523982</v>
      </c>
    </row>
    <row r="143" spans="1:11">
      <c r="A143" s="122" t="s">
        <v>327</v>
      </c>
      <c r="B143" s="182">
        <f t="shared" si="7"/>
        <v>79158.286333523982</v>
      </c>
      <c r="E143" t="s">
        <v>21</v>
      </c>
      <c r="F143" s="197">
        <v>253465.70323214593</v>
      </c>
      <c r="J143" s="50" t="s">
        <v>65</v>
      </c>
      <c r="K143" s="182">
        <f t="shared" si="6"/>
        <v>514944.99383357755</v>
      </c>
    </row>
    <row r="144" spans="1:11">
      <c r="A144" s="50" t="s">
        <v>65</v>
      </c>
      <c r="B144" s="182">
        <f t="shared" si="7"/>
        <v>514944.99383357755</v>
      </c>
      <c r="E144" t="s">
        <v>22</v>
      </c>
      <c r="F144" s="197">
        <v>17829.215283799655</v>
      </c>
      <c r="J144" s="50" t="s">
        <v>319</v>
      </c>
      <c r="K144" s="182">
        <f t="shared" si="6"/>
        <v>9171.2618350626417</v>
      </c>
    </row>
    <row r="145" spans="1:11">
      <c r="A145" s="50" t="s">
        <v>319</v>
      </c>
      <c r="B145" s="182">
        <f t="shared" si="7"/>
        <v>9171.2618350626417</v>
      </c>
      <c r="E145" t="s">
        <v>316</v>
      </c>
      <c r="F145" s="197">
        <v>16819.170420565319</v>
      </c>
      <c r="J145" s="50" t="s">
        <v>11</v>
      </c>
      <c r="K145" s="182">
        <f t="shared" si="6"/>
        <v>28139.944790291105</v>
      </c>
    </row>
    <row r="146" spans="1:11">
      <c r="A146" s="50" t="s">
        <v>11</v>
      </c>
      <c r="B146" s="182">
        <f t="shared" si="7"/>
        <v>28139.944790291105</v>
      </c>
      <c r="E146" t="s">
        <v>185</v>
      </c>
      <c r="F146" s="197">
        <v>362814.95169607276</v>
      </c>
      <c r="J146" s="50" t="s">
        <v>76</v>
      </c>
      <c r="K146" s="182">
        <f t="shared" si="6"/>
        <v>48529.595416653261</v>
      </c>
    </row>
    <row r="147" spans="1:11">
      <c r="A147" s="50" t="s">
        <v>76</v>
      </c>
      <c r="B147" s="182">
        <f t="shared" si="7"/>
        <v>48529.595416653261</v>
      </c>
      <c r="E147" t="s">
        <v>458</v>
      </c>
      <c r="F147" s="197">
        <v>14761.237042205697</v>
      </c>
      <c r="J147" s="50" t="s">
        <v>66</v>
      </c>
      <c r="K147" s="182">
        <f>O247</f>
        <v>0</v>
      </c>
    </row>
    <row r="148" spans="1:11">
      <c r="A148" s="50" t="s">
        <v>66</v>
      </c>
      <c r="B148" s="182">
        <f>F200</f>
        <v>1108022.3732595111</v>
      </c>
      <c r="E148" t="s">
        <v>432</v>
      </c>
      <c r="F148" s="197">
        <v>0</v>
      </c>
      <c r="J148" s="50" t="s">
        <v>288</v>
      </c>
      <c r="K148" s="182">
        <f t="shared" si="6"/>
        <v>1402.0543909473399</v>
      </c>
    </row>
    <row r="149" spans="1:11">
      <c r="A149" s="50" t="s">
        <v>288</v>
      </c>
      <c r="B149" s="182">
        <f t="shared" si="7"/>
        <v>1402.0543909473399</v>
      </c>
      <c r="E149" t="s">
        <v>23</v>
      </c>
      <c r="F149" s="197">
        <v>485513.31650363043</v>
      </c>
      <c r="J149" s="50" t="s">
        <v>225</v>
      </c>
      <c r="K149" s="182">
        <f t="shared" si="6"/>
        <v>49272.882213623001</v>
      </c>
    </row>
    <row r="150" spans="1:11">
      <c r="A150" s="50" t="s">
        <v>225</v>
      </c>
      <c r="B150" s="182">
        <f t="shared" si="7"/>
        <v>49272.882213623001</v>
      </c>
      <c r="E150" t="s">
        <v>24</v>
      </c>
      <c r="F150" s="197">
        <v>108192.45773732119</v>
      </c>
      <c r="J150" s="50" t="s">
        <v>68</v>
      </c>
      <c r="K150" s="182">
        <f t="shared" si="6"/>
        <v>178757.02138680895</v>
      </c>
    </row>
    <row r="151" spans="1:11">
      <c r="A151" s="50" t="s">
        <v>68</v>
      </c>
      <c r="B151" s="182">
        <f t="shared" si="7"/>
        <v>178757.02138680895</v>
      </c>
      <c r="E151" t="s">
        <v>25</v>
      </c>
      <c r="F151" s="197">
        <v>338368.45531787578</v>
      </c>
      <c r="J151" s="50" t="s">
        <v>60</v>
      </c>
      <c r="K151" s="182">
        <f t="shared" si="6"/>
        <v>504173.45132743364</v>
      </c>
    </row>
    <row r="152" spans="1:11">
      <c r="A152" s="50" t="s">
        <v>60</v>
      </c>
      <c r="B152" s="182">
        <f t="shared" si="7"/>
        <v>504173.45132743364</v>
      </c>
      <c r="E152" t="s">
        <v>406</v>
      </c>
      <c r="F152" s="197">
        <v>263.02073371701101</v>
      </c>
      <c r="J152" s="50" t="s">
        <v>57</v>
      </c>
      <c r="K152" s="182">
        <f t="shared" si="6"/>
        <v>3340032.3806680357</v>
      </c>
    </row>
    <row r="153" spans="1:11">
      <c r="A153" s="50" t="s">
        <v>57</v>
      </c>
      <c r="B153" s="182">
        <f t="shared" si="7"/>
        <v>3340032.3806680357</v>
      </c>
      <c r="E153" t="s">
        <v>26</v>
      </c>
      <c r="F153" s="197">
        <v>83382.399999999994</v>
      </c>
      <c r="J153" s="50" t="s">
        <v>12</v>
      </c>
      <c r="K153" s="182">
        <f>O255</f>
        <v>0</v>
      </c>
    </row>
    <row r="154" spans="1:11">
      <c r="A154" s="8" t="str">
        <f>'Sovereign Ratings (Moody''s,S&amp;P)'!A153</f>
        <v>United States</v>
      </c>
      <c r="B154" s="182">
        <f>F208</f>
        <v>27360935</v>
      </c>
      <c r="E154" t="s">
        <v>9</v>
      </c>
      <c r="F154" s="197">
        <v>30932.496249791653</v>
      </c>
      <c r="J154" s="50" t="s">
        <v>69</v>
      </c>
      <c r="K154" s="182">
        <f t="shared" si="6"/>
        <v>77240.831587166962</v>
      </c>
    </row>
    <row r="155" spans="1:11">
      <c r="A155" s="50" t="s">
        <v>69</v>
      </c>
      <c r="B155" s="182">
        <f t="shared" si="7"/>
        <v>77240.831587166962</v>
      </c>
      <c r="E155" t="s">
        <v>27</v>
      </c>
      <c r="F155" s="197">
        <v>42956.263543948167</v>
      </c>
      <c r="J155" s="209" t="s">
        <v>371</v>
      </c>
      <c r="K155" s="182">
        <f t="shared" si="6"/>
        <v>90889.149306731269</v>
      </c>
    </row>
    <row r="156" spans="1:11">
      <c r="A156" s="135" t="s">
        <v>371</v>
      </c>
      <c r="B156" s="182">
        <f t="shared" si="7"/>
        <v>90889.149306731269</v>
      </c>
      <c r="E156" t="s">
        <v>28</v>
      </c>
      <c r="F156" s="197">
        <v>267603.24865525268</v>
      </c>
      <c r="J156" s="50" t="s">
        <v>70</v>
      </c>
      <c r="K156" s="182">
        <v>98400</v>
      </c>
    </row>
    <row r="157" spans="1:11">
      <c r="A157" s="50" t="s">
        <v>70</v>
      </c>
      <c r="B157" s="182">
        <f>K156</f>
        <v>98400</v>
      </c>
      <c r="E157" t="s">
        <v>29</v>
      </c>
      <c r="F157" s="197">
        <v>437146.37272994244</v>
      </c>
      <c r="J157" s="50" t="s">
        <v>71</v>
      </c>
      <c r="K157" s="182">
        <v>408802</v>
      </c>
    </row>
    <row r="158" spans="1:11">
      <c r="A158" s="50" t="s">
        <v>71</v>
      </c>
      <c r="B158" s="182">
        <f>F213</f>
        <v>429716.96904959279</v>
      </c>
      <c r="E158" t="s">
        <v>30</v>
      </c>
      <c r="F158" s="197">
        <v>811229.10068756633</v>
      </c>
      <c r="J158" s="50" t="s">
        <v>189</v>
      </c>
      <c r="K158" s="182">
        <f t="shared" si="6"/>
        <v>28162.630953928499</v>
      </c>
    </row>
    <row r="159" spans="1:11">
      <c r="A159" s="50" t="s">
        <v>189</v>
      </c>
      <c r="B159" s="182">
        <f t="shared" si="7"/>
        <v>28162.630953928499</v>
      </c>
      <c r="E159" t="s">
        <v>186</v>
      </c>
      <c r="F159" s="197">
        <v>287080.01357449719</v>
      </c>
      <c r="K159" s="182"/>
    </row>
    <row r="160" spans="1:11">
      <c r="B160" s="182"/>
      <c r="E160" t="s">
        <v>370</v>
      </c>
      <c r="F160" s="197">
        <v>117902.3</v>
      </c>
      <c r="K160" s="182"/>
    </row>
    <row r="161" spans="1:11">
      <c r="B161" s="182"/>
      <c r="E161" t="s">
        <v>73</v>
      </c>
      <c r="F161" s="197">
        <v>235770.4037349</v>
      </c>
      <c r="J161" s="210" t="s">
        <v>332</v>
      </c>
      <c r="K161" s="182">
        <f t="shared" si="6"/>
        <v>239899.49112774237</v>
      </c>
    </row>
    <row r="162" spans="1:11">
      <c r="A162" s="178" t="s">
        <v>332</v>
      </c>
      <c r="B162" s="182">
        <f t="shared" si="7"/>
        <v>239899.49112774237</v>
      </c>
      <c r="E162" t="s">
        <v>0</v>
      </c>
      <c r="F162" s="197">
        <v>351002.57962967013</v>
      </c>
      <c r="J162" s="209" t="s">
        <v>333</v>
      </c>
      <c r="K162" s="182">
        <v>14010</v>
      </c>
    </row>
    <row r="163" spans="1:11">
      <c r="A163" s="135" t="s">
        <v>333</v>
      </c>
      <c r="B163" s="182">
        <f>K162</f>
        <v>14010</v>
      </c>
      <c r="E163" t="s">
        <v>497</v>
      </c>
      <c r="F163" s="197">
        <v>2021421.4760354171</v>
      </c>
      <c r="J163" s="210" t="s">
        <v>329</v>
      </c>
      <c r="K163" s="182">
        <v>2038</v>
      </c>
    </row>
    <row r="164" spans="1:11">
      <c r="A164" s="178" t="s">
        <v>329</v>
      </c>
      <c r="B164" s="182">
        <f>F73</f>
        <v>2339.904156792144</v>
      </c>
      <c r="E164" t="s">
        <v>224</v>
      </c>
      <c r="F164" s="197">
        <v>14097.76864766952</v>
      </c>
      <c r="J164" s="209" t="s">
        <v>312</v>
      </c>
      <c r="K164" s="182">
        <f t="shared" si="6"/>
        <v>23612.295818096096</v>
      </c>
    </row>
    <row r="165" spans="1:11">
      <c r="A165" s="135" t="s">
        <v>312</v>
      </c>
      <c r="B165" s="182">
        <f t="shared" si="7"/>
        <v>23612.295818096096</v>
      </c>
      <c r="E165" t="s">
        <v>399</v>
      </c>
      <c r="F165" s="197">
        <v>934.10033627565383</v>
      </c>
      <c r="J165" s="210" t="s">
        <v>328</v>
      </c>
      <c r="K165" s="182">
        <f t="shared" si="6"/>
        <v>1966.4614003583265</v>
      </c>
    </row>
    <row r="166" spans="1:11">
      <c r="A166" s="178" t="s">
        <v>328</v>
      </c>
      <c r="B166" s="182">
        <f t="shared" si="7"/>
        <v>1966.4614003583265</v>
      </c>
      <c r="E166" t="s">
        <v>433</v>
      </c>
      <c r="F166" s="197">
        <v>0</v>
      </c>
      <c r="J166" s="209" t="s">
        <v>325</v>
      </c>
      <c r="K166" s="182">
        <f t="shared" si="6"/>
        <v>16786.302158273382</v>
      </c>
    </row>
    <row r="167" spans="1:11">
      <c r="A167" s="135" t="s">
        <v>325</v>
      </c>
      <c r="B167" s="182">
        <f t="shared" si="7"/>
        <v>16786.302158273382</v>
      </c>
      <c r="E167" t="s">
        <v>519</v>
      </c>
      <c r="F167" s="197">
        <v>603.24074895420665</v>
      </c>
      <c r="J167" s="210" t="s">
        <v>321</v>
      </c>
      <c r="K167" s="182">
        <f t="shared" si="6"/>
        <v>19850.829757747146</v>
      </c>
    </row>
    <row r="168" spans="1:11">
      <c r="A168" s="178" t="s">
        <v>321</v>
      </c>
      <c r="B168" s="182">
        <f t="shared" si="7"/>
        <v>19850.829757747146</v>
      </c>
      <c r="E168" t="s">
        <v>2</v>
      </c>
      <c r="F168" s="197">
        <v>1067582.9333333333</v>
      </c>
      <c r="J168" s="209" t="s">
        <v>323</v>
      </c>
      <c r="K168" s="182">
        <f>O115</f>
        <v>0</v>
      </c>
    </row>
    <row r="169" spans="1:11">
      <c r="A169" s="135" t="s">
        <v>323</v>
      </c>
      <c r="B169" s="182">
        <f>F93</f>
        <v>401504.51471871819</v>
      </c>
      <c r="E169" t="s">
        <v>134</v>
      </c>
      <c r="F169" s="197">
        <v>31013.986429186058</v>
      </c>
      <c r="J169" s="210" t="s">
        <v>362</v>
      </c>
      <c r="K169" s="182">
        <v>28500</v>
      </c>
    </row>
    <row r="170" spans="1:11">
      <c r="A170" s="178" t="s">
        <v>362</v>
      </c>
      <c r="B170" s="182">
        <f>K169</f>
        <v>28500</v>
      </c>
      <c r="E170" t="s">
        <v>145</v>
      </c>
      <c r="F170" s="197">
        <v>75187.125426737548</v>
      </c>
      <c r="J170" s="209" t="s">
        <v>313</v>
      </c>
      <c r="K170" s="182">
        <f t="shared" si="6"/>
        <v>4332</v>
      </c>
    </row>
    <row r="171" spans="1:11">
      <c r="A171" s="135" t="s">
        <v>313</v>
      </c>
      <c r="B171" s="182">
        <f t="shared" si="7"/>
        <v>4332</v>
      </c>
      <c r="E171" t="s">
        <v>392</v>
      </c>
      <c r="F171" s="197">
        <v>2141.4501711393214</v>
      </c>
      <c r="J171" s="210" t="s">
        <v>317</v>
      </c>
      <c r="K171" s="182">
        <f t="shared" si="6"/>
        <v>50491.722445777297</v>
      </c>
    </row>
    <row r="172" spans="1:11">
      <c r="A172" s="178" t="s">
        <v>317</v>
      </c>
      <c r="B172" s="182">
        <f t="shared" si="7"/>
        <v>50491.722445777297</v>
      </c>
      <c r="E172" t="s">
        <v>324</v>
      </c>
      <c r="F172" s="197">
        <v>3809.8322369595935</v>
      </c>
      <c r="J172" s="209" t="s">
        <v>331</v>
      </c>
      <c r="K172" s="182">
        <f t="shared" si="6"/>
        <v>16031.702914919531</v>
      </c>
    </row>
    <row r="173" spans="1:11">
      <c r="A173" s="135" t="s">
        <v>331</v>
      </c>
      <c r="B173" s="182">
        <f t="shared" si="7"/>
        <v>16031.702914919531</v>
      </c>
      <c r="E173" t="s">
        <v>3</v>
      </c>
      <c r="F173" s="197">
        <v>501427.50008005853</v>
      </c>
      <c r="J173" s="210" t="s">
        <v>322</v>
      </c>
      <c r="K173" s="182">
        <f t="shared" si="6"/>
        <v>14084.341062367504</v>
      </c>
    </row>
    <row r="174" spans="1:11">
      <c r="A174" s="178" t="s">
        <v>322</v>
      </c>
      <c r="B174" s="182">
        <f t="shared" si="7"/>
        <v>14084.341062367504</v>
      </c>
      <c r="E174" t="s">
        <v>416</v>
      </c>
      <c r="F174" s="197">
        <v>1623.1656831284915</v>
      </c>
      <c r="J174" s="209" t="s">
        <v>330</v>
      </c>
      <c r="K174" s="182">
        <f t="shared" si="6"/>
        <v>64815.031669095246</v>
      </c>
    </row>
    <row r="175" spans="1:11">
      <c r="A175" s="135" t="s">
        <v>330</v>
      </c>
      <c r="B175" s="182">
        <f t="shared" si="7"/>
        <v>64815.031669095246</v>
      </c>
      <c r="E175" t="s">
        <v>498</v>
      </c>
      <c r="F175" s="197">
        <v>132793.62228307096</v>
      </c>
      <c r="J175" s="210" t="s">
        <v>324</v>
      </c>
      <c r="K175" s="182">
        <f t="shared" si="6"/>
        <v>3809.8322369595935</v>
      </c>
    </row>
    <row r="176" spans="1:11">
      <c r="A176" s="178" t="s">
        <v>324</v>
      </c>
      <c r="B176" s="182">
        <f t="shared" si="7"/>
        <v>3809.8322369595935</v>
      </c>
      <c r="E176" t="s">
        <v>187</v>
      </c>
      <c r="F176" s="197">
        <v>68216.781410522774</v>
      </c>
      <c r="J176" s="209" t="s">
        <v>310</v>
      </c>
      <c r="K176" s="182">
        <f t="shared" si="6"/>
        <v>11679.800110152268</v>
      </c>
    </row>
    <row r="177" spans="1:11">
      <c r="A177" s="135" t="s">
        <v>310</v>
      </c>
      <c r="B177" s="182">
        <f t="shared" si="7"/>
        <v>11679.800110152268</v>
      </c>
      <c r="E177" t="s">
        <v>395</v>
      </c>
      <c r="F177" s="197">
        <v>1631.2867011151561</v>
      </c>
      <c r="J177" s="210" t="s">
        <v>314</v>
      </c>
      <c r="K177" s="182">
        <f t="shared" si="6"/>
        <v>109327.02358873239</v>
      </c>
    </row>
    <row r="178" spans="1:11">
      <c r="A178" s="178" t="s">
        <v>314</v>
      </c>
      <c r="B178" s="182">
        <f t="shared" si="7"/>
        <v>109327.02358873239</v>
      </c>
      <c r="E178" t="s">
        <v>310</v>
      </c>
      <c r="F178" s="197">
        <v>11679.800110152268</v>
      </c>
      <c r="J178" s="209" t="s">
        <v>311</v>
      </c>
      <c r="K178" s="182">
        <f>O238</f>
        <v>0</v>
      </c>
    </row>
    <row r="179" spans="1:11">
      <c r="A179" s="135" t="s">
        <v>311</v>
      </c>
      <c r="B179" s="182">
        <f>8980</f>
        <v>8980</v>
      </c>
      <c r="E179" t="s">
        <v>75</v>
      </c>
      <c r="F179" s="197">
        <v>377781.60098587308</v>
      </c>
      <c r="J179" s="210" t="s">
        <v>318</v>
      </c>
      <c r="K179" s="182">
        <f>21610</f>
        <v>21610</v>
      </c>
    </row>
    <row r="180" spans="1:11">
      <c r="A180" s="178" t="s">
        <v>318</v>
      </c>
      <c r="B180" s="182">
        <f>K179</f>
        <v>21610</v>
      </c>
      <c r="E180" t="s">
        <v>518</v>
      </c>
      <c r="F180" s="197">
        <v>0</v>
      </c>
      <c r="J180" s="209" t="s">
        <v>315</v>
      </c>
      <c r="K180" s="182">
        <f t="shared" si="6"/>
        <v>26538.273498846142</v>
      </c>
    </row>
    <row r="181" spans="1:11">
      <c r="A181" s="135" t="s">
        <v>315</v>
      </c>
      <c r="B181" s="182">
        <f t="shared" si="7"/>
        <v>26538.273498846142</v>
      </c>
      <c r="E181" t="s">
        <v>137</v>
      </c>
      <c r="F181" s="197">
        <v>1580694.7125157141</v>
      </c>
    </row>
    <row r="182" spans="1:11">
      <c r="E182" t="s">
        <v>133</v>
      </c>
      <c r="F182" s="197">
        <v>84356.860421129953</v>
      </c>
    </row>
    <row r="183" spans="1:11">
      <c r="E183" t="s">
        <v>398</v>
      </c>
      <c r="F183" s="197">
        <v>1077.0331111111109</v>
      </c>
    </row>
    <row r="184" spans="1:11">
      <c r="E184" t="s">
        <v>393</v>
      </c>
      <c r="F184" s="197">
        <v>2519.9259385244663</v>
      </c>
    </row>
    <row r="185" spans="1:11">
      <c r="E185" t="s">
        <v>516</v>
      </c>
      <c r="F185" s="197">
        <v>0</v>
      </c>
    </row>
    <row r="186" spans="1:11">
      <c r="E186" t="s">
        <v>401</v>
      </c>
      <c r="F186" s="197">
        <v>1065.9629629629628</v>
      </c>
    </row>
    <row r="187" spans="1:11">
      <c r="E187" t="s">
        <v>314</v>
      </c>
      <c r="F187" s="197">
        <v>109327.02358873239</v>
      </c>
    </row>
    <row r="188" spans="1:11">
      <c r="E188" t="s">
        <v>33</v>
      </c>
      <c r="F188" s="197">
        <v>3782.4372960432288</v>
      </c>
    </row>
    <row r="189" spans="1:11">
      <c r="E189" t="s">
        <v>34</v>
      </c>
      <c r="F189" s="197">
        <v>593267.70103340817</v>
      </c>
    </row>
    <row r="190" spans="1:11">
      <c r="E190" t="s">
        <v>35</v>
      </c>
      <c r="F190" s="197">
        <v>884940.40223040886</v>
      </c>
    </row>
    <row r="191" spans="1:11">
      <c r="E191" t="s">
        <v>520</v>
      </c>
      <c r="F191" s="197">
        <v>0</v>
      </c>
    </row>
    <row r="192" spans="1:11">
      <c r="E192" t="s">
        <v>379</v>
      </c>
      <c r="F192" s="197">
        <v>12060.602008847782</v>
      </c>
    </row>
    <row r="193" spans="5:6">
      <c r="E193" t="s">
        <v>327</v>
      </c>
      <c r="F193" s="197">
        <v>79158.286333523982</v>
      </c>
    </row>
    <row r="194" spans="5:6">
      <c r="E194" t="s">
        <v>65</v>
      </c>
      <c r="F194" s="197">
        <v>514944.99383357755</v>
      </c>
    </row>
    <row r="195" spans="5:6">
      <c r="E195" t="s">
        <v>391</v>
      </c>
      <c r="F195" s="197">
        <v>2243.1429084616102</v>
      </c>
    </row>
    <row r="196" spans="5:6">
      <c r="E196" t="s">
        <v>319</v>
      </c>
      <c r="F196" s="197">
        <v>9171.2618350626417</v>
      </c>
    </row>
    <row r="197" spans="5:6">
      <c r="E197" t="s">
        <v>404</v>
      </c>
      <c r="F197" s="197">
        <v>500.27489808522148</v>
      </c>
    </row>
    <row r="198" spans="5:6">
      <c r="E198" t="s">
        <v>11</v>
      </c>
      <c r="F198" s="197">
        <v>28139.944790291105</v>
      </c>
    </row>
    <row r="199" spans="5:6">
      <c r="E199" t="s">
        <v>76</v>
      </c>
      <c r="F199" s="197">
        <v>48529.595416653261</v>
      </c>
    </row>
    <row r="200" spans="5:6">
      <c r="E200" t="s">
        <v>503</v>
      </c>
      <c r="F200" s="197">
        <v>1108022.3732595111</v>
      </c>
    </row>
    <row r="201" spans="5:6">
      <c r="E201" t="s">
        <v>67</v>
      </c>
      <c r="F201" s="197">
        <v>59887.334844065139</v>
      </c>
    </row>
    <row r="202" spans="5:6">
      <c r="E202" t="s">
        <v>288</v>
      </c>
      <c r="F202" s="197">
        <v>1402.0543909473399</v>
      </c>
    </row>
    <row r="203" spans="5:6">
      <c r="E203" t="s">
        <v>409</v>
      </c>
      <c r="F203" s="197">
        <v>62.280311585217156</v>
      </c>
    </row>
    <row r="204" spans="5:6">
      <c r="E204" t="s">
        <v>225</v>
      </c>
      <c r="F204" s="197">
        <v>49272.882213623001</v>
      </c>
    </row>
    <row r="205" spans="5:6">
      <c r="E205" t="s">
        <v>68</v>
      </c>
      <c r="F205" s="197">
        <v>178757.02138680895</v>
      </c>
    </row>
    <row r="206" spans="5:6">
      <c r="E206" t="s">
        <v>60</v>
      </c>
      <c r="F206" s="197">
        <v>504173.45132743364</v>
      </c>
    </row>
    <row r="207" spans="5:6">
      <c r="E207" t="s">
        <v>57</v>
      </c>
      <c r="F207" s="197">
        <v>3340032.3806680357</v>
      </c>
    </row>
    <row r="208" spans="5:6">
      <c r="E208" t="s">
        <v>348</v>
      </c>
      <c r="F208" s="197">
        <v>27360935</v>
      </c>
    </row>
    <row r="209" spans="5:6">
      <c r="E209" t="s">
        <v>69</v>
      </c>
      <c r="F209" s="197">
        <v>77240.831587166962</v>
      </c>
    </row>
    <row r="210" spans="5:6">
      <c r="E210" t="s">
        <v>371</v>
      </c>
      <c r="F210" s="197">
        <v>90889.149306731269</v>
      </c>
    </row>
    <row r="211" spans="5:6">
      <c r="E211" t="s">
        <v>400</v>
      </c>
      <c r="F211" s="197">
        <v>1126.3133592192257</v>
      </c>
    </row>
    <row r="212" spans="5:6">
      <c r="E212" t="s">
        <v>521</v>
      </c>
      <c r="F212" s="197">
        <v>0</v>
      </c>
    </row>
    <row r="213" spans="5:6">
      <c r="E213" t="s">
        <v>545</v>
      </c>
      <c r="F213" s="197">
        <v>429716.96904959279</v>
      </c>
    </row>
    <row r="214" spans="5:6">
      <c r="E214" t="s">
        <v>434</v>
      </c>
      <c r="F214" s="197">
        <v>0</v>
      </c>
    </row>
    <row r="215" spans="5:6">
      <c r="E215" t="s">
        <v>376</v>
      </c>
      <c r="F215" s="197">
        <v>17396.3</v>
      </c>
    </row>
    <row r="216" spans="5:6">
      <c r="E216" t="s">
        <v>372</v>
      </c>
      <c r="F216" s="197">
        <v>0</v>
      </c>
    </row>
    <row r="217" spans="5:6">
      <c r="E217" t="s">
        <v>189</v>
      </c>
      <c r="F217" s="197">
        <v>28162.630953928499</v>
      </c>
    </row>
    <row r="218" spans="5:6">
      <c r="E218" t="s">
        <v>315</v>
      </c>
      <c r="F218" s="197">
        <v>26538.273498846142</v>
      </c>
    </row>
    <row r="219" spans="5:6">
      <c r="F219" s="197"/>
    </row>
  </sheetData>
  <sortState xmlns:xlrd2="http://schemas.microsoft.com/office/spreadsheetml/2017/richdata2" ref="E2:F219">
    <sortCondition ref="E2:E219"/>
  </sortState>
  <hyperlinks>
    <hyperlink ref="D3" r:id="rId1" xr:uid="{00000000-0004-0000-0C00-000000000000}"/>
  </hyperlinks>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199"/>
  <sheetViews>
    <sheetView workbookViewId="0">
      <selection activeCell="B103" sqref="B103:C103"/>
    </sheetView>
  </sheetViews>
  <sheetFormatPr defaultColWidth="11.19921875" defaultRowHeight="15.5"/>
  <cols>
    <col min="1" max="1" width="27" bestFit="1" customWidth="1"/>
    <col min="2" max="2" width="16" style="203" customWidth="1"/>
    <col min="3" max="3" width="16" style="25" bestFit="1" customWidth="1"/>
    <col min="5" max="5" width="28" bestFit="1" customWidth="1"/>
    <col min="6" max="7" width="10.796875" style="25"/>
    <col min="11" max="11" width="24" customWidth="1"/>
    <col min="15" max="15" width="21.19921875" customWidth="1"/>
  </cols>
  <sheetData>
    <row r="1" spans="1:18" ht="48" customHeight="1">
      <c r="A1" s="66" t="s">
        <v>74</v>
      </c>
      <c r="B1" s="67" t="s">
        <v>267</v>
      </c>
      <c r="C1" s="68" t="s">
        <v>289</v>
      </c>
      <c r="E1" s="15" t="s">
        <v>74</v>
      </c>
      <c r="F1" s="4" t="s">
        <v>231</v>
      </c>
      <c r="G1" s="245" t="s">
        <v>230</v>
      </c>
      <c r="H1" s="247" t="s">
        <v>594</v>
      </c>
      <c r="L1" t="s">
        <v>478</v>
      </c>
      <c r="M1" t="s">
        <v>479</v>
      </c>
      <c r="O1" s="202" t="s">
        <v>549</v>
      </c>
      <c r="P1" s="202" t="s">
        <v>550</v>
      </c>
      <c r="Q1" s="242" t="s">
        <v>74</v>
      </c>
      <c r="R1" s="242" t="s">
        <v>595</v>
      </c>
    </row>
    <row r="2" spans="1:18" ht="19">
      <c r="A2" s="46" t="s">
        <v>269</v>
      </c>
      <c r="B2" s="69" t="e">
        <f>G2</f>
        <v>#N/A</v>
      </c>
      <c r="C2" s="68" t="str">
        <f>F2</f>
        <v>Aa2</v>
      </c>
      <c r="E2" s="137" t="s">
        <v>269</v>
      </c>
      <c r="F2" s="149" t="str">
        <f>VLOOKUP(E2,$K$2:$M$154,3,FALSE)</f>
        <v>Aa2</v>
      </c>
      <c r="G2" s="246" t="e">
        <f t="shared" ref="G2:G66" si="0">VLOOKUP(E2,$O$2:$P$160,2,FALSE)</f>
        <v>#N/A</v>
      </c>
      <c r="H2" s="247" t="e">
        <f>VLOOKUP(E2,$Q$2:$R$199,2,FALSE)</f>
        <v>#N/A</v>
      </c>
      <c r="K2" s="100" t="s">
        <v>269</v>
      </c>
      <c r="L2" s="194" t="s">
        <v>45</v>
      </c>
      <c r="M2" s="194" t="s">
        <v>45</v>
      </c>
      <c r="N2" s="194"/>
      <c r="O2" s="99" t="s">
        <v>4</v>
      </c>
      <c r="P2" s="241" t="s">
        <v>196</v>
      </c>
      <c r="Q2" s="99" t="s">
        <v>374</v>
      </c>
      <c r="R2" s="243" t="s">
        <v>273</v>
      </c>
    </row>
    <row r="3" spans="1:18" ht="19">
      <c r="A3" s="46" t="s">
        <v>4</v>
      </c>
      <c r="B3" s="69" t="str">
        <f t="shared" ref="B3:B66" si="1">G3</f>
        <v>BB-</v>
      </c>
      <c r="C3" s="157" t="str">
        <f t="shared" ref="C3:C66" si="2">F3</f>
        <v>Ba3</v>
      </c>
      <c r="E3" s="137" t="s">
        <v>4</v>
      </c>
      <c r="F3" s="149" t="str">
        <f t="shared" ref="F3:F66" si="3">VLOOKUP(E3,$K$2:$M$154,3,FALSE)</f>
        <v>Ba3</v>
      </c>
      <c r="G3" s="246" t="str">
        <f t="shared" si="0"/>
        <v>BB-</v>
      </c>
      <c r="H3" s="247" t="str">
        <f t="shared" ref="H3:H66" si="4">VLOOKUP(E3,$Q$2:$R$199,2,FALSE)</f>
        <v>NR</v>
      </c>
      <c r="K3" s="100" t="s">
        <v>4</v>
      </c>
      <c r="L3" s="194" t="s">
        <v>80</v>
      </c>
      <c r="M3" s="194" t="s">
        <v>80</v>
      </c>
      <c r="N3" s="194"/>
      <c r="O3" s="99" t="s">
        <v>194</v>
      </c>
      <c r="P3" s="168" t="s">
        <v>571</v>
      </c>
      <c r="Q3" s="99" t="s">
        <v>4</v>
      </c>
      <c r="R3" s="243" t="s">
        <v>273</v>
      </c>
    </row>
    <row r="4" spans="1:18" ht="19">
      <c r="A4" s="46" t="s">
        <v>282</v>
      </c>
      <c r="B4" s="69" t="str">
        <f t="shared" si="1"/>
        <v>A- </v>
      </c>
      <c r="C4" s="157" t="str">
        <f t="shared" si="2"/>
        <v>Baa1</v>
      </c>
      <c r="E4" s="155" t="s">
        <v>194</v>
      </c>
      <c r="F4" s="149" t="str">
        <f t="shared" si="3"/>
        <v>Baa1</v>
      </c>
      <c r="G4" s="246" t="str">
        <f t="shared" si="0"/>
        <v>A- </v>
      </c>
      <c r="H4" s="247" t="str">
        <f t="shared" si="4"/>
        <v>A-</v>
      </c>
      <c r="K4" s="100" t="s">
        <v>194</v>
      </c>
      <c r="L4" s="194" t="s">
        <v>81</v>
      </c>
      <c r="M4" s="194" t="s">
        <v>81</v>
      </c>
      <c r="N4" s="194"/>
      <c r="O4" s="99" t="s">
        <v>130</v>
      </c>
      <c r="P4" s="241" t="s">
        <v>197</v>
      </c>
      <c r="Q4" s="99" t="s">
        <v>332</v>
      </c>
      <c r="R4" s="243" t="s">
        <v>273</v>
      </c>
    </row>
    <row r="5" spans="1:18" ht="19">
      <c r="A5" s="46" t="s">
        <v>130</v>
      </c>
      <c r="B5" s="69" t="str">
        <f t="shared" si="1"/>
        <v>B-</v>
      </c>
      <c r="C5" s="157" t="str">
        <f t="shared" si="2"/>
        <v>B3</v>
      </c>
      <c r="E5" s="137" t="s">
        <v>130</v>
      </c>
      <c r="F5" s="149" t="str">
        <f t="shared" si="3"/>
        <v>B3</v>
      </c>
      <c r="G5" s="246" t="str">
        <f t="shared" si="0"/>
        <v>B-</v>
      </c>
      <c r="H5" s="247" t="str">
        <f t="shared" si="4"/>
        <v>B-</v>
      </c>
      <c r="K5" s="100" t="s">
        <v>130</v>
      </c>
      <c r="L5" s="194" t="s">
        <v>77</v>
      </c>
      <c r="M5" s="194" t="s">
        <v>77</v>
      </c>
      <c r="N5" s="194"/>
      <c r="O5" s="99" t="s">
        <v>83</v>
      </c>
      <c r="P5" s="167" t="s">
        <v>232</v>
      </c>
      <c r="Q5" s="99" t="s">
        <v>194</v>
      </c>
      <c r="R5" s="243" t="s">
        <v>195</v>
      </c>
    </row>
    <row r="6" spans="1:18" ht="19">
      <c r="A6" s="46" t="s">
        <v>83</v>
      </c>
      <c r="B6" s="69" t="str">
        <f t="shared" si="1"/>
        <v>CCC</v>
      </c>
      <c r="C6" s="157" t="str">
        <f t="shared" si="2"/>
        <v>Ca</v>
      </c>
      <c r="E6" s="150" t="s">
        <v>83</v>
      </c>
      <c r="F6" s="149" t="str">
        <f t="shared" si="3"/>
        <v>Ca</v>
      </c>
      <c r="G6" s="246" t="str">
        <f t="shared" si="0"/>
        <v>CCC</v>
      </c>
      <c r="H6" s="247" t="str">
        <f t="shared" si="4"/>
        <v>CCC</v>
      </c>
      <c r="K6" s="237" t="s">
        <v>83</v>
      </c>
      <c r="L6" s="195" t="s">
        <v>338</v>
      </c>
      <c r="M6" s="195" t="s">
        <v>338</v>
      </c>
      <c r="N6" s="195"/>
      <c r="O6" s="99" t="s">
        <v>19</v>
      </c>
      <c r="P6" s="241" t="s">
        <v>196</v>
      </c>
      <c r="Q6" s="99" t="s">
        <v>130</v>
      </c>
      <c r="R6" s="243" t="s">
        <v>197</v>
      </c>
    </row>
    <row r="7" spans="1:18" ht="19">
      <c r="A7" s="46" t="s">
        <v>19</v>
      </c>
      <c r="B7" s="69" t="str">
        <f t="shared" si="1"/>
        <v>BB-</v>
      </c>
      <c r="C7" s="157" t="str">
        <f t="shared" si="2"/>
        <v>Ba3</v>
      </c>
      <c r="E7" s="137" t="s">
        <v>19</v>
      </c>
      <c r="F7" s="149" t="str">
        <f t="shared" si="3"/>
        <v>Ba3</v>
      </c>
      <c r="G7" s="246" t="str">
        <f t="shared" si="0"/>
        <v>BB-</v>
      </c>
      <c r="H7" s="247" t="str">
        <f t="shared" si="4"/>
        <v>B+</v>
      </c>
      <c r="K7" s="100" t="s">
        <v>19</v>
      </c>
      <c r="L7" s="194" t="s">
        <v>80</v>
      </c>
      <c r="M7" s="194" t="s">
        <v>80</v>
      </c>
      <c r="N7" s="194"/>
      <c r="O7" s="99" t="s">
        <v>198</v>
      </c>
      <c r="P7" s="241" t="s">
        <v>572</v>
      </c>
      <c r="Q7" s="99" t="s">
        <v>394</v>
      </c>
      <c r="R7" s="243" t="s">
        <v>273</v>
      </c>
    </row>
    <row r="8" spans="1:18" ht="19">
      <c r="A8" s="46" t="s">
        <v>198</v>
      </c>
      <c r="B8" s="69" t="str">
        <f t="shared" si="1"/>
        <v>BBB </v>
      </c>
      <c r="C8" s="157" t="str">
        <f t="shared" si="2"/>
        <v>Baa3</v>
      </c>
      <c r="E8" s="155" t="s">
        <v>198</v>
      </c>
      <c r="F8" s="149" t="str">
        <f t="shared" si="3"/>
        <v>Baa3</v>
      </c>
      <c r="G8" s="246" t="str">
        <f t="shared" si="0"/>
        <v>BBB </v>
      </c>
      <c r="H8" s="247" t="e">
        <f t="shared" si="4"/>
        <v>#N/A</v>
      </c>
      <c r="K8" s="100" t="s">
        <v>198</v>
      </c>
      <c r="L8" s="194" t="s">
        <v>123</v>
      </c>
      <c r="M8" s="194" t="s">
        <v>123</v>
      </c>
      <c r="N8" s="194"/>
      <c r="O8" s="99" t="s">
        <v>84</v>
      </c>
      <c r="P8" s="168" t="s">
        <v>200</v>
      </c>
      <c r="Q8" s="99" t="s">
        <v>83</v>
      </c>
      <c r="R8" s="243" t="s">
        <v>232</v>
      </c>
    </row>
    <row r="9" spans="1:18" ht="19">
      <c r="A9" s="46" t="s">
        <v>84</v>
      </c>
      <c r="B9" s="69" t="str">
        <f t="shared" si="1"/>
        <v>AAA</v>
      </c>
      <c r="C9" s="157" t="str">
        <f t="shared" si="2"/>
        <v>Aaa</v>
      </c>
      <c r="E9" s="137" t="s">
        <v>84</v>
      </c>
      <c r="F9" s="149" t="str">
        <f t="shared" si="3"/>
        <v>Aaa</v>
      </c>
      <c r="G9" s="246" t="str">
        <f t="shared" si="0"/>
        <v>AAA</v>
      </c>
      <c r="H9" s="247" t="str">
        <f t="shared" si="4"/>
        <v>AAA</v>
      </c>
      <c r="K9" s="100" t="s">
        <v>84</v>
      </c>
      <c r="L9" s="194" t="s">
        <v>47</v>
      </c>
      <c r="M9" s="194" t="s">
        <v>47</v>
      </c>
      <c r="N9" s="194"/>
      <c r="O9" s="99" t="s">
        <v>173</v>
      </c>
      <c r="P9" s="168" t="s">
        <v>573</v>
      </c>
      <c r="Q9" s="99" t="s">
        <v>19</v>
      </c>
      <c r="R9" s="243" t="s">
        <v>193</v>
      </c>
    </row>
    <row r="10" spans="1:18" ht="19">
      <c r="A10" s="46" t="s">
        <v>173</v>
      </c>
      <c r="B10" s="69" t="str">
        <f t="shared" si="1"/>
        <v>AA+ </v>
      </c>
      <c r="C10" s="157" t="str">
        <f t="shared" si="2"/>
        <v>Aa1</v>
      </c>
      <c r="E10" s="151" t="s">
        <v>173</v>
      </c>
      <c r="F10" s="149" t="str">
        <f t="shared" si="3"/>
        <v>Aa1</v>
      </c>
      <c r="G10" s="246" t="str">
        <f t="shared" si="0"/>
        <v>AA+ </v>
      </c>
      <c r="H10" s="247" t="str">
        <f t="shared" si="4"/>
        <v>AA+</v>
      </c>
      <c r="K10" s="238" t="s">
        <v>173</v>
      </c>
      <c r="L10" s="194" t="s">
        <v>44</v>
      </c>
      <c r="M10" s="194" t="s">
        <v>44</v>
      </c>
      <c r="N10" s="194"/>
      <c r="O10" s="99" t="s">
        <v>20</v>
      </c>
      <c r="P10" s="241" t="s">
        <v>213</v>
      </c>
      <c r="Q10" s="99" t="s">
        <v>84</v>
      </c>
      <c r="R10" s="243" t="s">
        <v>200</v>
      </c>
    </row>
    <row r="11" spans="1:18" ht="19">
      <c r="A11" s="46" t="s">
        <v>20</v>
      </c>
      <c r="B11" s="69" t="str">
        <f t="shared" si="1"/>
        <v>BB+</v>
      </c>
      <c r="C11" s="157" t="str">
        <f t="shared" si="2"/>
        <v>Ba1</v>
      </c>
      <c r="E11" s="137" t="s">
        <v>20</v>
      </c>
      <c r="F11" s="149" t="str">
        <f t="shared" si="3"/>
        <v>Ba1</v>
      </c>
      <c r="G11" s="246" t="str">
        <f t="shared" si="0"/>
        <v>BB+</v>
      </c>
      <c r="H11" s="247" t="str">
        <f t="shared" si="4"/>
        <v>BB+</v>
      </c>
      <c r="K11" s="100" t="s">
        <v>20</v>
      </c>
      <c r="L11" s="194" t="s">
        <v>78</v>
      </c>
      <c r="M11" s="194" t="s">
        <v>78</v>
      </c>
      <c r="N11" s="194"/>
      <c r="O11" s="99" t="s">
        <v>85</v>
      </c>
      <c r="P11" s="241" t="s">
        <v>193</v>
      </c>
      <c r="Q11" s="99" t="s">
        <v>173</v>
      </c>
      <c r="R11" s="243" t="s">
        <v>201</v>
      </c>
    </row>
    <row r="12" spans="1:18" ht="19">
      <c r="A12" s="46" t="s">
        <v>85</v>
      </c>
      <c r="B12" s="69" t="str">
        <f t="shared" si="1"/>
        <v>B+</v>
      </c>
      <c r="C12" s="157" t="str">
        <f t="shared" si="2"/>
        <v>B1</v>
      </c>
      <c r="E12" s="151" t="s">
        <v>85</v>
      </c>
      <c r="F12" s="149" t="str">
        <f t="shared" si="3"/>
        <v>B1</v>
      </c>
      <c r="G12" s="246" t="str">
        <f t="shared" si="0"/>
        <v>B+</v>
      </c>
      <c r="H12" s="247" t="str">
        <f t="shared" si="4"/>
        <v>NR</v>
      </c>
      <c r="K12" s="238" t="s">
        <v>85</v>
      </c>
      <c r="L12" s="194" t="s">
        <v>48</v>
      </c>
      <c r="M12" s="194" t="s">
        <v>48</v>
      </c>
      <c r="N12" s="194"/>
      <c r="O12" s="99" t="s">
        <v>86</v>
      </c>
      <c r="P12" s="241" t="s">
        <v>193</v>
      </c>
      <c r="Q12" s="99" t="s">
        <v>20</v>
      </c>
      <c r="R12" s="243" t="s">
        <v>213</v>
      </c>
    </row>
    <row r="13" spans="1:18" ht="19">
      <c r="A13" s="46" t="s">
        <v>86</v>
      </c>
      <c r="B13" s="69" t="str">
        <f t="shared" si="1"/>
        <v>B+</v>
      </c>
      <c r="C13" s="157" t="str">
        <f t="shared" si="2"/>
        <v>B2</v>
      </c>
      <c r="E13" s="137" t="s">
        <v>86</v>
      </c>
      <c r="F13" s="149" t="str">
        <f t="shared" si="3"/>
        <v>B2</v>
      </c>
      <c r="G13" s="246" t="str">
        <f t="shared" si="0"/>
        <v>B+</v>
      </c>
      <c r="H13" s="247" t="str">
        <f t="shared" si="4"/>
        <v>B+</v>
      </c>
      <c r="K13" s="100" t="s">
        <v>480</v>
      </c>
      <c r="L13" s="194" t="s">
        <v>502</v>
      </c>
      <c r="M13" s="194" t="s">
        <v>502</v>
      </c>
      <c r="N13" s="194"/>
      <c r="O13" s="99" t="s">
        <v>131</v>
      </c>
      <c r="P13" s="241" t="s">
        <v>193</v>
      </c>
      <c r="Q13" s="99" t="s">
        <v>85</v>
      </c>
      <c r="R13" s="243" t="s">
        <v>273</v>
      </c>
    </row>
    <row r="14" spans="1:18" ht="19">
      <c r="A14" s="46" t="s">
        <v>131</v>
      </c>
      <c r="B14" s="69" t="str">
        <f t="shared" si="1"/>
        <v>B+</v>
      </c>
      <c r="C14" s="157" t="str">
        <f t="shared" si="2"/>
        <v>B2</v>
      </c>
      <c r="E14" s="137" t="s">
        <v>131</v>
      </c>
      <c r="F14" s="149" t="str">
        <f t="shared" si="3"/>
        <v>B2</v>
      </c>
      <c r="G14" s="246" t="str">
        <f t="shared" si="0"/>
        <v>B+</v>
      </c>
      <c r="H14" s="247" t="str">
        <f t="shared" si="4"/>
        <v>B+</v>
      </c>
      <c r="K14" s="100" t="s">
        <v>86</v>
      </c>
      <c r="L14" s="194" t="s">
        <v>49</v>
      </c>
      <c r="M14" s="194" t="s">
        <v>49</v>
      </c>
      <c r="N14" s="194"/>
      <c r="O14" s="99" t="s">
        <v>87</v>
      </c>
      <c r="P14" s="241" t="s">
        <v>574</v>
      </c>
      <c r="Q14" s="99" t="s">
        <v>86</v>
      </c>
      <c r="R14" s="243" t="s">
        <v>193</v>
      </c>
    </row>
    <row r="15" spans="1:18" ht="19">
      <c r="A15" s="46" t="s">
        <v>87</v>
      </c>
      <c r="B15" s="69" t="str">
        <f t="shared" si="1"/>
        <v>B </v>
      </c>
      <c r="C15" s="157" t="str">
        <f t="shared" si="2"/>
        <v>B3</v>
      </c>
      <c r="E15" s="137" t="s">
        <v>87</v>
      </c>
      <c r="F15" s="149" t="str">
        <f t="shared" si="3"/>
        <v>B3</v>
      </c>
      <c r="G15" s="246" t="str">
        <f t="shared" si="0"/>
        <v>B </v>
      </c>
      <c r="H15" s="247" t="str">
        <f t="shared" si="4"/>
        <v>B+</v>
      </c>
      <c r="K15" s="100" t="s">
        <v>481</v>
      </c>
      <c r="L15" s="194" t="s">
        <v>502</v>
      </c>
      <c r="M15" s="194" t="s">
        <v>502</v>
      </c>
      <c r="N15" s="194"/>
      <c r="O15" s="99" t="s">
        <v>5</v>
      </c>
      <c r="P15" s="167" t="s">
        <v>273</v>
      </c>
      <c r="Q15" s="99" t="s">
        <v>131</v>
      </c>
      <c r="R15" s="243" t="s">
        <v>193</v>
      </c>
    </row>
    <row r="16" spans="1:18" ht="19">
      <c r="A16" s="46" t="s">
        <v>5</v>
      </c>
      <c r="B16" s="69" t="str">
        <f t="shared" si="1"/>
        <v>NR</v>
      </c>
      <c r="C16" s="157" t="str">
        <f t="shared" si="2"/>
        <v>C</v>
      </c>
      <c r="E16" s="137" t="s">
        <v>5</v>
      </c>
      <c r="F16" s="149" t="str">
        <f t="shared" si="3"/>
        <v>C</v>
      </c>
      <c r="G16" s="246" t="str">
        <f t="shared" si="0"/>
        <v>NR</v>
      </c>
      <c r="H16" s="247" t="str">
        <f t="shared" si="4"/>
        <v>NR</v>
      </c>
      <c r="K16" s="100" t="s">
        <v>131</v>
      </c>
      <c r="L16" s="194" t="s">
        <v>49</v>
      </c>
      <c r="M16" s="194" t="s">
        <v>49</v>
      </c>
      <c r="N16" s="194"/>
      <c r="O16" s="99" t="s">
        <v>174</v>
      </c>
      <c r="P16" s="168" t="s">
        <v>204</v>
      </c>
      <c r="Q16" s="99" t="s">
        <v>87</v>
      </c>
      <c r="R16" s="243" t="s">
        <v>193</v>
      </c>
    </row>
    <row r="17" spans="1:18" ht="19">
      <c r="A17" s="46" t="s">
        <v>174</v>
      </c>
      <c r="B17" s="69" t="str">
        <f t="shared" si="1"/>
        <v>AA</v>
      </c>
      <c r="C17" s="157" t="str">
        <f t="shared" si="2"/>
        <v>Aa3</v>
      </c>
      <c r="E17" s="137" t="s">
        <v>174</v>
      </c>
      <c r="F17" s="149" t="str">
        <f t="shared" si="3"/>
        <v>Aa3</v>
      </c>
      <c r="G17" s="246" t="str">
        <f t="shared" si="0"/>
        <v>AA</v>
      </c>
      <c r="H17" s="247" t="str">
        <f t="shared" si="4"/>
        <v>AA-</v>
      </c>
      <c r="K17" s="100" t="s">
        <v>87</v>
      </c>
      <c r="L17" s="194" t="s">
        <v>77</v>
      </c>
      <c r="M17" s="194" t="s">
        <v>77</v>
      </c>
      <c r="N17" s="194"/>
      <c r="O17" s="99" t="s">
        <v>88</v>
      </c>
      <c r="P17" s="241" t="s">
        <v>197</v>
      </c>
      <c r="Q17" s="99" t="s">
        <v>5</v>
      </c>
      <c r="R17" s="244" t="s">
        <v>273</v>
      </c>
    </row>
    <row r="18" spans="1:18" ht="19">
      <c r="A18" s="46" t="s">
        <v>88</v>
      </c>
      <c r="B18" s="69" t="str">
        <f t="shared" si="1"/>
        <v>B-</v>
      </c>
      <c r="C18" s="157" t="str">
        <f t="shared" si="2"/>
        <v>Caa1</v>
      </c>
      <c r="E18" s="137" t="s">
        <v>88</v>
      </c>
      <c r="F18" s="149" t="str">
        <f t="shared" si="3"/>
        <v>Caa1</v>
      </c>
      <c r="G18" s="246" t="str">
        <f t="shared" si="0"/>
        <v>B-</v>
      </c>
      <c r="H18" s="247" t="str">
        <f t="shared" si="4"/>
        <v>NR</v>
      </c>
      <c r="K18" s="100" t="s">
        <v>5</v>
      </c>
      <c r="L18" s="194" t="s">
        <v>136</v>
      </c>
      <c r="M18" s="194" t="s">
        <v>136</v>
      </c>
      <c r="N18" s="194"/>
      <c r="O18" s="99" t="s">
        <v>205</v>
      </c>
      <c r="P18" s="241" t="s">
        <v>575</v>
      </c>
      <c r="Q18" s="99" t="s">
        <v>174</v>
      </c>
      <c r="R18" s="243" t="s">
        <v>207</v>
      </c>
    </row>
    <row r="19" spans="1:18" ht="19">
      <c r="A19" s="46" t="s">
        <v>205</v>
      </c>
      <c r="B19" s="69" t="str">
        <f t="shared" si="1"/>
        <v>BB- </v>
      </c>
      <c r="C19" s="157" t="str">
        <f t="shared" si="2"/>
        <v>B1</v>
      </c>
      <c r="E19" s="137" t="s">
        <v>205</v>
      </c>
      <c r="F19" s="149" t="str">
        <f t="shared" si="3"/>
        <v>B1</v>
      </c>
      <c r="G19" s="246" t="str">
        <f t="shared" si="0"/>
        <v>BB- </v>
      </c>
      <c r="H19" s="247" t="str">
        <f t="shared" si="4"/>
        <v>B+</v>
      </c>
      <c r="K19" s="100" t="s">
        <v>174</v>
      </c>
      <c r="L19" s="194" t="s">
        <v>46</v>
      </c>
      <c r="M19" s="194" t="s">
        <v>46</v>
      </c>
      <c r="N19" s="194"/>
      <c r="O19" s="99" t="s">
        <v>89</v>
      </c>
      <c r="P19" s="168" t="s">
        <v>219</v>
      </c>
      <c r="Q19" s="99" t="s">
        <v>88</v>
      </c>
      <c r="R19" s="243" t="s">
        <v>273</v>
      </c>
    </row>
    <row r="20" spans="1:18" ht="19">
      <c r="A20" s="46" t="s">
        <v>89</v>
      </c>
      <c r="B20" s="69" t="str">
        <f t="shared" si="1"/>
        <v>A+</v>
      </c>
      <c r="C20" s="157" t="str">
        <f t="shared" si="2"/>
        <v>A2</v>
      </c>
      <c r="E20" s="137" t="s">
        <v>89</v>
      </c>
      <c r="F20" s="149" t="str">
        <f t="shared" si="3"/>
        <v>A2</v>
      </c>
      <c r="G20" s="246" t="str">
        <f t="shared" si="0"/>
        <v>A+</v>
      </c>
      <c r="H20" s="247" t="e">
        <f t="shared" si="4"/>
        <v>#N/A</v>
      </c>
      <c r="K20" s="100" t="s">
        <v>88</v>
      </c>
      <c r="L20" s="194" t="s">
        <v>99</v>
      </c>
      <c r="M20" s="194" t="s">
        <v>99</v>
      </c>
      <c r="N20" s="194"/>
      <c r="O20" s="99" t="s">
        <v>90</v>
      </c>
      <c r="P20" s="167" t="s">
        <v>576</v>
      </c>
      <c r="Q20" s="99" t="s">
        <v>205</v>
      </c>
      <c r="R20" s="243" t="s">
        <v>193</v>
      </c>
    </row>
    <row r="21" spans="1:18" ht="19">
      <c r="A21" s="46" t="s">
        <v>90</v>
      </c>
      <c r="B21" s="69" t="str">
        <f t="shared" si="1"/>
        <v>CCC+ </v>
      </c>
      <c r="C21" s="157" t="str">
        <f t="shared" si="2"/>
        <v>Caa3</v>
      </c>
      <c r="E21" s="137" t="s">
        <v>90</v>
      </c>
      <c r="F21" s="149" t="str">
        <f t="shared" si="3"/>
        <v>Caa3</v>
      </c>
      <c r="G21" s="246" t="str">
        <f t="shared" si="0"/>
        <v>CCC+ </v>
      </c>
      <c r="H21" s="247" t="str">
        <f t="shared" si="4"/>
        <v>CCC</v>
      </c>
      <c r="K21" s="100" t="s">
        <v>205</v>
      </c>
      <c r="L21" s="194" t="s">
        <v>48</v>
      </c>
      <c r="M21" s="194" t="s">
        <v>48</v>
      </c>
      <c r="N21" s="194"/>
      <c r="O21" s="99" t="s">
        <v>7</v>
      </c>
      <c r="P21" s="241" t="s">
        <v>193</v>
      </c>
      <c r="Q21" s="99" t="s">
        <v>388</v>
      </c>
      <c r="R21" s="243" t="s">
        <v>273</v>
      </c>
    </row>
    <row r="22" spans="1:18" ht="19">
      <c r="A22" s="46" t="s">
        <v>7</v>
      </c>
      <c r="B22" s="69" t="str">
        <f t="shared" si="1"/>
        <v>B+</v>
      </c>
      <c r="C22" s="157" t="str">
        <f t="shared" si="2"/>
        <v>B3</v>
      </c>
      <c r="E22" s="137" t="s">
        <v>7</v>
      </c>
      <c r="F22" s="149" t="str">
        <f t="shared" si="3"/>
        <v>B3</v>
      </c>
      <c r="G22" s="246" t="str">
        <f t="shared" si="0"/>
        <v>B+</v>
      </c>
      <c r="H22" s="247" t="str">
        <f t="shared" si="4"/>
        <v>NR</v>
      </c>
      <c r="K22" s="100" t="s">
        <v>89</v>
      </c>
      <c r="L22" s="194" t="s">
        <v>42</v>
      </c>
      <c r="M22" s="194" t="s">
        <v>42</v>
      </c>
      <c r="N22" s="194"/>
      <c r="O22" s="99" t="s">
        <v>122</v>
      </c>
      <c r="P22" s="241" t="s">
        <v>199</v>
      </c>
      <c r="Q22" s="99" t="s">
        <v>90</v>
      </c>
      <c r="R22" s="243" t="s">
        <v>232</v>
      </c>
    </row>
    <row r="23" spans="1:18" ht="19">
      <c r="A23" s="46" t="s">
        <v>122</v>
      </c>
      <c r="B23" s="69" t="str">
        <f t="shared" si="1"/>
        <v>BBB+</v>
      </c>
      <c r="C23" s="157" t="str">
        <f t="shared" si="2"/>
        <v>A3</v>
      </c>
      <c r="E23" s="150" t="s">
        <v>122</v>
      </c>
      <c r="F23" s="149" t="str">
        <f t="shared" si="3"/>
        <v>A3</v>
      </c>
      <c r="G23" s="246" t="str">
        <f t="shared" si="0"/>
        <v>BBB+</v>
      </c>
      <c r="H23" s="247" t="str">
        <f t="shared" si="4"/>
        <v>NR</v>
      </c>
      <c r="K23" s="100" t="s">
        <v>90</v>
      </c>
      <c r="L23" s="194" t="s">
        <v>62</v>
      </c>
      <c r="M23" s="194" t="s">
        <v>62</v>
      </c>
      <c r="N23" s="194"/>
      <c r="O23" s="99" t="s">
        <v>91</v>
      </c>
      <c r="P23" s="241" t="s">
        <v>212</v>
      </c>
      <c r="Q23" s="99" t="s">
        <v>7</v>
      </c>
      <c r="R23" s="243" t="s">
        <v>273</v>
      </c>
    </row>
    <row r="24" spans="1:18" ht="19">
      <c r="A24" s="46" t="s">
        <v>91</v>
      </c>
      <c r="B24" s="69" t="str">
        <f t="shared" si="1"/>
        <v>BB</v>
      </c>
      <c r="C24" s="157" t="str">
        <f t="shared" si="2"/>
        <v>Ba1</v>
      </c>
      <c r="E24" s="137" t="s">
        <v>91</v>
      </c>
      <c r="F24" s="149" t="str">
        <f t="shared" si="3"/>
        <v>Ba1</v>
      </c>
      <c r="G24" s="246" t="str">
        <f t="shared" si="0"/>
        <v>BB</v>
      </c>
      <c r="H24" s="247" t="str">
        <f t="shared" si="4"/>
        <v>BB</v>
      </c>
      <c r="K24" s="100" t="s">
        <v>7</v>
      </c>
      <c r="L24" s="194" t="s">
        <v>77</v>
      </c>
      <c r="M24" s="194" t="s">
        <v>77</v>
      </c>
      <c r="N24" s="195"/>
      <c r="O24" s="99" t="s">
        <v>93</v>
      </c>
      <c r="P24" s="241" t="s">
        <v>572</v>
      </c>
      <c r="Q24" s="99" t="s">
        <v>122</v>
      </c>
      <c r="R24" s="243" t="s">
        <v>273</v>
      </c>
    </row>
    <row r="25" spans="1:18" ht="19">
      <c r="A25" s="46" t="s">
        <v>93</v>
      </c>
      <c r="B25" s="69" t="str">
        <f t="shared" si="1"/>
        <v>BBB </v>
      </c>
      <c r="C25" s="157" t="str">
        <f t="shared" si="2"/>
        <v>Baa1</v>
      </c>
      <c r="E25" s="137" t="s">
        <v>93</v>
      </c>
      <c r="F25" s="149" t="str">
        <f t="shared" si="3"/>
        <v>Baa1</v>
      </c>
      <c r="G25" s="246" t="str">
        <f t="shared" si="0"/>
        <v>BBB </v>
      </c>
      <c r="H25" s="247" t="str">
        <f t="shared" si="4"/>
        <v>BBB</v>
      </c>
      <c r="K25" s="237" t="s">
        <v>122</v>
      </c>
      <c r="L25" s="195" t="s">
        <v>43</v>
      </c>
      <c r="M25" s="195" t="s">
        <v>43</v>
      </c>
      <c r="N25" s="194"/>
      <c r="O25" s="99" t="s">
        <v>208</v>
      </c>
      <c r="P25" s="167" t="s">
        <v>215</v>
      </c>
      <c r="Q25" s="99" t="s">
        <v>91</v>
      </c>
      <c r="R25" s="243" t="s">
        <v>212</v>
      </c>
    </row>
    <row r="26" spans="1:18" ht="19">
      <c r="A26" s="46" t="s">
        <v>208</v>
      </c>
      <c r="B26" s="69" t="str">
        <f t="shared" si="1"/>
        <v>CCC+</v>
      </c>
      <c r="C26" s="157" t="str">
        <f t="shared" si="2"/>
        <v>NR</v>
      </c>
      <c r="E26" s="155" t="s">
        <v>208</v>
      </c>
      <c r="F26" s="149" t="s">
        <v>273</v>
      </c>
      <c r="G26" s="246" t="str">
        <f t="shared" si="0"/>
        <v>CCC+</v>
      </c>
      <c r="H26" s="247" t="str">
        <f t="shared" si="4"/>
        <v>NR</v>
      </c>
      <c r="K26" s="100" t="s">
        <v>91</v>
      </c>
      <c r="L26" s="194" t="s">
        <v>78</v>
      </c>
      <c r="M26" s="194" t="s">
        <v>78</v>
      </c>
      <c r="N26" s="194"/>
      <c r="O26" s="99" t="s">
        <v>6</v>
      </c>
      <c r="P26" s="168" t="s">
        <v>577</v>
      </c>
      <c r="Q26" s="99" t="s">
        <v>333</v>
      </c>
      <c r="R26" s="243" t="s">
        <v>273</v>
      </c>
    </row>
    <row r="27" spans="1:18" ht="19">
      <c r="A27" s="46" t="s">
        <v>6</v>
      </c>
      <c r="B27" s="69" t="str">
        <f t="shared" si="1"/>
        <v>N/A</v>
      </c>
      <c r="C27" s="157" t="str">
        <f t="shared" si="2"/>
        <v>B2</v>
      </c>
      <c r="E27" s="137" t="s">
        <v>6</v>
      </c>
      <c r="F27" s="149" t="str">
        <f t="shared" si="3"/>
        <v>B2</v>
      </c>
      <c r="G27" s="246" t="str">
        <f t="shared" si="0"/>
        <v>N/A</v>
      </c>
      <c r="H27" s="247" t="str">
        <f t="shared" si="4"/>
        <v>NR</v>
      </c>
      <c r="K27" s="100" t="s">
        <v>93</v>
      </c>
      <c r="L27" s="194" t="s">
        <v>81</v>
      </c>
      <c r="M27" s="194" t="s">
        <v>81</v>
      </c>
      <c r="N27" s="194"/>
      <c r="O27" s="99" t="s">
        <v>209</v>
      </c>
      <c r="P27" s="241" t="s">
        <v>197</v>
      </c>
      <c r="Q27" s="99" t="s">
        <v>93</v>
      </c>
      <c r="R27" s="243" t="s">
        <v>203</v>
      </c>
    </row>
    <row r="28" spans="1:18" ht="19">
      <c r="A28" s="46" t="s">
        <v>209</v>
      </c>
      <c r="B28" s="69" t="str">
        <f t="shared" si="1"/>
        <v>B-</v>
      </c>
      <c r="C28" s="157" t="str">
        <f t="shared" si="2"/>
        <v>Caa1</v>
      </c>
      <c r="E28" s="150" t="s">
        <v>209</v>
      </c>
      <c r="F28" s="149" t="str">
        <f t="shared" si="3"/>
        <v>Caa1</v>
      </c>
      <c r="G28" s="246" t="str">
        <f t="shared" si="0"/>
        <v>B-</v>
      </c>
      <c r="H28" s="247" t="str">
        <f t="shared" si="4"/>
        <v>B</v>
      </c>
      <c r="K28" s="100" t="s">
        <v>6</v>
      </c>
      <c r="L28" s="194" t="s">
        <v>49</v>
      </c>
      <c r="M28" s="194" t="s">
        <v>49</v>
      </c>
      <c r="N28" s="194"/>
      <c r="O28" s="99" t="s">
        <v>94</v>
      </c>
      <c r="P28" s="168" t="s">
        <v>200</v>
      </c>
      <c r="Q28" s="99" t="s">
        <v>208</v>
      </c>
      <c r="R28" s="243" t="s">
        <v>273</v>
      </c>
    </row>
    <row r="29" spans="1:18" ht="19">
      <c r="A29" s="46" t="s">
        <v>94</v>
      </c>
      <c r="B29" s="69" t="str">
        <f t="shared" si="1"/>
        <v>AAA</v>
      </c>
      <c r="C29" s="157" t="str">
        <f t="shared" si="2"/>
        <v>Aaa</v>
      </c>
      <c r="E29" s="137" t="s">
        <v>94</v>
      </c>
      <c r="F29" s="149" t="str">
        <f t="shared" si="3"/>
        <v>Aaa</v>
      </c>
      <c r="G29" s="246" t="str">
        <f t="shared" si="0"/>
        <v>AAA</v>
      </c>
      <c r="H29" s="247" t="str">
        <f t="shared" si="4"/>
        <v>AA+</v>
      </c>
      <c r="K29" s="237" t="s">
        <v>209</v>
      </c>
      <c r="L29" s="194" t="s">
        <v>99</v>
      </c>
      <c r="M29" s="194" t="s">
        <v>99</v>
      </c>
      <c r="N29" s="194"/>
      <c r="O29" s="99" t="s">
        <v>210</v>
      </c>
      <c r="P29" s="241" t="s">
        <v>206</v>
      </c>
      <c r="Q29" s="99" t="s">
        <v>384</v>
      </c>
      <c r="R29" s="243" t="s">
        <v>273</v>
      </c>
    </row>
    <row r="30" spans="1:18" ht="19">
      <c r="A30" s="46" t="s">
        <v>210</v>
      </c>
      <c r="B30" s="69" t="str">
        <f t="shared" si="1"/>
        <v>B</v>
      </c>
      <c r="C30" s="157" t="str">
        <f t="shared" si="2"/>
        <v>NR</v>
      </c>
      <c r="E30" s="155" t="s">
        <v>210</v>
      </c>
      <c r="F30" s="149" t="s">
        <v>273</v>
      </c>
      <c r="G30" s="246" t="str">
        <f t="shared" si="0"/>
        <v>B</v>
      </c>
      <c r="H30" s="247" t="str">
        <f t="shared" si="4"/>
        <v>B</v>
      </c>
      <c r="K30" s="100" t="s">
        <v>94</v>
      </c>
      <c r="L30" s="194" t="s">
        <v>47</v>
      </c>
      <c r="M30" s="194" t="s">
        <v>47</v>
      </c>
      <c r="N30" s="194"/>
      <c r="O30" s="99" t="s">
        <v>578</v>
      </c>
      <c r="P30" s="167"/>
      <c r="Q30" s="99" t="s">
        <v>6</v>
      </c>
      <c r="R30" s="243" t="s">
        <v>273</v>
      </c>
    </row>
    <row r="31" spans="1:18" ht="19">
      <c r="A31" s="46" t="s">
        <v>55</v>
      </c>
      <c r="B31" s="69" t="e">
        <f t="shared" si="1"/>
        <v>#N/A</v>
      </c>
      <c r="C31" s="157" t="str">
        <f t="shared" si="2"/>
        <v>Aa3</v>
      </c>
      <c r="E31" s="137" t="s">
        <v>55</v>
      </c>
      <c r="F31" s="149" t="str">
        <f t="shared" si="3"/>
        <v>Aa3</v>
      </c>
      <c r="G31" s="246" t="e">
        <f t="shared" si="0"/>
        <v>#N/A</v>
      </c>
      <c r="H31" s="247" t="e">
        <f t="shared" si="4"/>
        <v>#N/A</v>
      </c>
      <c r="K31" s="100" t="s">
        <v>55</v>
      </c>
      <c r="L31" s="194" t="s">
        <v>46</v>
      </c>
      <c r="M31" s="194" t="s">
        <v>46</v>
      </c>
      <c r="N31" s="194"/>
      <c r="O31" s="99" t="s">
        <v>378</v>
      </c>
      <c r="P31" s="241" t="s">
        <v>197</v>
      </c>
      <c r="Q31" s="99" t="s">
        <v>209</v>
      </c>
      <c r="R31" s="243" t="s">
        <v>206</v>
      </c>
    </row>
    <row r="32" spans="1:18" ht="19">
      <c r="A32" s="46" t="s">
        <v>95</v>
      </c>
      <c r="B32" s="69" t="str">
        <f t="shared" si="1"/>
        <v>A</v>
      </c>
      <c r="C32" s="157" t="str">
        <f t="shared" si="2"/>
        <v>A2</v>
      </c>
      <c r="E32" s="137" t="s">
        <v>95</v>
      </c>
      <c r="F32" s="149" t="str">
        <f t="shared" si="3"/>
        <v>A2</v>
      </c>
      <c r="G32" s="246" t="str">
        <f t="shared" si="0"/>
        <v>A</v>
      </c>
      <c r="H32" s="247" t="str">
        <f t="shared" si="4"/>
        <v>A-</v>
      </c>
      <c r="K32" s="100" t="s">
        <v>482</v>
      </c>
      <c r="L32" s="194" t="s">
        <v>502</v>
      </c>
      <c r="M32" s="194" t="s">
        <v>502</v>
      </c>
      <c r="N32" s="194"/>
      <c r="O32" s="99" t="s">
        <v>95</v>
      </c>
      <c r="P32" s="168" t="s">
        <v>221</v>
      </c>
      <c r="Q32" s="99" t="s">
        <v>94</v>
      </c>
      <c r="R32" s="243" t="s">
        <v>201</v>
      </c>
    </row>
    <row r="33" spans="1:18" ht="19">
      <c r="A33" s="46" t="s">
        <v>96</v>
      </c>
      <c r="B33" s="69" t="str">
        <f t="shared" si="1"/>
        <v>A+</v>
      </c>
      <c r="C33" s="157" t="str">
        <f t="shared" si="2"/>
        <v>A1</v>
      </c>
      <c r="E33" s="137" t="s">
        <v>96</v>
      </c>
      <c r="F33" s="149" t="str">
        <f t="shared" si="3"/>
        <v>A1</v>
      </c>
      <c r="G33" s="246" t="str">
        <f t="shared" si="0"/>
        <v>A+</v>
      </c>
      <c r="H33" s="247" t="e">
        <f t="shared" si="4"/>
        <v>#N/A</v>
      </c>
      <c r="K33" s="100" t="s">
        <v>95</v>
      </c>
      <c r="L33" s="194" t="s">
        <v>42</v>
      </c>
      <c r="M33" s="194" t="s">
        <v>42</v>
      </c>
      <c r="N33" s="194"/>
      <c r="O33" s="99" t="s">
        <v>96</v>
      </c>
      <c r="P33" s="168" t="s">
        <v>219</v>
      </c>
      <c r="Q33" s="99" t="s">
        <v>210</v>
      </c>
      <c r="R33" s="243" t="s">
        <v>206</v>
      </c>
    </row>
    <row r="34" spans="1:18" ht="19">
      <c r="A34" s="46" t="s">
        <v>50</v>
      </c>
      <c r="B34" s="69" t="str">
        <f t="shared" si="1"/>
        <v>BB+ </v>
      </c>
      <c r="C34" s="157" t="str">
        <f t="shared" si="2"/>
        <v>Baa2</v>
      </c>
      <c r="E34" s="137" t="s">
        <v>50</v>
      </c>
      <c r="F34" s="149" t="str">
        <f t="shared" si="3"/>
        <v>Baa2</v>
      </c>
      <c r="G34" s="246" t="str">
        <f t="shared" si="0"/>
        <v>BB+ </v>
      </c>
      <c r="H34" s="247" t="str">
        <f t="shared" si="4"/>
        <v>BB+</v>
      </c>
      <c r="K34" s="100" t="s">
        <v>96</v>
      </c>
      <c r="L34" s="194" t="s">
        <v>41</v>
      </c>
      <c r="M34" s="194" t="s">
        <v>41</v>
      </c>
      <c r="N34" s="194"/>
      <c r="O34" s="99" t="s">
        <v>50</v>
      </c>
      <c r="P34" s="241" t="s">
        <v>579</v>
      </c>
      <c r="Q34" s="99" t="s">
        <v>390</v>
      </c>
      <c r="R34" s="243" t="s">
        <v>273</v>
      </c>
    </row>
    <row r="35" spans="1:18" ht="19">
      <c r="A35" s="46" t="s">
        <v>283</v>
      </c>
      <c r="B35" s="69" t="str">
        <f t="shared" si="1"/>
        <v>B-</v>
      </c>
      <c r="C35" s="157" t="str">
        <f t="shared" si="2"/>
        <v>B3</v>
      </c>
      <c r="E35" s="46" t="s">
        <v>283</v>
      </c>
      <c r="F35" s="149" t="s">
        <v>77</v>
      </c>
      <c r="G35" s="250" t="s">
        <v>197</v>
      </c>
      <c r="H35" s="247" t="e">
        <f t="shared" si="4"/>
        <v>#N/A</v>
      </c>
      <c r="K35" s="100" t="s">
        <v>50</v>
      </c>
      <c r="L35" s="194" t="s">
        <v>82</v>
      </c>
      <c r="M35" s="194" t="s">
        <v>82</v>
      </c>
      <c r="N35" s="194"/>
      <c r="O35" s="99" t="s">
        <v>476</v>
      </c>
      <c r="P35" s="241" t="s">
        <v>197</v>
      </c>
      <c r="Q35" s="99" t="s">
        <v>378</v>
      </c>
      <c r="R35" s="243" t="s">
        <v>197</v>
      </c>
    </row>
    <row r="36" spans="1:18" ht="19">
      <c r="A36" s="46" t="s">
        <v>284</v>
      </c>
      <c r="B36" s="69" t="str">
        <f t="shared" si="1"/>
        <v>CCC+</v>
      </c>
      <c r="C36" s="157" t="str">
        <f t="shared" si="2"/>
        <v>Caa2</v>
      </c>
      <c r="E36" s="46" t="s">
        <v>284</v>
      </c>
      <c r="F36" s="149" t="s">
        <v>58</v>
      </c>
      <c r="G36" s="250" t="s">
        <v>215</v>
      </c>
      <c r="H36" s="247" t="e">
        <f t="shared" si="4"/>
        <v>#N/A</v>
      </c>
      <c r="K36" s="100" t="s">
        <v>56</v>
      </c>
      <c r="L36" s="194" t="s">
        <v>80</v>
      </c>
      <c r="M36" s="194" t="s">
        <v>80</v>
      </c>
      <c r="N36" s="194"/>
      <c r="O36" s="99" t="s">
        <v>56</v>
      </c>
      <c r="P36" s="241" t="s">
        <v>575</v>
      </c>
      <c r="Q36" s="99" t="s">
        <v>95</v>
      </c>
      <c r="R36" s="243" t="s">
        <v>195</v>
      </c>
    </row>
    <row r="37" spans="1:18" ht="19">
      <c r="A37" s="46" t="s">
        <v>211</v>
      </c>
      <c r="B37" s="69" t="str">
        <f t="shared" si="1"/>
        <v>B+</v>
      </c>
      <c r="C37" s="157" t="str">
        <f t="shared" si="2"/>
        <v>B1</v>
      </c>
      <c r="E37" s="156" t="s">
        <v>211</v>
      </c>
      <c r="F37" s="251" t="s">
        <v>48</v>
      </c>
      <c r="G37" s="250" t="s">
        <v>193</v>
      </c>
      <c r="H37" s="247" t="e">
        <f t="shared" si="4"/>
        <v>#N/A</v>
      </c>
      <c r="K37" s="100" t="s">
        <v>361</v>
      </c>
      <c r="L37" s="194" t="s">
        <v>79</v>
      </c>
      <c r="M37" s="194" t="s">
        <v>79</v>
      </c>
      <c r="N37" s="194"/>
      <c r="O37" s="99" t="s">
        <v>97</v>
      </c>
      <c r="P37" s="168" t="s">
        <v>571</v>
      </c>
      <c r="Q37" s="99" t="s">
        <v>596</v>
      </c>
      <c r="R37" s="243" t="s">
        <v>219</v>
      </c>
    </row>
    <row r="38" spans="1:18" ht="19">
      <c r="A38" s="46" t="s">
        <v>56</v>
      </c>
      <c r="B38" s="69" t="str">
        <f t="shared" si="1"/>
        <v>BB- </v>
      </c>
      <c r="C38" s="157" t="str">
        <f t="shared" si="2"/>
        <v>Ba3</v>
      </c>
      <c r="E38" s="137" t="s">
        <v>56</v>
      </c>
      <c r="F38" s="149" t="str">
        <f t="shared" si="3"/>
        <v>Ba3</v>
      </c>
      <c r="G38" s="246" t="str">
        <f t="shared" si="0"/>
        <v>BB- </v>
      </c>
      <c r="H38" s="247" t="str">
        <f t="shared" si="4"/>
        <v>BB</v>
      </c>
      <c r="K38" s="100" t="s">
        <v>97</v>
      </c>
      <c r="L38" s="194" t="s">
        <v>43</v>
      </c>
      <c r="M38" s="194" t="s">
        <v>43</v>
      </c>
      <c r="N38" s="196"/>
      <c r="O38" s="99" t="s">
        <v>98</v>
      </c>
      <c r="P38" s="167"/>
      <c r="Q38" s="99" t="s">
        <v>442</v>
      </c>
      <c r="R38" s="243" t="s">
        <v>196</v>
      </c>
    </row>
    <row r="39" spans="1:18" ht="19">
      <c r="A39" s="46" t="s">
        <v>279</v>
      </c>
      <c r="B39" s="69" t="e">
        <f t="shared" si="1"/>
        <v>#N/A</v>
      </c>
      <c r="C39" s="157" t="str">
        <f t="shared" si="2"/>
        <v>Ba2</v>
      </c>
      <c r="E39" s="137" t="s">
        <v>361</v>
      </c>
      <c r="F39" s="149" t="str">
        <f t="shared" si="3"/>
        <v>Ba2</v>
      </c>
      <c r="G39" s="246" t="e">
        <f t="shared" si="0"/>
        <v>#N/A</v>
      </c>
      <c r="H39" s="247" t="e">
        <f t="shared" si="4"/>
        <v>#N/A</v>
      </c>
      <c r="K39" s="239" t="s">
        <v>98</v>
      </c>
      <c r="L39" s="196" t="s">
        <v>547</v>
      </c>
      <c r="M39" s="196" t="s">
        <v>547</v>
      </c>
      <c r="N39" s="194"/>
      <c r="O39" s="99" t="s">
        <v>175</v>
      </c>
      <c r="P39" s="168" t="s">
        <v>195</v>
      </c>
      <c r="Q39" s="99" t="s">
        <v>50</v>
      </c>
      <c r="R39" s="243" t="s">
        <v>213</v>
      </c>
    </row>
    <row r="40" spans="1:18" ht="19">
      <c r="A40" s="46" t="s">
        <v>97</v>
      </c>
      <c r="B40" s="69" t="str">
        <f t="shared" si="1"/>
        <v>A- </v>
      </c>
      <c r="C40" s="157" t="str">
        <f t="shared" si="2"/>
        <v>A3</v>
      </c>
      <c r="E40" s="137" t="s">
        <v>97</v>
      </c>
      <c r="F40" s="149" t="str">
        <f t="shared" si="3"/>
        <v>A3</v>
      </c>
      <c r="G40" s="246" t="str">
        <f t="shared" si="0"/>
        <v>A- </v>
      </c>
      <c r="H40" s="247" t="str">
        <f t="shared" si="4"/>
        <v>BBB+</v>
      </c>
      <c r="K40" s="100" t="s">
        <v>175</v>
      </c>
      <c r="L40" s="194" t="s">
        <v>43</v>
      </c>
      <c r="M40" s="194" t="s">
        <v>43</v>
      </c>
      <c r="N40" s="194"/>
      <c r="O40" s="99" t="s">
        <v>100</v>
      </c>
      <c r="P40" s="168" t="s">
        <v>207</v>
      </c>
      <c r="Q40" s="99" t="s">
        <v>402</v>
      </c>
      <c r="R40" s="243" t="s">
        <v>273</v>
      </c>
    </row>
    <row r="41" spans="1:18" ht="19">
      <c r="A41" s="46" t="s">
        <v>98</v>
      </c>
      <c r="B41" s="69">
        <f t="shared" si="1"/>
        <v>0</v>
      </c>
      <c r="C41" s="157" t="str">
        <f t="shared" si="2"/>
        <v>Ca</v>
      </c>
      <c r="E41" s="137" t="s">
        <v>98</v>
      </c>
      <c r="F41" s="149" t="s">
        <v>338</v>
      </c>
      <c r="G41" s="246">
        <f t="shared" si="0"/>
        <v>0</v>
      </c>
      <c r="H41" s="247" t="str">
        <f t="shared" si="4"/>
        <v>NR</v>
      </c>
      <c r="K41" s="100" t="s">
        <v>100</v>
      </c>
      <c r="L41" s="194" t="s">
        <v>46</v>
      </c>
      <c r="M41" s="194" t="s">
        <v>46</v>
      </c>
      <c r="N41" s="194"/>
      <c r="O41" s="99" t="s">
        <v>101</v>
      </c>
      <c r="P41" s="168" t="s">
        <v>200</v>
      </c>
      <c r="Q41" s="99" t="s">
        <v>483</v>
      </c>
      <c r="R41" s="243" t="s">
        <v>273</v>
      </c>
    </row>
    <row r="42" spans="1:18" ht="19">
      <c r="A42" s="46" t="s">
        <v>214</v>
      </c>
      <c r="B42" s="69" t="str">
        <f t="shared" si="1"/>
        <v>BBB-</v>
      </c>
      <c r="C42" s="157" t="str">
        <f t="shared" si="2"/>
        <v>NR</v>
      </c>
      <c r="E42" s="156" t="s">
        <v>214</v>
      </c>
      <c r="F42" s="149" t="s">
        <v>273</v>
      </c>
      <c r="G42" s="246" t="s">
        <v>202</v>
      </c>
      <c r="H42" s="247" t="e">
        <f t="shared" si="4"/>
        <v>#N/A</v>
      </c>
      <c r="K42" s="100" t="s">
        <v>483</v>
      </c>
      <c r="L42" s="194" t="s">
        <v>77</v>
      </c>
      <c r="M42" s="194" t="s">
        <v>77</v>
      </c>
      <c r="N42" s="194"/>
      <c r="O42" s="99" t="s">
        <v>102</v>
      </c>
      <c r="P42" s="241" t="s">
        <v>212</v>
      </c>
      <c r="Q42" s="99" t="s">
        <v>270</v>
      </c>
      <c r="R42" s="243" t="s">
        <v>232</v>
      </c>
    </row>
    <row r="43" spans="1:18" ht="19">
      <c r="A43" s="46" t="s">
        <v>175</v>
      </c>
      <c r="B43" s="69" t="str">
        <f t="shared" si="1"/>
        <v>A-</v>
      </c>
      <c r="C43" s="157" t="str">
        <f t="shared" si="2"/>
        <v>A3</v>
      </c>
      <c r="E43" s="137" t="s">
        <v>175</v>
      </c>
      <c r="F43" s="149" t="str">
        <f t="shared" si="3"/>
        <v>A3</v>
      </c>
      <c r="G43" s="246" t="str">
        <f t="shared" si="0"/>
        <v>A-</v>
      </c>
      <c r="H43" s="247" t="str">
        <f t="shared" si="4"/>
        <v>A-</v>
      </c>
      <c r="K43" s="100" t="s">
        <v>101</v>
      </c>
      <c r="L43" s="194" t="s">
        <v>47</v>
      </c>
      <c r="M43" s="194" t="s">
        <v>47</v>
      </c>
      <c r="N43" s="196"/>
      <c r="O43" s="99" t="s">
        <v>103</v>
      </c>
      <c r="P43" s="241" t="s">
        <v>580</v>
      </c>
      <c r="Q43" s="99" t="s">
        <v>56</v>
      </c>
      <c r="R43" s="243" t="s">
        <v>212</v>
      </c>
    </row>
    <row r="44" spans="1:18" ht="19">
      <c r="A44" s="46" t="s">
        <v>100</v>
      </c>
      <c r="B44" s="69" t="str">
        <f t="shared" si="1"/>
        <v>AA-</v>
      </c>
      <c r="C44" s="157" t="str">
        <f t="shared" si="2"/>
        <v>Aa3</v>
      </c>
      <c r="E44" s="137" t="s">
        <v>100</v>
      </c>
      <c r="F44" s="149" t="str">
        <f t="shared" si="3"/>
        <v>Aa3</v>
      </c>
      <c r="G44" s="246" t="str">
        <f t="shared" si="0"/>
        <v>AA-</v>
      </c>
      <c r="H44" s="247" t="str">
        <f t="shared" si="4"/>
        <v>AA-</v>
      </c>
      <c r="K44" s="240" t="s">
        <v>102</v>
      </c>
      <c r="L44" s="196" t="s">
        <v>80</v>
      </c>
      <c r="M44" s="196" t="s">
        <v>80</v>
      </c>
      <c r="N44" s="194"/>
      <c r="O44" s="99" t="s">
        <v>104</v>
      </c>
      <c r="P44" s="241" t="s">
        <v>580</v>
      </c>
      <c r="Q44" s="99" t="s">
        <v>97</v>
      </c>
      <c r="R44" s="243" t="s">
        <v>199</v>
      </c>
    </row>
    <row r="45" spans="1:18" ht="19">
      <c r="A45" s="46" t="s">
        <v>101</v>
      </c>
      <c r="B45" s="69" t="str">
        <f t="shared" si="1"/>
        <v>AAA</v>
      </c>
      <c r="C45" s="157" t="str">
        <f t="shared" si="2"/>
        <v>Aaa</v>
      </c>
      <c r="E45" s="137" t="s">
        <v>101</v>
      </c>
      <c r="F45" s="149" t="str">
        <f t="shared" si="3"/>
        <v>Aaa</v>
      </c>
      <c r="G45" s="246" t="str">
        <f t="shared" si="0"/>
        <v>AAA</v>
      </c>
      <c r="H45" s="247" t="str">
        <f t="shared" si="4"/>
        <v>AAA</v>
      </c>
      <c r="K45" s="100" t="s">
        <v>103</v>
      </c>
      <c r="L45" s="194" t="s">
        <v>62</v>
      </c>
      <c r="M45" s="194" t="s">
        <v>62</v>
      </c>
      <c r="N45" s="194"/>
      <c r="O45" s="99" t="s">
        <v>31</v>
      </c>
      <c r="P45" s="241" t="s">
        <v>197</v>
      </c>
      <c r="Q45" s="99" t="s">
        <v>98</v>
      </c>
      <c r="R45" s="243" t="s">
        <v>273</v>
      </c>
    </row>
    <row r="46" spans="1:18" ht="19">
      <c r="A46" s="46" t="s">
        <v>102</v>
      </c>
      <c r="B46" s="69" t="str">
        <f t="shared" si="1"/>
        <v>BB</v>
      </c>
      <c r="C46" s="157" t="str">
        <f t="shared" si="2"/>
        <v>Ba3</v>
      </c>
      <c r="E46" s="151" t="s">
        <v>102</v>
      </c>
      <c r="F46" s="149" t="str">
        <f t="shared" si="3"/>
        <v>Ba3</v>
      </c>
      <c r="G46" s="246" t="str">
        <f t="shared" si="0"/>
        <v>BB</v>
      </c>
      <c r="H46" s="247" t="str">
        <f t="shared" si="4"/>
        <v>BB-</v>
      </c>
      <c r="K46" s="100" t="s">
        <v>104</v>
      </c>
      <c r="L46" s="194" t="s">
        <v>99</v>
      </c>
      <c r="M46" s="194" t="s">
        <v>99</v>
      </c>
      <c r="N46" s="194"/>
      <c r="O46" s="99" t="s">
        <v>105</v>
      </c>
      <c r="P46" s="167" t="s">
        <v>273</v>
      </c>
      <c r="Q46" s="99" t="s">
        <v>175</v>
      </c>
      <c r="R46" s="243" t="s">
        <v>195</v>
      </c>
    </row>
    <row r="47" spans="1:18" ht="19">
      <c r="A47" s="46" t="s">
        <v>103</v>
      </c>
      <c r="B47" s="69" t="str">
        <f t="shared" si="1"/>
        <v>B- </v>
      </c>
      <c r="C47" s="157" t="str">
        <f t="shared" si="2"/>
        <v>Caa3</v>
      </c>
      <c r="E47" s="137" t="s">
        <v>103</v>
      </c>
      <c r="F47" s="149" t="s">
        <v>62</v>
      </c>
      <c r="G47" s="246" t="str">
        <f t="shared" si="0"/>
        <v>B- </v>
      </c>
      <c r="H47" s="247" t="str">
        <f t="shared" si="4"/>
        <v>CCC+</v>
      </c>
      <c r="K47" s="100" t="s">
        <v>31</v>
      </c>
      <c r="L47" s="194" t="s">
        <v>77</v>
      </c>
      <c r="M47" s="194" t="s">
        <v>77</v>
      </c>
      <c r="N47" s="194"/>
      <c r="O47" s="99" t="s">
        <v>280</v>
      </c>
      <c r="P47" s="167" t="s">
        <v>551</v>
      </c>
      <c r="Q47" s="99" t="s">
        <v>100</v>
      </c>
      <c r="R47" s="243" t="s">
        <v>207</v>
      </c>
    </row>
    <row r="48" spans="1:18" ht="19">
      <c r="A48" s="46" t="s">
        <v>104</v>
      </c>
      <c r="B48" s="69" t="str">
        <f t="shared" si="1"/>
        <v>B- </v>
      </c>
      <c r="C48" s="157" t="str">
        <f t="shared" si="2"/>
        <v>Caa1</v>
      </c>
      <c r="E48" s="137" t="s">
        <v>104</v>
      </c>
      <c r="F48" s="149" t="str">
        <f t="shared" si="3"/>
        <v>Caa1</v>
      </c>
      <c r="G48" s="246" t="str">
        <f t="shared" si="0"/>
        <v>B- </v>
      </c>
      <c r="H48" s="247" t="str">
        <f t="shared" si="4"/>
        <v>B-</v>
      </c>
      <c r="K48" s="100" t="s">
        <v>105</v>
      </c>
      <c r="L48" s="194" t="s">
        <v>41</v>
      </c>
      <c r="M48" s="194" t="s">
        <v>41</v>
      </c>
      <c r="N48" s="196"/>
      <c r="O48" s="99" t="s">
        <v>581</v>
      </c>
      <c r="P48" s="168" t="s">
        <v>204</v>
      </c>
      <c r="Q48" s="99" t="s">
        <v>101</v>
      </c>
      <c r="R48" s="243" t="s">
        <v>200</v>
      </c>
    </row>
    <row r="49" spans="1:18" ht="19">
      <c r="A49" s="46" t="s">
        <v>31</v>
      </c>
      <c r="B49" s="69" t="str">
        <f t="shared" si="1"/>
        <v>B-</v>
      </c>
      <c r="C49" s="157" t="str">
        <f t="shared" si="2"/>
        <v>B3</v>
      </c>
      <c r="E49" s="137" t="s">
        <v>31</v>
      </c>
      <c r="F49" s="149" t="str">
        <f t="shared" si="3"/>
        <v>B3</v>
      </c>
      <c r="G49" s="246" t="str">
        <f t="shared" si="0"/>
        <v>B-</v>
      </c>
      <c r="H49" s="247" t="str">
        <f t="shared" si="4"/>
        <v>CC</v>
      </c>
      <c r="K49" s="239" t="s">
        <v>474</v>
      </c>
      <c r="L49" s="196" t="s">
        <v>49</v>
      </c>
      <c r="M49" s="196" t="s">
        <v>49</v>
      </c>
      <c r="N49" s="194"/>
      <c r="O49" s="99" t="s">
        <v>216</v>
      </c>
      <c r="P49" s="241" t="s">
        <v>193</v>
      </c>
      <c r="Q49" s="99" t="s">
        <v>389</v>
      </c>
      <c r="R49" s="243" t="s">
        <v>273</v>
      </c>
    </row>
    <row r="50" spans="1:18" ht="19">
      <c r="A50" s="46" t="s">
        <v>105</v>
      </c>
      <c r="B50" s="69" t="str">
        <f t="shared" si="1"/>
        <v>NR</v>
      </c>
      <c r="C50" s="157" t="str">
        <f t="shared" si="2"/>
        <v>A1</v>
      </c>
      <c r="E50" s="137" t="s">
        <v>105</v>
      </c>
      <c r="F50" s="149" t="str">
        <f t="shared" si="3"/>
        <v>A1</v>
      </c>
      <c r="G50" s="246" t="str">
        <f t="shared" si="0"/>
        <v>NR</v>
      </c>
      <c r="H50" s="247" t="str">
        <f t="shared" si="4"/>
        <v>AA-</v>
      </c>
      <c r="K50" s="100" t="s">
        <v>280</v>
      </c>
      <c r="L50" s="194" t="s">
        <v>62</v>
      </c>
      <c r="M50" s="194" t="s">
        <v>58</v>
      </c>
      <c r="N50" s="194"/>
      <c r="O50" s="99" t="s">
        <v>176</v>
      </c>
      <c r="P50" s="168" t="s">
        <v>201</v>
      </c>
      <c r="Q50" s="99" t="s">
        <v>403</v>
      </c>
      <c r="R50" s="243" t="s">
        <v>273</v>
      </c>
    </row>
    <row r="51" spans="1:18" ht="19">
      <c r="A51" s="46" t="s">
        <v>280</v>
      </c>
      <c r="B51" s="69" t="str">
        <f t="shared" si="1"/>
        <v>SD</v>
      </c>
      <c r="C51" s="157" t="str">
        <f t="shared" si="2"/>
        <v>Caa2</v>
      </c>
      <c r="E51" s="137" t="s">
        <v>280</v>
      </c>
      <c r="F51" s="149" t="str">
        <f t="shared" si="3"/>
        <v>Caa2</v>
      </c>
      <c r="G51" s="246" t="str">
        <f t="shared" si="0"/>
        <v>SD</v>
      </c>
      <c r="H51" s="247" t="str">
        <f t="shared" si="4"/>
        <v>NR</v>
      </c>
      <c r="K51" s="100" t="s">
        <v>216</v>
      </c>
      <c r="L51" s="194" t="s">
        <v>48</v>
      </c>
      <c r="M51" s="194" t="s">
        <v>48</v>
      </c>
      <c r="N51" s="194"/>
      <c r="O51" s="99" t="s">
        <v>177</v>
      </c>
      <c r="P51" s="168" t="s">
        <v>207</v>
      </c>
      <c r="Q51" s="99" t="s">
        <v>102</v>
      </c>
      <c r="R51" s="243" t="s">
        <v>196</v>
      </c>
    </row>
    <row r="52" spans="1:18" ht="19">
      <c r="A52" s="46" t="s">
        <v>216</v>
      </c>
      <c r="B52" s="69" t="str">
        <f t="shared" si="1"/>
        <v>B+</v>
      </c>
      <c r="C52" s="157" t="str">
        <f t="shared" si="2"/>
        <v>B1</v>
      </c>
      <c r="E52" s="137" t="s">
        <v>216</v>
      </c>
      <c r="F52" s="149" t="str">
        <f t="shared" si="3"/>
        <v>B1</v>
      </c>
      <c r="G52" s="246" t="str">
        <f t="shared" si="0"/>
        <v>B+</v>
      </c>
      <c r="H52" s="247" t="str">
        <f t="shared" si="4"/>
        <v>NR</v>
      </c>
      <c r="K52" s="100" t="s">
        <v>176</v>
      </c>
      <c r="L52" s="194" t="s">
        <v>44</v>
      </c>
      <c r="M52" s="194" t="s">
        <v>44</v>
      </c>
      <c r="N52" s="194"/>
      <c r="O52" s="99" t="s">
        <v>217</v>
      </c>
      <c r="P52" s="168" t="s">
        <v>577</v>
      </c>
      <c r="Q52" s="99" t="s">
        <v>103</v>
      </c>
      <c r="R52" s="243" t="s">
        <v>215</v>
      </c>
    </row>
    <row r="53" spans="1:18" ht="19">
      <c r="A53" s="46" t="s">
        <v>176</v>
      </c>
      <c r="B53" s="69" t="str">
        <f t="shared" si="1"/>
        <v>AA+</v>
      </c>
      <c r="C53" s="157" t="str">
        <f t="shared" si="2"/>
        <v>Aa1</v>
      </c>
      <c r="E53" s="137" t="s">
        <v>176</v>
      </c>
      <c r="F53" s="149" t="str">
        <f t="shared" si="3"/>
        <v>Aa1</v>
      </c>
      <c r="G53" s="246" t="str">
        <f t="shared" si="0"/>
        <v>AA+</v>
      </c>
      <c r="H53" s="247" t="str">
        <f t="shared" si="4"/>
        <v>AA+</v>
      </c>
      <c r="K53" s="100" t="s">
        <v>177</v>
      </c>
      <c r="L53" s="194" t="s">
        <v>46</v>
      </c>
      <c r="M53" s="194" t="s">
        <v>46</v>
      </c>
      <c r="N53" s="194"/>
      <c r="O53" s="99" t="s">
        <v>132</v>
      </c>
      <c r="P53" s="241" t="s">
        <v>212</v>
      </c>
      <c r="Q53" s="99" t="s">
        <v>104</v>
      </c>
      <c r="R53" s="243" t="s">
        <v>197</v>
      </c>
    </row>
    <row r="54" spans="1:18" ht="19">
      <c r="A54" s="46" t="s">
        <v>177</v>
      </c>
      <c r="B54" s="69" t="str">
        <f t="shared" si="1"/>
        <v>AA-</v>
      </c>
      <c r="C54" s="157" t="str">
        <f t="shared" si="2"/>
        <v>Aa3</v>
      </c>
      <c r="E54" s="137" t="s">
        <v>177</v>
      </c>
      <c r="F54" s="149" t="str">
        <f t="shared" si="3"/>
        <v>Aa3</v>
      </c>
      <c r="G54" s="246" t="str">
        <f t="shared" si="0"/>
        <v>AA-</v>
      </c>
      <c r="H54" s="247" t="str">
        <f t="shared" si="4"/>
        <v>AA-</v>
      </c>
      <c r="K54" s="100" t="s">
        <v>217</v>
      </c>
      <c r="L54" s="194" t="s">
        <v>58</v>
      </c>
      <c r="M54" s="194" t="s">
        <v>58</v>
      </c>
      <c r="N54" s="194"/>
      <c r="O54" s="99" t="s">
        <v>178</v>
      </c>
      <c r="P54" s="168" t="s">
        <v>200</v>
      </c>
      <c r="Q54" s="99" t="s">
        <v>31</v>
      </c>
      <c r="R54" s="243" t="s">
        <v>235</v>
      </c>
    </row>
    <row r="55" spans="1:18" ht="19">
      <c r="A55" s="46" t="s">
        <v>217</v>
      </c>
      <c r="B55" s="69" t="str">
        <f t="shared" si="1"/>
        <v>N/A</v>
      </c>
      <c r="C55" s="157" t="str">
        <f t="shared" si="2"/>
        <v>Caa2</v>
      </c>
      <c r="E55" s="137" t="s">
        <v>217</v>
      </c>
      <c r="F55" s="149" t="str">
        <f t="shared" si="3"/>
        <v>Caa2</v>
      </c>
      <c r="G55" s="246" t="str">
        <f t="shared" si="0"/>
        <v>N/A</v>
      </c>
      <c r="H55" s="247" t="str">
        <f t="shared" si="4"/>
        <v>B-</v>
      </c>
      <c r="K55" s="100" t="s">
        <v>132</v>
      </c>
      <c r="L55" s="194" t="s">
        <v>79</v>
      </c>
      <c r="M55" s="194" t="s">
        <v>79</v>
      </c>
      <c r="N55" s="194"/>
      <c r="O55" s="99" t="s">
        <v>218</v>
      </c>
      <c r="P55" s="167" t="s">
        <v>551</v>
      </c>
      <c r="Q55" s="99" t="s">
        <v>377</v>
      </c>
      <c r="R55" s="243" t="s">
        <v>273</v>
      </c>
    </row>
    <row r="56" spans="1:18" ht="19">
      <c r="A56" s="46" t="s">
        <v>132</v>
      </c>
      <c r="B56" s="69" t="str">
        <f t="shared" si="1"/>
        <v>BB</v>
      </c>
      <c r="C56" s="157" t="str">
        <f t="shared" si="2"/>
        <v>Ba2</v>
      </c>
      <c r="E56" s="137" t="s">
        <v>132</v>
      </c>
      <c r="F56" s="149" t="str">
        <f t="shared" si="3"/>
        <v>Ba2</v>
      </c>
      <c r="G56" s="246" t="str">
        <f t="shared" si="0"/>
        <v>BB</v>
      </c>
      <c r="H56" s="247" t="str">
        <f t="shared" si="4"/>
        <v>BB</v>
      </c>
      <c r="K56" s="100" t="s">
        <v>178</v>
      </c>
      <c r="L56" s="194" t="s">
        <v>47</v>
      </c>
      <c r="M56" s="194" t="s">
        <v>47</v>
      </c>
      <c r="N56" s="194"/>
      <c r="O56" s="99" t="s">
        <v>179</v>
      </c>
      <c r="P56" s="241" t="s">
        <v>582</v>
      </c>
      <c r="Q56" s="99" t="s">
        <v>515</v>
      </c>
      <c r="R56" s="243" t="s">
        <v>273</v>
      </c>
    </row>
    <row r="57" spans="1:18" ht="19">
      <c r="A57" s="46" t="s">
        <v>178</v>
      </c>
      <c r="B57" s="69" t="str">
        <f t="shared" si="1"/>
        <v>AAA</v>
      </c>
      <c r="C57" s="157" t="str">
        <f t="shared" si="2"/>
        <v>Aaa</v>
      </c>
      <c r="E57" s="137" t="s">
        <v>178</v>
      </c>
      <c r="F57" s="149" t="str">
        <f t="shared" si="3"/>
        <v>Aaa</v>
      </c>
      <c r="G57" s="246" t="str">
        <f t="shared" si="0"/>
        <v>AAA</v>
      </c>
      <c r="H57" s="247" t="str">
        <f t="shared" si="4"/>
        <v>AAA</v>
      </c>
      <c r="K57" s="100" t="s">
        <v>218</v>
      </c>
      <c r="L57" s="194" t="s">
        <v>58</v>
      </c>
      <c r="M57" s="194" t="s">
        <v>58</v>
      </c>
      <c r="N57" s="194"/>
      <c r="O57" s="99" t="s">
        <v>396</v>
      </c>
      <c r="P57" s="167" t="s">
        <v>583</v>
      </c>
      <c r="Q57" s="99" t="s">
        <v>105</v>
      </c>
      <c r="R57" s="243" t="s">
        <v>207</v>
      </c>
    </row>
    <row r="58" spans="1:18" ht="19">
      <c r="A58" s="46" t="s">
        <v>218</v>
      </c>
      <c r="B58" s="69" t="str">
        <f t="shared" si="1"/>
        <v>SD</v>
      </c>
      <c r="C58" s="157" t="str">
        <f t="shared" si="2"/>
        <v>Caa2</v>
      </c>
      <c r="E58" s="137" t="s">
        <v>218</v>
      </c>
      <c r="F58" s="149" t="str">
        <f t="shared" si="3"/>
        <v>Caa2</v>
      </c>
      <c r="G58" s="246" t="str">
        <f t="shared" si="0"/>
        <v>SD</v>
      </c>
      <c r="H58" s="247" t="str">
        <f t="shared" si="4"/>
        <v>NR</v>
      </c>
      <c r="K58" s="100" t="s">
        <v>179</v>
      </c>
      <c r="L58" s="194" t="s">
        <v>78</v>
      </c>
      <c r="M58" s="194" t="s">
        <v>78</v>
      </c>
      <c r="N58" s="194"/>
      <c r="O58" s="99" t="s">
        <v>106</v>
      </c>
      <c r="P58" s="241" t="s">
        <v>584</v>
      </c>
      <c r="Q58" s="99" t="s">
        <v>448</v>
      </c>
      <c r="R58" s="243" t="s">
        <v>273</v>
      </c>
    </row>
    <row r="59" spans="1:18" ht="19">
      <c r="A59" s="46" t="s">
        <v>179</v>
      </c>
      <c r="B59" s="69" t="str">
        <f t="shared" si="1"/>
        <v>BBB- </v>
      </c>
      <c r="C59" s="157" t="str">
        <f t="shared" si="2"/>
        <v>Ba1</v>
      </c>
      <c r="E59" s="137" t="s">
        <v>179</v>
      </c>
      <c r="F59" s="149" t="str">
        <f t="shared" si="3"/>
        <v>Ba1</v>
      </c>
      <c r="G59" s="246" t="str">
        <f t="shared" si="0"/>
        <v>BBB- </v>
      </c>
      <c r="H59" s="247" t="str">
        <f t="shared" si="4"/>
        <v>BBB-</v>
      </c>
      <c r="K59" s="100" t="s">
        <v>106</v>
      </c>
      <c r="L59" s="194" t="s">
        <v>78</v>
      </c>
      <c r="M59" s="194" t="s">
        <v>78</v>
      </c>
      <c r="N59" s="194"/>
      <c r="O59" s="99" t="s">
        <v>107</v>
      </c>
      <c r="P59" s="241" t="s">
        <v>575</v>
      </c>
      <c r="Q59" s="99" t="s">
        <v>280</v>
      </c>
      <c r="R59" s="243" t="s">
        <v>273</v>
      </c>
    </row>
    <row r="60" spans="1:18" ht="19">
      <c r="A60" s="46" t="s">
        <v>106</v>
      </c>
      <c r="B60" s="69" t="str">
        <f t="shared" si="1"/>
        <v>BB </v>
      </c>
      <c r="C60" s="157" t="str">
        <f t="shared" si="2"/>
        <v>Ba1</v>
      </c>
      <c r="E60" s="137" t="s">
        <v>106</v>
      </c>
      <c r="F60" s="149" t="str">
        <f t="shared" si="3"/>
        <v>Ba1</v>
      </c>
      <c r="G60" s="246" t="str">
        <f t="shared" si="0"/>
        <v>BB </v>
      </c>
      <c r="H60" s="247" t="str">
        <f t="shared" si="4"/>
        <v>BB</v>
      </c>
      <c r="K60" s="100" t="s">
        <v>453</v>
      </c>
      <c r="L60" s="194" t="s">
        <v>41</v>
      </c>
      <c r="M60" s="194" t="s">
        <v>41</v>
      </c>
      <c r="N60" s="194"/>
      <c r="O60" s="99" t="s">
        <v>59</v>
      </c>
      <c r="P60" s="168" t="s">
        <v>201</v>
      </c>
      <c r="Q60" s="99" t="s">
        <v>216</v>
      </c>
      <c r="R60" s="243" t="s">
        <v>273</v>
      </c>
    </row>
    <row r="61" spans="1:18" ht="19">
      <c r="A61" s="46" t="s">
        <v>285</v>
      </c>
      <c r="B61" s="69" t="e">
        <f t="shared" si="1"/>
        <v>#N/A</v>
      </c>
      <c r="C61" s="157" t="str">
        <f t="shared" si="2"/>
        <v>A1</v>
      </c>
      <c r="E61" s="100" t="s">
        <v>453</v>
      </c>
      <c r="F61" s="149" t="str">
        <f t="shared" si="3"/>
        <v>A1</v>
      </c>
      <c r="G61" s="246" t="e">
        <f t="shared" si="0"/>
        <v>#N/A</v>
      </c>
      <c r="H61" s="247" t="e">
        <f t="shared" si="4"/>
        <v>#N/A</v>
      </c>
      <c r="K61" s="100" t="s">
        <v>107</v>
      </c>
      <c r="L61" s="194" t="s">
        <v>48</v>
      </c>
      <c r="M61" s="194" t="s">
        <v>48</v>
      </c>
      <c r="N61" s="194"/>
      <c r="O61" s="99" t="s">
        <v>108</v>
      </c>
      <c r="P61" s="241" t="s">
        <v>202</v>
      </c>
      <c r="Q61" s="99" t="s">
        <v>176</v>
      </c>
      <c r="R61" s="243" t="s">
        <v>201</v>
      </c>
    </row>
    <row r="62" spans="1:18" ht="19">
      <c r="A62" s="46" t="s">
        <v>107</v>
      </c>
      <c r="B62" s="69" t="str">
        <f t="shared" si="1"/>
        <v>BB- </v>
      </c>
      <c r="C62" s="157" t="str">
        <f t="shared" si="2"/>
        <v>B1</v>
      </c>
      <c r="E62" s="137" t="s">
        <v>107</v>
      </c>
      <c r="F62" s="149" t="str">
        <f t="shared" si="3"/>
        <v>B1</v>
      </c>
      <c r="G62" s="246" t="str">
        <f t="shared" si="0"/>
        <v>BB- </v>
      </c>
      <c r="H62" s="247" t="str">
        <f t="shared" si="4"/>
        <v>NR</v>
      </c>
      <c r="K62" s="100" t="s">
        <v>484</v>
      </c>
      <c r="L62" s="194" t="s">
        <v>46</v>
      </c>
      <c r="M62" s="194" t="s">
        <v>46</v>
      </c>
      <c r="N62" s="194"/>
      <c r="O62" s="99" t="s">
        <v>109</v>
      </c>
      <c r="P62" s="168" t="s">
        <v>219</v>
      </c>
      <c r="Q62" s="99" t="s">
        <v>177</v>
      </c>
      <c r="R62" s="243" t="s">
        <v>207</v>
      </c>
    </row>
    <row r="63" spans="1:18" ht="19">
      <c r="A63" s="46" t="s">
        <v>59</v>
      </c>
      <c r="B63" s="69" t="str">
        <f t="shared" si="1"/>
        <v>AA+</v>
      </c>
      <c r="C63" s="157" t="str">
        <f t="shared" si="2"/>
        <v>Aa3</v>
      </c>
      <c r="E63" s="137" t="s">
        <v>59</v>
      </c>
      <c r="F63" s="149" t="s">
        <v>46</v>
      </c>
      <c r="G63" s="246" t="str">
        <f t="shared" si="0"/>
        <v>AA+</v>
      </c>
      <c r="H63" s="247" t="str">
        <f t="shared" si="4"/>
        <v>AA-</v>
      </c>
      <c r="K63" s="100" t="s">
        <v>108</v>
      </c>
      <c r="L63" s="194" t="s">
        <v>82</v>
      </c>
      <c r="M63" s="194" t="s">
        <v>82</v>
      </c>
      <c r="N63" s="194"/>
      <c r="O63" s="99" t="s">
        <v>110</v>
      </c>
      <c r="P63" s="241" t="s">
        <v>582</v>
      </c>
      <c r="Q63" s="99" t="s">
        <v>217</v>
      </c>
      <c r="R63" s="243" t="s">
        <v>197</v>
      </c>
    </row>
    <row r="64" spans="1:18" ht="19">
      <c r="A64" s="46" t="s">
        <v>108</v>
      </c>
      <c r="B64" s="69" t="str">
        <f t="shared" si="1"/>
        <v>BBB-</v>
      </c>
      <c r="C64" s="157" t="str">
        <f t="shared" si="2"/>
        <v>Baa2</v>
      </c>
      <c r="E64" s="137" t="s">
        <v>108</v>
      </c>
      <c r="F64" s="149" t="str">
        <f t="shared" si="3"/>
        <v>Baa2</v>
      </c>
      <c r="G64" s="246" t="str">
        <f t="shared" si="0"/>
        <v>BBB-</v>
      </c>
      <c r="H64" s="247" t="str">
        <f t="shared" si="4"/>
        <v>BBB</v>
      </c>
      <c r="K64" s="100" t="s">
        <v>109</v>
      </c>
      <c r="L64" s="194" t="s">
        <v>41</v>
      </c>
      <c r="M64" s="194" t="s">
        <v>41</v>
      </c>
      <c r="N64" s="194"/>
      <c r="O64" s="99" t="s">
        <v>111</v>
      </c>
      <c r="P64" s="241" t="s">
        <v>203</v>
      </c>
      <c r="Q64" s="99" t="s">
        <v>329</v>
      </c>
      <c r="R64" s="243" t="s">
        <v>273</v>
      </c>
    </row>
    <row r="65" spans="1:18" ht="19">
      <c r="A65" s="46" t="s">
        <v>109</v>
      </c>
      <c r="B65" s="69" t="str">
        <f t="shared" si="1"/>
        <v>A+</v>
      </c>
      <c r="C65" s="157" t="str">
        <f t="shared" si="2"/>
        <v>A1</v>
      </c>
      <c r="E65" s="137" t="s">
        <v>109</v>
      </c>
      <c r="F65" s="149" t="str">
        <f t="shared" si="3"/>
        <v>A1</v>
      </c>
      <c r="G65" s="246" t="str">
        <f t="shared" si="0"/>
        <v>A+</v>
      </c>
      <c r="H65" s="247" t="str">
        <f t="shared" si="4"/>
        <v>A</v>
      </c>
      <c r="K65" s="100" t="s">
        <v>110</v>
      </c>
      <c r="L65" s="194" t="s">
        <v>123</v>
      </c>
      <c r="M65" s="194" t="s">
        <v>123</v>
      </c>
      <c r="N65" s="194"/>
      <c r="O65" s="99" t="s">
        <v>326</v>
      </c>
      <c r="P65" s="241" t="s">
        <v>197</v>
      </c>
      <c r="Q65" s="99" t="s">
        <v>132</v>
      </c>
      <c r="R65" s="243" t="s">
        <v>212</v>
      </c>
    </row>
    <row r="66" spans="1:18" ht="19">
      <c r="A66" s="46" t="s">
        <v>110</v>
      </c>
      <c r="B66" s="69" t="str">
        <f t="shared" si="1"/>
        <v>BBB- </v>
      </c>
      <c r="C66" s="157" t="str">
        <f t="shared" si="2"/>
        <v>Baa3</v>
      </c>
      <c r="E66" s="137" t="s">
        <v>110</v>
      </c>
      <c r="F66" s="149" t="str">
        <f t="shared" si="3"/>
        <v>Baa3</v>
      </c>
      <c r="G66" s="246" t="str">
        <f t="shared" si="0"/>
        <v>BBB- </v>
      </c>
      <c r="H66" s="247" t="str">
        <f t="shared" si="4"/>
        <v>BBB-</v>
      </c>
      <c r="K66" s="100" t="s">
        <v>111</v>
      </c>
      <c r="L66" s="194" t="s">
        <v>82</v>
      </c>
      <c r="M66" s="194" t="s">
        <v>82</v>
      </c>
      <c r="N66" s="194"/>
      <c r="O66" s="99" t="s">
        <v>180</v>
      </c>
      <c r="P66" s="168" t="s">
        <v>585</v>
      </c>
      <c r="Q66" s="99" t="s">
        <v>178</v>
      </c>
      <c r="R66" s="243" t="s">
        <v>200</v>
      </c>
    </row>
    <row r="67" spans="1:18" ht="19">
      <c r="A67" s="46" t="s">
        <v>111</v>
      </c>
      <c r="B67" s="69" t="str">
        <f t="shared" ref="B67:B102" si="5">G67</f>
        <v>BBB</v>
      </c>
      <c r="C67" s="157" t="str">
        <f t="shared" ref="C67:C102" si="6">F67</f>
        <v>Baa2</v>
      </c>
      <c r="E67" s="137" t="s">
        <v>111</v>
      </c>
      <c r="F67" s="149" t="str">
        <f t="shared" ref="F67:F131" si="7">VLOOKUP(E67,$K$2:$M$154,3,FALSE)</f>
        <v>Baa2</v>
      </c>
      <c r="G67" s="246" t="str">
        <f t="shared" ref="G67:G130" si="8">VLOOKUP(E67,$O$2:$P$160,2,FALSE)</f>
        <v>BBB</v>
      </c>
      <c r="H67" s="247" t="str">
        <f t="shared" ref="H67:H131" si="9">VLOOKUP(E67,$Q$2:$R$199,2,FALSE)</f>
        <v>BBB</v>
      </c>
      <c r="K67" s="100" t="s">
        <v>326</v>
      </c>
      <c r="L67" s="194" t="s">
        <v>99</v>
      </c>
      <c r="M67" s="194" t="s">
        <v>99</v>
      </c>
      <c r="N67" s="194"/>
      <c r="O67" s="99" t="s">
        <v>112</v>
      </c>
      <c r="P67" s="168" t="s">
        <v>577</v>
      </c>
      <c r="Q67" s="99" t="s">
        <v>218</v>
      </c>
      <c r="R67" s="243" t="s">
        <v>273</v>
      </c>
    </row>
    <row r="68" spans="1:18" ht="19">
      <c r="A68" s="46" t="s">
        <v>326</v>
      </c>
      <c r="B68" s="69" t="str">
        <f t="shared" si="5"/>
        <v>B-</v>
      </c>
      <c r="C68" s="157" t="str">
        <f t="shared" si="6"/>
        <v>Caa1</v>
      </c>
      <c r="E68" s="137" t="s">
        <v>326</v>
      </c>
      <c r="F68" s="149" t="str">
        <f t="shared" si="7"/>
        <v>Caa1</v>
      </c>
      <c r="G68" s="246" t="str">
        <f t="shared" si="8"/>
        <v>B-</v>
      </c>
      <c r="H68" s="247" t="str">
        <f t="shared" si="9"/>
        <v>B-</v>
      </c>
      <c r="K68" s="100" t="s">
        <v>180</v>
      </c>
      <c r="L68" s="194" t="s">
        <v>46</v>
      </c>
      <c r="M68" s="194" t="s">
        <v>46</v>
      </c>
      <c r="N68" s="194"/>
      <c r="O68" s="99" t="s">
        <v>113</v>
      </c>
      <c r="P68" s="168" t="s">
        <v>586</v>
      </c>
      <c r="Q68" s="99" t="s">
        <v>179</v>
      </c>
      <c r="R68" s="243" t="s">
        <v>202</v>
      </c>
    </row>
    <row r="69" spans="1:18" ht="19">
      <c r="A69" s="46" t="s">
        <v>180</v>
      </c>
      <c r="B69" s="69" t="str">
        <f t="shared" si="5"/>
        <v>AA </v>
      </c>
      <c r="C69" s="157" t="str">
        <f t="shared" si="6"/>
        <v>Aa3</v>
      </c>
      <c r="E69" s="137" t="s">
        <v>180</v>
      </c>
      <c r="F69" s="149" t="str">
        <f t="shared" si="7"/>
        <v>Aa3</v>
      </c>
      <c r="G69" s="246" t="str">
        <f t="shared" si="8"/>
        <v>AA </v>
      </c>
      <c r="H69" s="247" t="str">
        <f t="shared" si="9"/>
        <v>AA-</v>
      </c>
      <c r="K69" s="100" t="s">
        <v>112</v>
      </c>
      <c r="L69" s="194" t="s">
        <v>46</v>
      </c>
      <c r="M69" s="194" t="s">
        <v>46</v>
      </c>
      <c r="N69" s="194"/>
      <c r="O69" s="99" t="s">
        <v>143</v>
      </c>
      <c r="P69" s="241" t="s">
        <v>203</v>
      </c>
      <c r="Q69" s="99" t="s">
        <v>396</v>
      </c>
      <c r="R69" s="243" t="s">
        <v>273</v>
      </c>
    </row>
    <row r="70" spans="1:18" ht="19">
      <c r="A70" s="46" t="s">
        <v>112</v>
      </c>
      <c r="B70" s="69" t="str">
        <f t="shared" si="5"/>
        <v>N/A</v>
      </c>
      <c r="C70" s="157" t="str">
        <f t="shared" si="6"/>
        <v>Aa3</v>
      </c>
      <c r="E70" s="137" t="s">
        <v>112</v>
      </c>
      <c r="F70" s="149" t="str">
        <f t="shared" si="7"/>
        <v>Aa3</v>
      </c>
      <c r="G70" s="246" t="str">
        <f t="shared" si="8"/>
        <v>N/A</v>
      </c>
      <c r="H70" s="247" t="e">
        <f t="shared" si="9"/>
        <v>#N/A</v>
      </c>
      <c r="K70" s="100" t="s">
        <v>113</v>
      </c>
      <c r="L70" s="194" t="s">
        <v>81</v>
      </c>
      <c r="M70" s="194" t="s">
        <v>81</v>
      </c>
      <c r="N70" s="194"/>
      <c r="O70" s="99" t="s">
        <v>442</v>
      </c>
      <c r="P70" s="241" t="s">
        <v>212</v>
      </c>
      <c r="Q70" s="99" t="s">
        <v>106</v>
      </c>
      <c r="R70" s="243" t="s">
        <v>212</v>
      </c>
    </row>
    <row r="71" spans="1:18" ht="19">
      <c r="A71" s="46" t="s">
        <v>113</v>
      </c>
      <c r="B71" s="69" t="str">
        <f t="shared" si="5"/>
        <v>A </v>
      </c>
      <c r="C71" s="157" t="str">
        <f t="shared" si="6"/>
        <v>Baa1</v>
      </c>
      <c r="E71" s="137" t="s">
        <v>113</v>
      </c>
      <c r="F71" s="149" t="str">
        <f t="shared" si="7"/>
        <v>Baa1</v>
      </c>
      <c r="G71" s="246" t="str">
        <f t="shared" si="8"/>
        <v>A </v>
      </c>
      <c r="H71" s="247" t="str">
        <f t="shared" si="9"/>
        <v>A</v>
      </c>
      <c r="K71" s="100" t="s">
        <v>143</v>
      </c>
      <c r="L71" s="194" t="s">
        <v>123</v>
      </c>
      <c r="M71" s="194" t="s">
        <v>123</v>
      </c>
      <c r="N71" s="194"/>
      <c r="O71" s="99" t="s">
        <v>114</v>
      </c>
      <c r="P71" s="241" t="s">
        <v>575</v>
      </c>
      <c r="Q71" s="99" t="s">
        <v>312</v>
      </c>
      <c r="R71" s="243" t="s">
        <v>273</v>
      </c>
    </row>
    <row r="72" spans="1:18" ht="19">
      <c r="A72" s="46" t="s">
        <v>143</v>
      </c>
      <c r="B72" s="69" t="str">
        <f t="shared" si="5"/>
        <v>BBB</v>
      </c>
      <c r="C72" s="157" t="str">
        <f t="shared" si="6"/>
        <v>Baa3</v>
      </c>
      <c r="E72" s="137" t="s">
        <v>143</v>
      </c>
      <c r="F72" s="149" t="str">
        <f t="shared" si="7"/>
        <v>Baa3</v>
      </c>
      <c r="G72" s="246" t="str">
        <f t="shared" si="8"/>
        <v>BBB</v>
      </c>
      <c r="H72" s="247" t="str">
        <f t="shared" si="9"/>
        <v>BBB</v>
      </c>
      <c r="K72" s="100" t="s">
        <v>114</v>
      </c>
      <c r="L72" s="194" t="s">
        <v>48</v>
      </c>
      <c r="M72" s="194" t="s">
        <v>48</v>
      </c>
      <c r="N72" s="194"/>
      <c r="O72" s="99" t="s">
        <v>115</v>
      </c>
      <c r="P72" s="168" t="s">
        <v>219</v>
      </c>
      <c r="Q72" s="99" t="s">
        <v>328</v>
      </c>
      <c r="R72" s="243" t="s">
        <v>273</v>
      </c>
    </row>
    <row r="73" spans="1:18" ht="19">
      <c r="A73" s="46" t="s">
        <v>114</v>
      </c>
      <c r="B73" s="69" t="str">
        <f t="shared" si="5"/>
        <v>BB- </v>
      </c>
      <c r="C73" s="157" t="str">
        <f t="shared" si="6"/>
        <v>B1</v>
      </c>
      <c r="E73" s="137" t="s">
        <v>114</v>
      </c>
      <c r="F73" s="149" t="str">
        <f t="shared" si="7"/>
        <v>B1</v>
      </c>
      <c r="G73" s="246" t="str">
        <f t="shared" si="8"/>
        <v>BB- </v>
      </c>
      <c r="H73" s="247" t="str">
        <f t="shared" si="9"/>
        <v>BB-</v>
      </c>
      <c r="K73" s="100" t="s">
        <v>115</v>
      </c>
      <c r="L73" s="194" t="s">
        <v>41</v>
      </c>
      <c r="M73" s="194" t="s">
        <v>41</v>
      </c>
      <c r="N73" s="194"/>
      <c r="O73" s="99" t="s">
        <v>116</v>
      </c>
      <c r="P73" s="241" t="s">
        <v>196</v>
      </c>
      <c r="Q73" s="99" t="s">
        <v>325</v>
      </c>
      <c r="R73" s="243" t="s">
        <v>273</v>
      </c>
    </row>
    <row r="74" spans="1:18" ht="19">
      <c r="A74" s="46" t="s">
        <v>115</v>
      </c>
      <c r="B74" s="69" t="str">
        <f t="shared" si="5"/>
        <v>A+</v>
      </c>
      <c r="C74" s="157" t="str">
        <f t="shared" si="6"/>
        <v>A1</v>
      </c>
      <c r="E74" s="137" t="s">
        <v>115</v>
      </c>
      <c r="F74" s="149" t="str">
        <f t="shared" si="7"/>
        <v>A1</v>
      </c>
      <c r="G74" s="246" t="str">
        <f t="shared" si="8"/>
        <v>A+</v>
      </c>
      <c r="H74" s="247" t="str">
        <f t="shared" si="9"/>
        <v>A</v>
      </c>
      <c r="K74" s="100" t="s">
        <v>435</v>
      </c>
      <c r="L74" s="194" t="s">
        <v>273</v>
      </c>
      <c r="M74" s="194" t="s">
        <v>273</v>
      </c>
      <c r="N74" s="194"/>
      <c r="O74" s="99" t="s">
        <v>117</v>
      </c>
      <c r="P74" s="241" t="s">
        <v>202</v>
      </c>
      <c r="Q74" s="99" t="s">
        <v>321</v>
      </c>
      <c r="R74" s="243" t="s">
        <v>273</v>
      </c>
    </row>
    <row r="75" spans="1:18" ht="19">
      <c r="A75" s="46" t="s">
        <v>286</v>
      </c>
      <c r="B75" s="69" t="str">
        <f t="shared" si="5"/>
        <v>AA</v>
      </c>
      <c r="C75" s="157" t="str">
        <f t="shared" si="6"/>
        <v>NR</v>
      </c>
      <c r="E75" s="137" t="s">
        <v>435</v>
      </c>
      <c r="F75" s="149" t="str">
        <f t="shared" si="7"/>
        <v>NR</v>
      </c>
      <c r="G75" s="246" t="s">
        <v>204</v>
      </c>
      <c r="H75" s="247" t="e">
        <f t="shared" si="9"/>
        <v>#N/A</v>
      </c>
      <c r="K75" s="100" t="s">
        <v>116</v>
      </c>
      <c r="L75" s="194" t="s">
        <v>80</v>
      </c>
      <c r="M75" s="194" t="s">
        <v>80</v>
      </c>
      <c r="N75" s="195"/>
      <c r="O75" s="99" t="s">
        <v>181</v>
      </c>
      <c r="P75" s="241" t="s">
        <v>197</v>
      </c>
      <c r="Q75" s="99" t="s">
        <v>107</v>
      </c>
      <c r="R75" s="243" t="s">
        <v>273</v>
      </c>
    </row>
    <row r="76" spans="1:18" ht="19">
      <c r="A76" s="46" t="s">
        <v>116</v>
      </c>
      <c r="B76" s="69" t="str">
        <f t="shared" si="5"/>
        <v>BB-</v>
      </c>
      <c r="C76" s="157" t="str">
        <f t="shared" si="6"/>
        <v>Ba3</v>
      </c>
      <c r="E76" s="137" t="s">
        <v>116</v>
      </c>
      <c r="F76" s="149" t="str">
        <f t="shared" si="7"/>
        <v>Ba3</v>
      </c>
      <c r="G76" s="246" t="str">
        <f t="shared" si="8"/>
        <v>BB-</v>
      </c>
      <c r="H76" s="247" t="str">
        <f t="shared" si="9"/>
        <v>BB-</v>
      </c>
      <c r="K76" s="237" t="s">
        <v>117</v>
      </c>
      <c r="L76" s="195" t="s">
        <v>81</v>
      </c>
      <c r="M76" s="195" t="s">
        <v>81</v>
      </c>
      <c r="N76" s="194"/>
      <c r="O76" s="99" t="s">
        <v>380</v>
      </c>
      <c r="P76" s="167"/>
      <c r="Q76" s="99" t="s">
        <v>59</v>
      </c>
      <c r="R76" s="243" t="s">
        <v>207</v>
      </c>
    </row>
    <row r="77" spans="1:18" ht="19">
      <c r="A77" s="46" t="s">
        <v>117</v>
      </c>
      <c r="B77" s="69" t="str">
        <f t="shared" si="5"/>
        <v>BBB-</v>
      </c>
      <c r="C77" s="157" t="str">
        <f t="shared" si="6"/>
        <v>Baa1</v>
      </c>
      <c r="E77" s="150" t="s">
        <v>117</v>
      </c>
      <c r="F77" s="149" t="str">
        <f t="shared" si="7"/>
        <v>Baa1</v>
      </c>
      <c r="G77" s="246" t="str">
        <f t="shared" si="8"/>
        <v>BBB-</v>
      </c>
      <c r="H77" s="247" t="str">
        <f t="shared" si="9"/>
        <v>BBB</v>
      </c>
      <c r="K77" s="100" t="s">
        <v>181</v>
      </c>
      <c r="L77" s="194" t="s">
        <v>99</v>
      </c>
      <c r="M77" s="194" t="s">
        <v>99</v>
      </c>
      <c r="N77" s="194"/>
      <c r="O77" s="99" t="s">
        <v>119</v>
      </c>
      <c r="P77" s="168" t="s">
        <v>219</v>
      </c>
      <c r="Q77" s="99" t="s">
        <v>108</v>
      </c>
      <c r="R77" s="243" t="s">
        <v>203</v>
      </c>
    </row>
    <row r="78" spans="1:18" ht="19">
      <c r="A78" s="46" t="s">
        <v>181</v>
      </c>
      <c r="B78" s="69" t="str">
        <f t="shared" si="5"/>
        <v>B-</v>
      </c>
      <c r="C78" s="157" t="str">
        <f t="shared" si="6"/>
        <v>Caa1</v>
      </c>
      <c r="E78" s="137" t="s">
        <v>181</v>
      </c>
      <c r="F78" s="149" t="str">
        <f t="shared" si="7"/>
        <v>Caa1</v>
      </c>
      <c r="G78" s="246" t="str">
        <f t="shared" si="8"/>
        <v>B-</v>
      </c>
      <c r="H78" s="247" t="str">
        <f t="shared" si="9"/>
        <v>B-</v>
      </c>
      <c r="K78" s="100" t="s">
        <v>118</v>
      </c>
      <c r="L78" s="194" t="s">
        <v>45</v>
      </c>
      <c r="M78" s="194" t="s">
        <v>45</v>
      </c>
      <c r="N78" s="194"/>
      <c r="O78" s="99" t="s">
        <v>345</v>
      </c>
      <c r="P78" s="167" t="s">
        <v>273</v>
      </c>
      <c r="Q78" s="99" t="s">
        <v>109</v>
      </c>
      <c r="R78" s="243" t="s">
        <v>221</v>
      </c>
    </row>
    <row r="79" spans="1:18" ht="19">
      <c r="A79" s="46" t="s">
        <v>118</v>
      </c>
      <c r="B79" s="69" t="e">
        <f t="shared" si="5"/>
        <v>#N/A</v>
      </c>
      <c r="C79" s="157" t="str">
        <f t="shared" si="6"/>
        <v>Aa2</v>
      </c>
      <c r="E79" s="137" t="s">
        <v>118</v>
      </c>
      <c r="F79" s="149" t="str">
        <f t="shared" si="7"/>
        <v>Aa2</v>
      </c>
      <c r="G79" s="246" t="e">
        <f t="shared" si="8"/>
        <v>#N/A</v>
      </c>
      <c r="H79" s="247" t="e">
        <f t="shared" si="9"/>
        <v>#N/A</v>
      </c>
      <c r="K79" s="100" t="s">
        <v>119</v>
      </c>
      <c r="L79" s="194" t="s">
        <v>41</v>
      </c>
      <c r="M79" s="194" t="s">
        <v>41</v>
      </c>
      <c r="N79" s="194"/>
      <c r="O79" s="99" t="s">
        <v>337</v>
      </c>
      <c r="P79" s="167"/>
      <c r="Q79" s="99" t="s">
        <v>110</v>
      </c>
      <c r="R79" s="243" t="s">
        <v>202</v>
      </c>
    </row>
    <row r="80" spans="1:18" ht="19">
      <c r="A80" s="46" t="s">
        <v>119</v>
      </c>
      <c r="B80" s="69" t="str">
        <f t="shared" si="5"/>
        <v>A+</v>
      </c>
      <c r="C80" s="157" t="str">
        <f t="shared" si="6"/>
        <v>A1</v>
      </c>
      <c r="E80" s="137" t="s">
        <v>119</v>
      </c>
      <c r="F80" s="149" t="str">
        <f t="shared" si="7"/>
        <v>A1</v>
      </c>
      <c r="G80" s="246" t="str">
        <f t="shared" si="8"/>
        <v>A+</v>
      </c>
      <c r="H80" s="247" t="str">
        <f t="shared" si="9"/>
        <v>AA-</v>
      </c>
      <c r="K80" s="100" t="s">
        <v>346</v>
      </c>
      <c r="L80" s="194" t="s">
        <v>77</v>
      </c>
      <c r="M80" s="194" t="s">
        <v>77</v>
      </c>
      <c r="N80" s="194"/>
      <c r="O80" s="99" t="s">
        <v>120</v>
      </c>
      <c r="P80" s="168" t="s">
        <v>221</v>
      </c>
      <c r="Q80" s="99" t="s">
        <v>111</v>
      </c>
      <c r="R80" s="243" t="s">
        <v>203</v>
      </c>
    </row>
    <row r="81" spans="1:18" ht="19">
      <c r="A81" t="s">
        <v>345</v>
      </c>
      <c r="B81" s="69" t="e">
        <f t="shared" si="5"/>
        <v>#N/A</v>
      </c>
      <c r="C81" s="157" t="str">
        <f t="shared" si="6"/>
        <v>B3</v>
      </c>
      <c r="E81" s="137" t="s">
        <v>346</v>
      </c>
      <c r="F81" s="149" t="str">
        <f t="shared" si="7"/>
        <v>B3</v>
      </c>
      <c r="G81" s="246" t="e">
        <f t="shared" si="8"/>
        <v>#N/A</v>
      </c>
      <c r="H81" s="247" t="e">
        <f t="shared" si="9"/>
        <v>#N/A</v>
      </c>
      <c r="K81" s="100" t="s">
        <v>337</v>
      </c>
      <c r="L81" s="194" t="s">
        <v>62</v>
      </c>
      <c r="M81" s="194" t="s">
        <v>62</v>
      </c>
      <c r="N81" s="194"/>
      <c r="O81" s="99" t="s">
        <v>121</v>
      </c>
      <c r="P81" s="167" t="s">
        <v>587</v>
      </c>
      <c r="Q81" s="99" t="s">
        <v>323</v>
      </c>
      <c r="R81" s="244" t="s">
        <v>273</v>
      </c>
    </row>
    <row r="82" spans="1:18" ht="19">
      <c r="A82" t="str">
        <f>E82</f>
        <v>Laos</v>
      </c>
      <c r="B82" s="69">
        <f t="shared" si="5"/>
        <v>0</v>
      </c>
      <c r="C82" s="157" t="str">
        <f t="shared" si="6"/>
        <v>Caa3</v>
      </c>
      <c r="E82" s="137" t="s">
        <v>337</v>
      </c>
      <c r="F82" s="149" t="str">
        <f t="shared" si="7"/>
        <v>Caa3</v>
      </c>
      <c r="G82" s="246">
        <f t="shared" si="8"/>
        <v>0</v>
      </c>
      <c r="H82" s="247" t="str">
        <f t="shared" si="9"/>
        <v>CCC-</v>
      </c>
      <c r="K82" s="100" t="s">
        <v>120</v>
      </c>
      <c r="L82" s="194" t="s">
        <v>43</v>
      </c>
      <c r="M82" s="194" t="s">
        <v>43</v>
      </c>
      <c r="N82" s="194"/>
      <c r="O82" s="99" t="s">
        <v>387</v>
      </c>
      <c r="P82" s="167"/>
      <c r="Q82" s="99" t="s">
        <v>326</v>
      </c>
      <c r="R82" s="243" t="s">
        <v>197</v>
      </c>
    </row>
    <row r="83" spans="1:18" ht="19">
      <c r="A83" s="46" t="s">
        <v>120</v>
      </c>
      <c r="B83" s="69" t="str">
        <f t="shared" si="5"/>
        <v>A</v>
      </c>
      <c r="C83" s="157" t="str">
        <f t="shared" si="6"/>
        <v>A3</v>
      </c>
      <c r="E83" s="137" t="s">
        <v>120</v>
      </c>
      <c r="F83" s="149" t="str">
        <f t="shared" si="7"/>
        <v>A3</v>
      </c>
      <c r="G83" s="246" t="str">
        <f t="shared" si="8"/>
        <v>A</v>
      </c>
      <c r="H83" s="247" t="str">
        <f t="shared" si="9"/>
        <v>A-</v>
      </c>
      <c r="K83" s="100" t="s">
        <v>121</v>
      </c>
      <c r="L83" s="194" t="s">
        <v>136</v>
      </c>
      <c r="M83" s="194" t="s">
        <v>136</v>
      </c>
      <c r="N83" s="194"/>
      <c r="O83" s="99" t="s">
        <v>220</v>
      </c>
      <c r="P83" s="168" t="s">
        <v>200</v>
      </c>
      <c r="Q83" s="99" t="s">
        <v>180</v>
      </c>
      <c r="R83" s="243" t="s">
        <v>207</v>
      </c>
    </row>
    <row r="84" spans="1:18" ht="19">
      <c r="A84" s="46" t="s">
        <v>121</v>
      </c>
      <c r="B84" s="69" t="str">
        <f t="shared" si="5"/>
        <v>D</v>
      </c>
      <c r="C84" s="157" t="str">
        <f t="shared" si="6"/>
        <v>C</v>
      </c>
      <c r="E84" s="137" t="s">
        <v>121</v>
      </c>
      <c r="F84" s="149" t="str">
        <f t="shared" si="7"/>
        <v>C</v>
      </c>
      <c r="G84" s="246" t="str">
        <f t="shared" si="8"/>
        <v>D</v>
      </c>
      <c r="H84" s="247" t="str">
        <f t="shared" si="9"/>
        <v>NR</v>
      </c>
      <c r="K84" s="100" t="s">
        <v>220</v>
      </c>
      <c r="L84" s="194" t="s">
        <v>502</v>
      </c>
      <c r="M84" s="194" t="s">
        <v>502</v>
      </c>
      <c r="N84" s="194"/>
      <c r="O84" s="99" t="s">
        <v>13</v>
      </c>
      <c r="P84" s="168" t="s">
        <v>221</v>
      </c>
      <c r="Q84" s="99" t="s">
        <v>113</v>
      </c>
      <c r="R84" s="243" t="s">
        <v>221</v>
      </c>
    </row>
    <row r="85" spans="1:18" ht="19">
      <c r="A85" s="46" t="s">
        <v>220</v>
      </c>
      <c r="B85" s="69" t="str">
        <f t="shared" si="5"/>
        <v>AAA</v>
      </c>
      <c r="C85" s="157" t="str">
        <f t="shared" si="6"/>
        <v>NR</v>
      </c>
      <c r="E85" s="137" t="s">
        <v>220</v>
      </c>
      <c r="F85" s="149" t="s">
        <v>273</v>
      </c>
      <c r="G85" s="246" t="str">
        <f t="shared" si="8"/>
        <v>AAA</v>
      </c>
      <c r="H85" s="247" t="str">
        <f t="shared" si="9"/>
        <v>NR</v>
      </c>
      <c r="K85" s="100" t="s">
        <v>13</v>
      </c>
      <c r="L85" s="194" t="s">
        <v>42</v>
      </c>
      <c r="M85" s="194" t="s">
        <v>42</v>
      </c>
      <c r="N85" s="194"/>
      <c r="O85" s="99" t="s">
        <v>182</v>
      </c>
      <c r="P85" s="168" t="s">
        <v>200</v>
      </c>
      <c r="Q85" s="99" t="s">
        <v>143</v>
      </c>
      <c r="R85" s="243" t="s">
        <v>203</v>
      </c>
    </row>
    <row r="86" spans="1:18" ht="19">
      <c r="A86" s="46" t="s">
        <v>13</v>
      </c>
      <c r="B86" s="69" t="str">
        <f t="shared" si="5"/>
        <v>A</v>
      </c>
      <c r="C86" s="157" t="str">
        <f t="shared" si="6"/>
        <v>A2</v>
      </c>
      <c r="E86" s="137" t="s">
        <v>13</v>
      </c>
      <c r="F86" s="149" t="str">
        <f t="shared" si="7"/>
        <v>A2</v>
      </c>
      <c r="G86" s="246" t="str">
        <f t="shared" si="8"/>
        <v>A</v>
      </c>
      <c r="H86" s="247" t="str">
        <f t="shared" si="9"/>
        <v>A</v>
      </c>
      <c r="K86" s="100" t="s">
        <v>182</v>
      </c>
      <c r="L86" s="194" t="s">
        <v>47</v>
      </c>
      <c r="M86" s="194" t="s">
        <v>47</v>
      </c>
      <c r="N86" s="194"/>
      <c r="O86" s="99" t="s">
        <v>347</v>
      </c>
      <c r="P86" s="167"/>
      <c r="Q86" s="99" t="s">
        <v>114</v>
      </c>
      <c r="R86" s="243" t="s">
        <v>196</v>
      </c>
    </row>
    <row r="87" spans="1:18" ht="19">
      <c r="A87" s="46" t="s">
        <v>182</v>
      </c>
      <c r="B87" s="69" t="str">
        <f t="shared" si="5"/>
        <v>AAA</v>
      </c>
      <c r="C87" s="157" t="str">
        <f t="shared" si="6"/>
        <v>Aaa</v>
      </c>
      <c r="E87" s="137" t="s">
        <v>182</v>
      </c>
      <c r="F87" s="149" t="str">
        <f t="shared" si="7"/>
        <v>Aaa</v>
      </c>
      <c r="G87" s="246" t="str">
        <f t="shared" si="8"/>
        <v>AAA</v>
      </c>
      <c r="H87" s="247" t="str">
        <f t="shared" si="9"/>
        <v>AAA</v>
      </c>
      <c r="K87" s="100" t="s">
        <v>485</v>
      </c>
      <c r="L87" s="194" t="s">
        <v>46</v>
      </c>
      <c r="M87" s="194" t="s">
        <v>46</v>
      </c>
      <c r="N87" s="194"/>
      <c r="O87" s="99" t="s">
        <v>144</v>
      </c>
      <c r="P87" s="241" t="s">
        <v>196</v>
      </c>
      <c r="Q87" s="99" t="s">
        <v>115</v>
      </c>
      <c r="R87" s="243" t="s">
        <v>221</v>
      </c>
    </row>
    <row r="88" spans="1:18" ht="19">
      <c r="A88" s="46" t="s">
        <v>32</v>
      </c>
      <c r="B88" s="69" t="e">
        <f t="shared" si="5"/>
        <v>#N/A</v>
      </c>
      <c r="C88" s="157" t="str">
        <f t="shared" si="6"/>
        <v>Aa3</v>
      </c>
      <c r="E88" s="137" t="s">
        <v>32</v>
      </c>
      <c r="F88" s="149" t="s">
        <v>46</v>
      </c>
      <c r="G88" s="246" t="e">
        <f t="shared" si="8"/>
        <v>#N/A</v>
      </c>
      <c r="H88" s="247" t="e">
        <f t="shared" si="9"/>
        <v>#N/A</v>
      </c>
      <c r="K88" s="100" t="s">
        <v>14</v>
      </c>
      <c r="L88" s="194" t="s">
        <v>43</v>
      </c>
      <c r="M88" s="194" t="s">
        <v>43</v>
      </c>
      <c r="N88" s="194"/>
      <c r="O88" s="99" t="s">
        <v>331</v>
      </c>
      <c r="P88" s="241" t="s">
        <v>197</v>
      </c>
      <c r="Q88" s="99" t="s">
        <v>116</v>
      </c>
      <c r="R88" s="243" t="s">
        <v>196</v>
      </c>
    </row>
    <row r="89" spans="1:18" ht="19">
      <c r="A89" s="46" t="s">
        <v>144</v>
      </c>
      <c r="B89" s="69" t="str">
        <f t="shared" si="5"/>
        <v>BB-</v>
      </c>
      <c r="C89" s="157" t="str">
        <f t="shared" si="6"/>
        <v>NR</v>
      </c>
      <c r="E89" s="155" t="s">
        <v>144</v>
      </c>
      <c r="F89" s="149" t="s">
        <v>273</v>
      </c>
      <c r="G89" s="246" t="str">
        <f t="shared" si="8"/>
        <v>BB-</v>
      </c>
      <c r="H89" s="247" t="e">
        <f t="shared" si="9"/>
        <v>#N/A</v>
      </c>
      <c r="K89" s="100" t="s">
        <v>383</v>
      </c>
      <c r="L89" s="194" t="s">
        <v>58</v>
      </c>
      <c r="M89" s="194" t="s">
        <v>58</v>
      </c>
      <c r="N89" s="194"/>
      <c r="O89" s="99" t="s">
        <v>14</v>
      </c>
      <c r="P89" s="168" t="s">
        <v>195</v>
      </c>
      <c r="Q89" s="99" t="s">
        <v>117</v>
      </c>
      <c r="R89" s="243" t="s">
        <v>203</v>
      </c>
    </row>
    <row r="90" spans="1:18" ht="19">
      <c r="A90" s="46" t="s">
        <v>14</v>
      </c>
      <c r="B90" s="69" t="str">
        <f t="shared" si="5"/>
        <v>A-</v>
      </c>
      <c r="C90" s="157" t="str">
        <f t="shared" si="6"/>
        <v>A3</v>
      </c>
      <c r="E90" s="137" t="s">
        <v>14</v>
      </c>
      <c r="F90" s="149" t="str">
        <f t="shared" si="7"/>
        <v>A3</v>
      </c>
      <c r="G90" s="246" t="str">
        <f t="shared" si="8"/>
        <v>A-</v>
      </c>
      <c r="H90" s="247" t="str">
        <f t="shared" si="9"/>
        <v>BBB+</v>
      </c>
      <c r="K90" s="100" t="s">
        <v>320</v>
      </c>
      <c r="L90" s="194" t="s">
        <v>58</v>
      </c>
      <c r="M90" s="194" t="s">
        <v>58</v>
      </c>
      <c r="N90" s="194"/>
      <c r="O90" s="99" t="s">
        <v>383</v>
      </c>
      <c r="P90" s="167"/>
      <c r="Q90" s="99" t="s">
        <v>181</v>
      </c>
      <c r="R90" s="243" t="s">
        <v>197</v>
      </c>
    </row>
    <row r="91" spans="1:18" ht="19">
      <c r="A91" s="46" t="s">
        <v>383</v>
      </c>
      <c r="B91" s="69">
        <f t="shared" si="5"/>
        <v>0</v>
      </c>
      <c r="C91" s="157" t="str">
        <f t="shared" si="6"/>
        <v>Caa2</v>
      </c>
      <c r="E91" s="137" t="s">
        <v>383</v>
      </c>
      <c r="F91" s="149" t="str">
        <f t="shared" si="7"/>
        <v>Caa2</v>
      </c>
      <c r="G91" s="246">
        <f t="shared" si="8"/>
        <v>0</v>
      </c>
      <c r="H91" s="247" t="str">
        <f t="shared" si="9"/>
        <v>CC</v>
      </c>
      <c r="K91" s="100" t="s">
        <v>183</v>
      </c>
      <c r="L91" s="194" t="s">
        <v>42</v>
      </c>
      <c r="M91" s="194" t="s">
        <v>42</v>
      </c>
      <c r="N91" s="194"/>
      <c r="O91" s="99" t="s">
        <v>320</v>
      </c>
      <c r="P91" s="167"/>
      <c r="Q91" s="99" t="s">
        <v>408</v>
      </c>
      <c r="R91" s="243" t="s">
        <v>273</v>
      </c>
    </row>
    <row r="92" spans="1:18" ht="19">
      <c r="A92" s="134" t="s">
        <v>320</v>
      </c>
      <c r="B92" s="69">
        <f t="shared" si="5"/>
        <v>0</v>
      </c>
      <c r="C92" s="157" t="str">
        <f t="shared" si="6"/>
        <v>Caa2</v>
      </c>
      <c r="E92" s="137" t="s">
        <v>320</v>
      </c>
      <c r="F92" s="149" t="str">
        <f t="shared" si="7"/>
        <v>Caa2</v>
      </c>
      <c r="G92" s="246">
        <f t="shared" si="8"/>
        <v>0</v>
      </c>
      <c r="H92" s="247" t="str">
        <f t="shared" si="9"/>
        <v>NR</v>
      </c>
      <c r="K92" s="100" t="s">
        <v>15</v>
      </c>
      <c r="L92" s="194" t="s">
        <v>123</v>
      </c>
      <c r="M92" s="194" t="s">
        <v>123</v>
      </c>
      <c r="N92" s="194"/>
      <c r="O92" s="99" t="s">
        <v>183</v>
      </c>
      <c r="P92" s="168" t="s">
        <v>195</v>
      </c>
      <c r="Q92" s="99" t="s">
        <v>597</v>
      </c>
      <c r="R92" s="243" t="s">
        <v>273</v>
      </c>
    </row>
    <row r="93" spans="1:18" ht="19">
      <c r="A93" s="46" t="s">
        <v>183</v>
      </c>
      <c r="B93" s="69" t="str">
        <f t="shared" si="5"/>
        <v>A-</v>
      </c>
      <c r="C93" s="157" t="str">
        <f t="shared" si="6"/>
        <v>A2</v>
      </c>
      <c r="E93" s="137" t="s">
        <v>183</v>
      </c>
      <c r="F93" s="149" t="str">
        <f t="shared" si="7"/>
        <v>A2</v>
      </c>
      <c r="G93" s="246" t="str">
        <f t="shared" si="8"/>
        <v>A-</v>
      </c>
      <c r="H93" s="247" t="str">
        <f t="shared" si="9"/>
        <v>A+</v>
      </c>
      <c r="K93" s="100" t="s">
        <v>16</v>
      </c>
      <c r="L93" s="194" t="s">
        <v>82</v>
      </c>
      <c r="M93" s="194" t="s">
        <v>82</v>
      </c>
      <c r="N93" s="194"/>
      <c r="O93" s="99" t="s">
        <v>15</v>
      </c>
      <c r="P93" s="241" t="s">
        <v>202</v>
      </c>
      <c r="Q93" s="99" t="s">
        <v>592</v>
      </c>
      <c r="R93" s="243" t="s">
        <v>207</v>
      </c>
    </row>
    <row r="94" spans="1:18" ht="19">
      <c r="A94" s="46" t="s">
        <v>15</v>
      </c>
      <c r="B94" s="69" t="str">
        <f t="shared" si="5"/>
        <v>BBB-</v>
      </c>
      <c r="C94" s="157" t="str">
        <f t="shared" si="6"/>
        <v>Baa3</v>
      </c>
      <c r="E94" s="137" t="s">
        <v>15</v>
      </c>
      <c r="F94" s="149" t="str">
        <f t="shared" si="7"/>
        <v>Baa3</v>
      </c>
      <c r="G94" s="246" t="str">
        <f t="shared" si="8"/>
        <v>BBB-</v>
      </c>
      <c r="H94" s="247" t="str">
        <f t="shared" si="9"/>
        <v>NR</v>
      </c>
      <c r="K94" s="100" t="s">
        <v>17</v>
      </c>
      <c r="L94" s="194" t="s">
        <v>77</v>
      </c>
      <c r="M94" s="194" t="s">
        <v>77</v>
      </c>
      <c r="N94" s="194"/>
      <c r="O94" s="99" t="s">
        <v>16</v>
      </c>
      <c r="P94" s="241" t="s">
        <v>203</v>
      </c>
      <c r="Q94" s="99" t="s">
        <v>380</v>
      </c>
      <c r="R94" s="243" t="s">
        <v>273</v>
      </c>
    </row>
    <row r="95" spans="1:18" ht="19">
      <c r="A95" s="46" t="s">
        <v>16</v>
      </c>
      <c r="B95" s="69" t="str">
        <f t="shared" si="5"/>
        <v>BBB</v>
      </c>
      <c r="C95" s="157" t="str">
        <f t="shared" si="6"/>
        <v>Baa2</v>
      </c>
      <c r="E95" s="137" t="s">
        <v>16</v>
      </c>
      <c r="F95" s="149" t="str">
        <f t="shared" si="7"/>
        <v>Baa2</v>
      </c>
      <c r="G95" s="246" t="str">
        <f t="shared" si="8"/>
        <v>BBB</v>
      </c>
      <c r="H95" s="247" t="str">
        <f t="shared" si="9"/>
        <v>BBB-</v>
      </c>
      <c r="K95" s="100" t="s">
        <v>63</v>
      </c>
      <c r="L95" s="194" t="s">
        <v>49</v>
      </c>
      <c r="M95" s="194" t="s">
        <v>49</v>
      </c>
      <c r="N95" s="194"/>
      <c r="O95" s="99" t="s">
        <v>17</v>
      </c>
      <c r="P95" s="167"/>
      <c r="Q95" s="99" t="s">
        <v>119</v>
      </c>
      <c r="R95" s="243" t="s">
        <v>207</v>
      </c>
    </row>
    <row r="96" spans="1:18" ht="19">
      <c r="A96" s="46" t="s">
        <v>17</v>
      </c>
      <c r="B96" s="69">
        <f t="shared" si="5"/>
        <v>0</v>
      </c>
      <c r="C96" s="157" t="str">
        <f t="shared" si="6"/>
        <v>B3</v>
      </c>
      <c r="E96" s="137" t="s">
        <v>17</v>
      </c>
      <c r="F96" s="149" t="str">
        <f t="shared" si="7"/>
        <v>B3</v>
      </c>
      <c r="G96" s="246">
        <f t="shared" si="8"/>
        <v>0</v>
      </c>
      <c r="H96" s="247" t="str">
        <f t="shared" si="9"/>
        <v>B+</v>
      </c>
      <c r="K96" s="100" t="s">
        <v>8</v>
      </c>
      <c r="L96" s="194" t="s">
        <v>80</v>
      </c>
      <c r="M96" s="194" t="s">
        <v>80</v>
      </c>
      <c r="N96" s="194"/>
      <c r="O96" s="99" t="s">
        <v>63</v>
      </c>
      <c r="P96" s="241" t="s">
        <v>588</v>
      </c>
      <c r="Q96" s="99" t="s">
        <v>345</v>
      </c>
      <c r="R96" s="243" t="s">
        <v>273</v>
      </c>
    </row>
    <row r="97" spans="1:18" ht="19">
      <c r="A97" s="46" t="s">
        <v>63</v>
      </c>
      <c r="B97" s="69" t="str">
        <f t="shared" si="5"/>
        <v>B+ </v>
      </c>
      <c r="C97" s="157" t="str">
        <f t="shared" si="6"/>
        <v>B2</v>
      </c>
      <c r="E97" s="137" t="s">
        <v>63</v>
      </c>
      <c r="F97" s="149" t="str">
        <f t="shared" si="7"/>
        <v>B2</v>
      </c>
      <c r="G97" s="246" t="str">
        <f t="shared" si="8"/>
        <v>B+ </v>
      </c>
      <c r="H97" s="247" t="str">
        <f t="shared" si="9"/>
        <v>B+</v>
      </c>
      <c r="K97" s="100" t="s">
        <v>18</v>
      </c>
      <c r="L97" s="194" t="s">
        <v>78</v>
      </c>
      <c r="M97" s="194" t="s">
        <v>78</v>
      </c>
      <c r="N97" s="194"/>
      <c r="O97" s="99" t="s">
        <v>8</v>
      </c>
      <c r="P97" s="241" t="s">
        <v>193</v>
      </c>
      <c r="Q97" s="99" t="s">
        <v>337</v>
      </c>
      <c r="R97" s="243" t="s">
        <v>233</v>
      </c>
    </row>
    <row r="98" spans="1:18" ht="19">
      <c r="A98" s="46" t="s">
        <v>8</v>
      </c>
      <c r="B98" s="69" t="str">
        <f t="shared" si="5"/>
        <v>B+</v>
      </c>
      <c r="C98" s="157" t="str">
        <f t="shared" si="6"/>
        <v>B1</v>
      </c>
      <c r="E98" s="137" t="s">
        <v>8</v>
      </c>
      <c r="F98" s="149" t="s">
        <v>48</v>
      </c>
      <c r="G98" s="246" t="str">
        <f t="shared" si="8"/>
        <v>B+</v>
      </c>
      <c r="H98" s="247" t="str">
        <f t="shared" si="9"/>
        <v>NR</v>
      </c>
      <c r="K98" s="238" t="s">
        <v>223</v>
      </c>
      <c r="L98" s="194" t="s">
        <v>58</v>
      </c>
      <c r="M98" s="194" t="s">
        <v>58</v>
      </c>
      <c r="N98" s="194"/>
      <c r="O98" s="99" t="s">
        <v>222</v>
      </c>
      <c r="P98" s="241" t="s">
        <v>202</v>
      </c>
      <c r="Q98" s="99" t="s">
        <v>120</v>
      </c>
      <c r="R98" s="243" t="s">
        <v>195</v>
      </c>
    </row>
    <row r="99" spans="1:18" ht="19">
      <c r="A99" s="46" t="s">
        <v>222</v>
      </c>
      <c r="B99" s="69" t="str">
        <f t="shared" si="5"/>
        <v>BBB-</v>
      </c>
      <c r="C99" s="157" t="str">
        <f t="shared" si="6"/>
        <v>NR</v>
      </c>
      <c r="E99" s="155" t="s">
        <v>222</v>
      </c>
      <c r="F99" s="149" t="s">
        <v>273</v>
      </c>
      <c r="G99" s="246" t="str">
        <f t="shared" si="8"/>
        <v>BBB-</v>
      </c>
      <c r="H99" s="247" t="e">
        <f t="shared" si="9"/>
        <v>#N/A</v>
      </c>
      <c r="K99" s="100" t="s">
        <v>135</v>
      </c>
      <c r="L99" s="194" t="s">
        <v>48</v>
      </c>
      <c r="M99" s="194" t="s">
        <v>48</v>
      </c>
      <c r="N99" s="194"/>
      <c r="O99" s="99" t="s">
        <v>18</v>
      </c>
      <c r="P99" s="241" t="s">
        <v>579</v>
      </c>
      <c r="Q99" s="99" t="s">
        <v>121</v>
      </c>
      <c r="R99" s="243" t="s">
        <v>273</v>
      </c>
    </row>
    <row r="100" spans="1:18" ht="19">
      <c r="A100" s="46" t="s">
        <v>18</v>
      </c>
      <c r="B100" s="69" t="str">
        <f t="shared" si="5"/>
        <v>BB+ </v>
      </c>
      <c r="C100" s="157" t="str">
        <f t="shared" si="6"/>
        <v>Ba1</v>
      </c>
      <c r="E100" s="137" t="s">
        <v>18</v>
      </c>
      <c r="F100" s="149" t="str">
        <f t="shared" si="7"/>
        <v>Ba1</v>
      </c>
      <c r="G100" s="246" t="str">
        <f t="shared" si="8"/>
        <v>BB+ </v>
      </c>
      <c r="H100" s="247" t="str">
        <f t="shared" si="9"/>
        <v>BB+</v>
      </c>
      <c r="K100" s="100" t="s">
        <v>184</v>
      </c>
      <c r="L100" s="194" t="s">
        <v>47</v>
      </c>
      <c r="M100" s="194" t="s">
        <v>47</v>
      </c>
      <c r="N100" s="194"/>
      <c r="O100" s="99" t="s">
        <v>223</v>
      </c>
      <c r="P100" s="167" t="s">
        <v>215</v>
      </c>
      <c r="Q100" s="99" t="s">
        <v>387</v>
      </c>
      <c r="R100" s="243" t="s">
        <v>206</v>
      </c>
    </row>
    <row r="101" spans="1:18" ht="19">
      <c r="A101" s="46" t="s">
        <v>223</v>
      </c>
      <c r="B101" s="69" t="str">
        <f t="shared" si="5"/>
        <v>CCC+</v>
      </c>
      <c r="C101" s="157" t="str">
        <f t="shared" si="6"/>
        <v>Caa2</v>
      </c>
      <c r="E101" s="151" t="s">
        <v>223</v>
      </c>
      <c r="F101" s="149" t="str">
        <f t="shared" si="7"/>
        <v>Caa2</v>
      </c>
      <c r="G101" s="246" t="str">
        <f t="shared" si="8"/>
        <v>CCC+</v>
      </c>
      <c r="H101" s="247" t="str">
        <f t="shared" si="9"/>
        <v>CCC</v>
      </c>
      <c r="K101" s="100" t="s">
        <v>21</v>
      </c>
      <c r="L101" s="194" t="s">
        <v>47</v>
      </c>
      <c r="M101" s="194" t="s">
        <v>47</v>
      </c>
      <c r="N101" s="194"/>
      <c r="O101" s="99" t="s">
        <v>135</v>
      </c>
      <c r="P101" s="167"/>
      <c r="Q101" s="99" t="s">
        <v>313</v>
      </c>
      <c r="R101" s="243" t="s">
        <v>273</v>
      </c>
    </row>
    <row r="102" spans="1:18" ht="19">
      <c r="A102" s="46" t="s">
        <v>135</v>
      </c>
      <c r="B102" s="69">
        <f t="shared" si="5"/>
        <v>0</v>
      </c>
      <c r="C102" s="157" t="str">
        <f t="shared" si="6"/>
        <v>B1</v>
      </c>
      <c r="E102" s="137" t="s">
        <v>135</v>
      </c>
      <c r="F102" s="149" t="str">
        <f t="shared" si="7"/>
        <v>B1</v>
      </c>
      <c r="G102" s="246">
        <f t="shared" si="8"/>
        <v>0</v>
      </c>
      <c r="H102" s="247" t="str">
        <f t="shared" si="9"/>
        <v>BB</v>
      </c>
      <c r="K102" s="100" t="s">
        <v>22</v>
      </c>
      <c r="L102" s="194" t="s">
        <v>49</v>
      </c>
      <c r="M102" s="194" t="s">
        <v>49</v>
      </c>
      <c r="N102" s="194"/>
      <c r="O102" s="99" t="s">
        <v>373</v>
      </c>
      <c r="P102" s="167"/>
      <c r="Q102" s="99" t="s">
        <v>317</v>
      </c>
      <c r="R102" s="244" t="s">
        <v>273</v>
      </c>
    </row>
    <row r="103" spans="1:18" ht="19">
      <c r="A103" s="46" t="s">
        <v>373</v>
      </c>
      <c r="B103" s="69" t="str">
        <f t="shared" ref="B103" si="10">G103</f>
        <v>NR</v>
      </c>
      <c r="C103" s="157" t="str">
        <f t="shared" ref="C103" si="11">F103</f>
        <v>NR</v>
      </c>
      <c r="E103" s="137" t="s">
        <v>373</v>
      </c>
      <c r="F103" s="149" t="s">
        <v>273</v>
      </c>
      <c r="G103" s="246" t="s">
        <v>273</v>
      </c>
      <c r="H103" s="247" t="str">
        <f t="shared" si="9"/>
        <v>BB-</v>
      </c>
      <c r="K103" s="100" t="s">
        <v>316</v>
      </c>
      <c r="L103" s="194" t="s">
        <v>62</v>
      </c>
      <c r="M103" s="194" t="s">
        <v>62</v>
      </c>
      <c r="N103" s="194"/>
      <c r="O103" s="99" t="s">
        <v>184</v>
      </c>
      <c r="P103" s="168" t="s">
        <v>200</v>
      </c>
      <c r="Q103" s="99" t="s">
        <v>220</v>
      </c>
      <c r="R103" s="243" t="s">
        <v>273</v>
      </c>
    </row>
    <row r="104" spans="1:18" ht="19">
      <c r="A104" s="46" t="s">
        <v>184</v>
      </c>
      <c r="B104" s="69" t="str">
        <f t="shared" ref="B104:B119" si="12">G104</f>
        <v>AAA</v>
      </c>
      <c r="C104" s="157" t="str">
        <f t="shared" ref="C104:C119" si="13">F104</f>
        <v>Aaa</v>
      </c>
      <c r="E104" s="137" t="s">
        <v>184</v>
      </c>
      <c r="F104" s="149" t="str">
        <f t="shared" si="7"/>
        <v>Aaa</v>
      </c>
      <c r="G104" s="246" t="str">
        <f t="shared" si="8"/>
        <v>AAA</v>
      </c>
      <c r="H104" s="247" t="str">
        <f t="shared" si="9"/>
        <v>AAA</v>
      </c>
      <c r="K104" s="100" t="s">
        <v>185</v>
      </c>
      <c r="L104" s="194" t="s">
        <v>99</v>
      </c>
      <c r="M104" s="194" t="s">
        <v>99</v>
      </c>
      <c r="N104" s="194"/>
      <c r="O104" s="99" t="s">
        <v>21</v>
      </c>
      <c r="P104" s="168" t="s">
        <v>201</v>
      </c>
      <c r="Q104" s="99" t="s">
        <v>13</v>
      </c>
      <c r="R104" s="243" t="s">
        <v>221</v>
      </c>
    </row>
    <row r="105" spans="1:18" ht="19">
      <c r="A105" s="46" t="s">
        <v>21</v>
      </c>
      <c r="B105" s="69" t="str">
        <f t="shared" si="12"/>
        <v>AA+</v>
      </c>
      <c r="C105" s="157" t="str">
        <f t="shared" si="13"/>
        <v>Aaa</v>
      </c>
      <c r="E105" s="137" t="s">
        <v>21</v>
      </c>
      <c r="F105" s="149" t="str">
        <f t="shared" si="7"/>
        <v>Aaa</v>
      </c>
      <c r="G105" s="246" t="str">
        <f t="shared" si="8"/>
        <v>AA+</v>
      </c>
      <c r="H105" s="247" t="str">
        <f t="shared" si="9"/>
        <v>AA+</v>
      </c>
      <c r="K105" s="100" t="s">
        <v>23</v>
      </c>
      <c r="L105" s="194" t="s">
        <v>47</v>
      </c>
      <c r="M105" s="194" t="s">
        <v>47</v>
      </c>
      <c r="N105" s="194"/>
      <c r="O105" s="99" t="s">
        <v>22</v>
      </c>
      <c r="P105" s="241" t="s">
        <v>193</v>
      </c>
      <c r="Q105" s="99" t="s">
        <v>182</v>
      </c>
      <c r="R105" s="243" t="s">
        <v>200</v>
      </c>
    </row>
    <row r="106" spans="1:18" ht="19">
      <c r="A106" s="46" t="s">
        <v>22</v>
      </c>
      <c r="B106" s="69" t="str">
        <f t="shared" si="12"/>
        <v>B+</v>
      </c>
      <c r="C106" s="157" t="str">
        <f t="shared" si="13"/>
        <v>B2</v>
      </c>
      <c r="E106" s="137" t="s">
        <v>22</v>
      </c>
      <c r="F106" s="149" t="str">
        <f t="shared" si="7"/>
        <v>B2</v>
      </c>
      <c r="G106" s="246" t="str">
        <f t="shared" si="8"/>
        <v>B+</v>
      </c>
      <c r="H106" s="247" t="str">
        <f t="shared" si="9"/>
        <v>B</v>
      </c>
      <c r="K106" s="100" t="s">
        <v>24</v>
      </c>
      <c r="L106" s="194" t="s">
        <v>78</v>
      </c>
      <c r="M106" s="194" t="s">
        <v>78</v>
      </c>
      <c r="N106" s="194"/>
      <c r="O106" s="99" t="s">
        <v>316</v>
      </c>
      <c r="P106" s="167"/>
      <c r="Q106" s="99" t="s">
        <v>347</v>
      </c>
      <c r="R106" s="243" t="s">
        <v>204</v>
      </c>
    </row>
    <row r="107" spans="1:18" ht="19">
      <c r="A107" s="100" t="s">
        <v>316</v>
      </c>
      <c r="B107" s="69">
        <f t="shared" si="12"/>
        <v>0</v>
      </c>
      <c r="C107" s="157" t="str">
        <f t="shared" si="13"/>
        <v>Caa3</v>
      </c>
      <c r="E107" s="137" t="s">
        <v>316</v>
      </c>
      <c r="F107" s="149" t="str">
        <f t="shared" si="7"/>
        <v>Caa3</v>
      </c>
      <c r="G107" s="246">
        <f t="shared" si="8"/>
        <v>0</v>
      </c>
      <c r="H107" s="247" t="str">
        <f t="shared" si="9"/>
        <v>NR</v>
      </c>
      <c r="K107" s="100" t="s">
        <v>25</v>
      </c>
      <c r="L107" s="194" t="s">
        <v>58</v>
      </c>
      <c r="M107" s="194" t="s">
        <v>58</v>
      </c>
      <c r="N107" s="194"/>
      <c r="O107" s="99" t="s">
        <v>185</v>
      </c>
      <c r="P107" s="241" t="s">
        <v>197</v>
      </c>
      <c r="Q107" s="99" t="s">
        <v>331</v>
      </c>
      <c r="R107" s="243" t="s">
        <v>273</v>
      </c>
    </row>
    <row r="108" spans="1:18" ht="19">
      <c r="A108" s="46" t="s">
        <v>185</v>
      </c>
      <c r="B108" s="69" t="str">
        <f t="shared" si="12"/>
        <v>B-</v>
      </c>
      <c r="C108" s="157" t="str">
        <f t="shared" si="13"/>
        <v>Caa1</v>
      </c>
      <c r="E108" s="137" t="s">
        <v>185</v>
      </c>
      <c r="F108" s="149" t="str">
        <f t="shared" si="7"/>
        <v>Caa1</v>
      </c>
      <c r="G108" s="246" t="str">
        <f t="shared" si="8"/>
        <v>B-</v>
      </c>
      <c r="H108" s="247" t="str">
        <f t="shared" si="9"/>
        <v>B-</v>
      </c>
      <c r="K108" s="100" t="s">
        <v>26</v>
      </c>
      <c r="L108" s="194" t="s">
        <v>123</v>
      </c>
      <c r="M108" s="194" t="s">
        <v>123</v>
      </c>
      <c r="N108" s="194"/>
      <c r="O108" s="99" t="s">
        <v>23</v>
      </c>
      <c r="P108" s="168" t="s">
        <v>200</v>
      </c>
      <c r="Q108" s="99" t="s">
        <v>322</v>
      </c>
      <c r="R108" s="244" t="s">
        <v>273</v>
      </c>
    </row>
    <row r="109" spans="1:18" ht="19">
      <c r="A109" s="46" t="s">
        <v>23</v>
      </c>
      <c r="B109" s="69" t="str">
        <f t="shared" si="12"/>
        <v>AAA</v>
      </c>
      <c r="C109" s="157" t="str">
        <f t="shared" si="13"/>
        <v>Aaa</v>
      </c>
      <c r="E109" s="137" t="s">
        <v>23</v>
      </c>
      <c r="F109" s="149" t="str">
        <f t="shared" si="7"/>
        <v>Aaa</v>
      </c>
      <c r="G109" s="246" t="str">
        <f t="shared" si="8"/>
        <v>AAA</v>
      </c>
      <c r="H109" s="247" t="str">
        <f t="shared" si="9"/>
        <v>AAA</v>
      </c>
      <c r="K109" s="100" t="s">
        <v>486</v>
      </c>
      <c r="L109" s="194" t="s">
        <v>502</v>
      </c>
      <c r="M109" s="194" t="s">
        <v>502</v>
      </c>
      <c r="N109" s="195"/>
      <c r="O109" s="99" t="s">
        <v>24</v>
      </c>
      <c r="P109" s="241" t="s">
        <v>202</v>
      </c>
      <c r="Q109" s="99" t="s">
        <v>14</v>
      </c>
      <c r="R109" s="243" t="s">
        <v>199</v>
      </c>
    </row>
    <row r="110" spans="1:18" ht="19">
      <c r="A110" s="46" t="s">
        <v>24</v>
      </c>
      <c r="B110" s="69" t="str">
        <f t="shared" si="12"/>
        <v>BBB-</v>
      </c>
      <c r="C110" s="157" t="str">
        <f t="shared" si="13"/>
        <v>Ba1</v>
      </c>
      <c r="E110" s="137" t="s">
        <v>24</v>
      </c>
      <c r="F110" s="149" t="str">
        <f t="shared" si="7"/>
        <v>Ba1</v>
      </c>
      <c r="G110" s="246" t="str">
        <f t="shared" si="8"/>
        <v>BBB-</v>
      </c>
      <c r="H110" s="247" t="str">
        <f t="shared" si="9"/>
        <v>BB+</v>
      </c>
      <c r="K110" s="237" t="s">
        <v>9</v>
      </c>
      <c r="L110" s="195" t="s">
        <v>49</v>
      </c>
      <c r="M110" s="195" t="s">
        <v>49</v>
      </c>
      <c r="N110" s="194"/>
      <c r="O110" s="99" t="s">
        <v>25</v>
      </c>
      <c r="P110" s="167" t="s">
        <v>215</v>
      </c>
      <c r="Q110" s="99" t="s">
        <v>383</v>
      </c>
      <c r="R110" s="243" t="s">
        <v>235</v>
      </c>
    </row>
    <row r="111" spans="1:18" ht="19">
      <c r="A111" s="46" t="s">
        <v>25</v>
      </c>
      <c r="B111" s="69" t="str">
        <f t="shared" si="12"/>
        <v>CCC+</v>
      </c>
      <c r="C111" s="157" t="str">
        <f t="shared" si="13"/>
        <v>Caa2</v>
      </c>
      <c r="E111" s="137" t="s">
        <v>25</v>
      </c>
      <c r="F111" s="149" t="str">
        <f t="shared" si="7"/>
        <v>Caa2</v>
      </c>
      <c r="G111" s="246" t="str">
        <f t="shared" si="8"/>
        <v>CCC+</v>
      </c>
      <c r="H111" s="247" t="str">
        <f t="shared" si="9"/>
        <v>CCC+</v>
      </c>
      <c r="K111" s="100" t="s">
        <v>27</v>
      </c>
      <c r="L111" s="194" t="s">
        <v>123</v>
      </c>
      <c r="M111" s="194" t="s">
        <v>123</v>
      </c>
      <c r="N111" s="194"/>
      <c r="O111" s="99" t="s">
        <v>26</v>
      </c>
      <c r="P111" s="241" t="s">
        <v>202</v>
      </c>
      <c r="Q111" s="99" t="s">
        <v>320</v>
      </c>
      <c r="R111" s="244" t="s">
        <v>273</v>
      </c>
    </row>
    <row r="112" spans="1:18" ht="19">
      <c r="A112" s="46" t="s">
        <v>26</v>
      </c>
      <c r="B112" s="69" t="str">
        <f t="shared" si="12"/>
        <v>BBB-</v>
      </c>
      <c r="C112" s="157" t="str">
        <f t="shared" si="13"/>
        <v>Baa3</v>
      </c>
      <c r="E112" s="137" t="s">
        <v>26</v>
      </c>
      <c r="F112" s="149" t="s">
        <v>123</v>
      </c>
      <c r="G112" s="246" t="str">
        <f t="shared" si="8"/>
        <v>BBB-</v>
      </c>
      <c r="H112" s="247" t="str">
        <f t="shared" si="9"/>
        <v>BB+</v>
      </c>
      <c r="K112" s="100" t="s">
        <v>28</v>
      </c>
      <c r="L112" s="194" t="s">
        <v>81</v>
      </c>
      <c r="M112" s="194" t="s">
        <v>81</v>
      </c>
      <c r="N112" s="194"/>
      <c r="O112" s="99" t="s">
        <v>9</v>
      </c>
      <c r="P112" s="241" t="s">
        <v>197</v>
      </c>
      <c r="Q112" s="99" t="s">
        <v>183</v>
      </c>
      <c r="R112" s="243" t="s">
        <v>219</v>
      </c>
    </row>
    <row r="113" spans="1:18" ht="19">
      <c r="A113" s="46" t="s">
        <v>9</v>
      </c>
      <c r="B113" s="69" t="str">
        <f t="shared" si="12"/>
        <v>B-</v>
      </c>
      <c r="C113" s="157" t="str">
        <f t="shared" si="13"/>
        <v>B2</v>
      </c>
      <c r="E113" s="150" t="s">
        <v>9</v>
      </c>
      <c r="F113" s="149" t="str">
        <f t="shared" si="7"/>
        <v>B2</v>
      </c>
      <c r="G113" s="246" t="str">
        <f t="shared" si="8"/>
        <v>B-</v>
      </c>
      <c r="H113" s="247" t="str">
        <f t="shared" si="9"/>
        <v>NR</v>
      </c>
      <c r="K113" s="100" t="s">
        <v>29</v>
      </c>
      <c r="L113" s="194" t="s">
        <v>82</v>
      </c>
      <c r="M113" s="194" t="s">
        <v>82</v>
      </c>
      <c r="N113" s="194"/>
      <c r="O113" s="99" t="s">
        <v>27</v>
      </c>
      <c r="P113" s="241" t="s">
        <v>213</v>
      </c>
      <c r="Q113" s="99" t="s">
        <v>407</v>
      </c>
      <c r="R113" s="243" t="s">
        <v>273</v>
      </c>
    </row>
    <row r="114" spans="1:18" ht="19">
      <c r="A114" s="46" t="s">
        <v>27</v>
      </c>
      <c r="B114" s="69" t="str">
        <f t="shared" si="12"/>
        <v>BB+</v>
      </c>
      <c r="C114" s="157" t="str">
        <f t="shared" si="13"/>
        <v>Baa3</v>
      </c>
      <c r="E114" s="137" t="s">
        <v>27</v>
      </c>
      <c r="F114" s="149" t="str">
        <f t="shared" si="7"/>
        <v>Baa3</v>
      </c>
      <c r="G114" s="246" t="str">
        <f t="shared" si="8"/>
        <v>BB+</v>
      </c>
      <c r="H114" s="247" t="str">
        <f t="shared" si="9"/>
        <v>BB+</v>
      </c>
      <c r="K114" s="100" t="s">
        <v>30</v>
      </c>
      <c r="L114" s="194" t="s">
        <v>42</v>
      </c>
      <c r="M114" s="194" t="s">
        <v>42</v>
      </c>
      <c r="N114" s="194"/>
      <c r="O114" s="99" t="s">
        <v>28</v>
      </c>
      <c r="P114" s="241" t="s">
        <v>202</v>
      </c>
      <c r="Q114" s="99" t="s">
        <v>381</v>
      </c>
      <c r="R114" s="243" t="s">
        <v>273</v>
      </c>
    </row>
    <row r="115" spans="1:18" ht="19">
      <c r="A115" s="46" t="s">
        <v>28</v>
      </c>
      <c r="B115" s="69" t="str">
        <f t="shared" si="12"/>
        <v>BBB-</v>
      </c>
      <c r="C115" s="157" t="str">
        <f t="shared" si="13"/>
        <v>Baa1</v>
      </c>
      <c r="E115" s="137" t="s">
        <v>28</v>
      </c>
      <c r="F115" s="149" t="str">
        <f t="shared" si="7"/>
        <v>Baa1</v>
      </c>
      <c r="G115" s="246" t="str">
        <f t="shared" si="8"/>
        <v>BBB-</v>
      </c>
      <c r="H115" s="247" t="str">
        <f t="shared" si="9"/>
        <v>BBB</v>
      </c>
      <c r="K115" s="100" t="s">
        <v>186</v>
      </c>
      <c r="L115" s="194" t="s">
        <v>43</v>
      </c>
      <c r="M115" s="194" t="s">
        <v>43</v>
      </c>
      <c r="N115" s="194"/>
      <c r="O115" s="99" t="s">
        <v>29</v>
      </c>
      <c r="P115" s="241" t="s">
        <v>589</v>
      </c>
      <c r="Q115" s="99" t="s">
        <v>15</v>
      </c>
      <c r="R115" s="243" t="s">
        <v>273</v>
      </c>
    </row>
    <row r="116" spans="1:18" ht="19">
      <c r="A116" s="46" t="s">
        <v>29</v>
      </c>
      <c r="B116" s="69" t="str">
        <f t="shared" si="12"/>
        <v>BBB+ </v>
      </c>
      <c r="C116" s="157" t="str">
        <f t="shared" si="13"/>
        <v>Baa2</v>
      </c>
      <c r="E116" s="137" t="s">
        <v>29</v>
      </c>
      <c r="F116" s="149" t="str">
        <f t="shared" si="7"/>
        <v>Baa2</v>
      </c>
      <c r="G116" s="246" t="str">
        <f t="shared" si="8"/>
        <v>BBB+ </v>
      </c>
      <c r="H116" s="247" t="str">
        <f t="shared" si="9"/>
        <v>BBB</v>
      </c>
      <c r="K116" s="100" t="s">
        <v>73</v>
      </c>
      <c r="L116" s="194" t="s">
        <v>45</v>
      </c>
      <c r="M116" s="194" t="s">
        <v>45</v>
      </c>
      <c r="N116" s="194"/>
      <c r="O116" s="99" t="s">
        <v>30</v>
      </c>
      <c r="P116" s="168" t="s">
        <v>195</v>
      </c>
      <c r="Q116" s="99" t="s">
        <v>16</v>
      </c>
      <c r="R116" s="243" t="s">
        <v>202</v>
      </c>
    </row>
    <row r="117" spans="1:18" ht="19">
      <c r="A117" s="46" t="s">
        <v>30</v>
      </c>
      <c r="B117" s="69" t="str">
        <f t="shared" si="12"/>
        <v>A-</v>
      </c>
      <c r="C117" s="157" t="str">
        <f t="shared" si="13"/>
        <v>A2</v>
      </c>
      <c r="E117" s="137" t="s">
        <v>30</v>
      </c>
      <c r="F117" s="149" t="str">
        <f t="shared" si="7"/>
        <v>A2</v>
      </c>
      <c r="G117" s="246" t="str">
        <f t="shared" si="8"/>
        <v>A-</v>
      </c>
      <c r="H117" s="247" t="str">
        <f t="shared" si="9"/>
        <v>A-</v>
      </c>
      <c r="K117" s="100" t="s">
        <v>270</v>
      </c>
      <c r="L117" s="194" t="s">
        <v>58</v>
      </c>
      <c r="M117" s="194" t="s">
        <v>58</v>
      </c>
      <c r="N117" s="194"/>
      <c r="O117" s="99" t="s">
        <v>186</v>
      </c>
      <c r="P117" s="168" t="s">
        <v>571</v>
      </c>
      <c r="Q117" s="99" t="s">
        <v>598</v>
      </c>
      <c r="R117" s="243" t="s">
        <v>273</v>
      </c>
    </row>
    <row r="118" spans="1:18" ht="19">
      <c r="A118" s="46" t="s">
        <v>186</v>
      </c>
      <c r="B118" s="69" t="str">
        <f t="shared" si="12"/>
        <v>A- </v>
      </c>
      <c r="C118" s="157" t="str">
        <f t="shared" si="13"/>
        <v>A3</v>
      </c>
      <c r="E118" s="137" t="s">
        <v>186</v>
      </c>
      <c r="F118" s="149" t="str">
        <f t="shared" si="7"/>
        <v>A3</v>
      </c>
      <c r="G118" s="246" t="str">
        <f t="shared" si="8"/>
        <v>A- </v>
      </c>
      <c r="H118" s="247" t="str">
        <f t="shared" si="9"/>
        <v>A-</v>
      </c>
      <c r="K118" s="100" t="s">
        <v>0</v>
      </c>
      <c r="L118" s="194" t="s">
        <v>123</v>
      </c>
      <c r="M118" s="194" t="s">
        <v>123</v>
      </c>
      <c r="N118" s="195"/>
      <c r="O118" s="99" t="s">
        <v>370</v>
      </c>
      <c r="P118" s="167" t="s">
        <v>590</v>
      </c>
      <c r="Q118" s="99" t="s">
        <v>17</v>
      </c>
      <c r="R118" s="243" t="s">
        <v>193</v>
      </c>
    </row>
    <row r="119" spans="1:18" ht="19">
      <c r="A119" s="46" t="s">
        <v>73</v>
      </c>
      <c r="B119" s="69" t="str">
        <f t="shared" si="12"/>
        <v>AA</v>
      </c>
      <c r="C119" s="157" t="str">
        <f t="shared" si="13"/>
        <v>Aa2</v>
      </c>
      <c r="E119" s="137" t="s">
        <v>73</v>
      </c>
      <c r="F119" s="149" t="str">
        <f t="shared" si="7"/>
        <v>Aa2</v>
      </c>
      <c r="G119" s="246" t="str">
        <f t="shared" si="8"/>
        <v>AA</v>
      </c>
      <c r="H119" s="247" t="str">
        <f t="shared" si="9"/>
        <v>AA</v>
      </c>
      <c r="K119" s="237" t="s">
        <v>1</v>
      </c>
      <c r="L119" s="195" t="s">
        <v>547</v>
      </c>
      <c r="M119" s="195" t="s">
        <v>547</v>
      </c>
      <c r="N119" s="195"/>
      <c r="O119" s="99" t="s">
        <v>73</v>
      </c>
      <c r="P119" s="168" t="s">
        <v>204</v>
      </c>
      <c r="Q119" s="99" t="s">
        <v>431</v>
      </c>
      <c r="R119" s="243" t="s">
        <v>273</v>
      </c>
    </row>
    <row r="120" spans="1:18" ht="19">
      <c r="A120" s="46" t="s">
        <v>287</v>
      </c>
      <c r="B120" s="69" t="s">
        <v>195</v>
      </c>
      <c r="C120" s="157" t="s">
        <v>43</v>
      </c>
      <c r="E120" s="156" t="s">
        <v>287</v>
      </c>
      <c r="F120" s="149" t="s">
        <v>273</v>
      </c>
      <c r="G120" s="246" t="s">
        <v>221</v>
      </c>
      <c r="H120" s="247" t="e">
        <f t="shared" si="9"/>
        <v>#N/A</v>
      </c>
      <c r="K120" s="237" t="s">
        <v>224</v>
      </c>
      <c r="L120" s="195" t="s">
        <v>49</v>
      </c>
      <c r="M120" s="195" t="s">
        <v>49</v>
      </c>
      <c r="N120" s="194"/>
      <c r="O120" s="99" t="s">
        <v>270</v>
      </c>
      <c r="P120" s="167" t="s">
        <v>215</v>
      </c>
      <c r="Q120" s="99" t="s">
        <v>63</v>
      </c>
      <c r="R120" s="243" t="s">
        <v>193</v>
      </c>
    </row>
    <row r="121" spans="1:18" ht="19">
      <c r="A121" s="46" t="s">
        <v>0</v>
      </c>
      <c r="B121" s="69" t="str">
        <f t="shared" ref="B121:B131" si="14">G121</f>
        <v>BBB-</v>
      </c>
      <c r="C121" s="157" t="str">
        <f t="shared" ref="C121:C131" si="15">F121</f>
        <v>Baa3</v>
      </c>
      <c r="E121" s="137" t="s">
        <v>0</v>
      </c>
      <c r="F121" s="149" t="str">
        <f t="shared" si="7"/>
        <v>Baa3</v>
      </c>
      <c r="G121" s="246" t="str">
        <f t="shared" si="8"/>
        <v>BBB-</v>
      </c>
      <c r="H121" s="247" t="str">
        <f t="shared" si="9"/>
        <v>BBB-</v>
      </c>
      <c r="K121" s="100" t="s">
        <v>2</v>
      </c>
      <c r="L121" s="194" t="s">
        <v>46</v>
      </c>
      <c r="M121" s="194" t="s">
        <v>46</v>
      </c>
      <c r="N121" s="194"/>
      <c r="O121" s="99" t="s">
        <v>0</v>
      </c>
      <c r="P121" s="241" t="s">
        <v>202</v>
      </c>
      <c r="Q121" s="99" t="s">
        <v>8</v>
      </c>
      <c r="R121" s="243" t="s">
        <v>273</v>
      </c>
    </row>
    <row r="122" spans="1:18" ht="19">
      <c r="A122" s="46" t="s">
        <v>1</v>
      </c>
      <c r="B122" s="69" t="str">
        <f t="shared" si="14"/>
        <v>NR</v>
      </c>
      <c r="C122" s="157" t="str">
        <f t="shared" si="15"/>
        <v>NR</v>
      </c>
      <c r="E122" s="150" t="s">
        <v>1</v>
      </c>
      <c r="F122" s="149" t="s">
        <v>273</v>
      </c>
      <c r="G122" s="246" t="str">
        <f t="shared" si="8"/>
        <v>NR</v>
      </c>
      <c r="H122" s="247" t="str">
        <f t="shared" si="9"/>
        <v>C</v>
      </c>
      <c r="K122" s="100" t="s">
        <v>134</v>
      </c>
      <c r="L122" s="194" t="s">
        <v>48</v>
      </c>
      <c r="M122" s="194" t="s">
        <v>48</v>
      </c>
      <c r="N122" s="194"/>
      <c r="O122" s="99" t="s">
        <v>1</v>
      </c>
      <c r="P122" s="167" t="s">
        <v>273</v>
      </c>
      <c r="Q122" s="99" t="s">
        <v>18</v>
      </c>
      <c r="R122" s="243" t="s">
        <v>213</v>
      </c>
    </row>
    <row r="123" spans="1:18" ht="19">
      <c r="A123" s="46" t="s">
        <v>224</v>
      </c>
      <c r="B123" s="69" t="str">
        <f t="shared" si="14"/>
        <v>B+</v>
      </c>
      <c r="C123" s="157" t="str">
        <f t="shared" si="15"/>
        <v>B2</v>
      </c>
      <c r="E123" s="150" t="s">
        <v>224</v>
      </c>
      <c r="F123" s="149" t="str">
        <f t="shared" si="7"/>
        <v>B2</v>
      </c>
      <c r="G123" s="246" t="str">
        <f t="shared" si="8"/>
        <v>B+</v>
      </c>
      <c r="H123" s="247" t="str">
        <f t="shared" si="9"/>
        <v>B+</v>
      </c>
      <c r="K123" s="100" t="s">
        <v>145</v>
      </c>
      <c r="L123" s="194" t="s">
        <v>79</v>
      </c>
      <c r="M123" s="194" t="s">
        <v>79</v>
      </c>
      <c r="N123" s="194"/>
      <c r="O123" s="99" t="s">
        <v>224</v>
      </c>
      <c r="P123" s="241" t="s">
        <v>193</v>
      </c>
      <c r="Q123" s="99" t="s">
        <v>223</v>
      </c>
      <c r="R123" s="243" t="s">
        <v>232</v>
      </c>
    </row>
    <row r="124" spans="1:18" ht="19">
      <c r="A124" s="46" t="s">
        <v>2</v>
      </c>
      <c r="B124" s="69" t="str">
        <f t="shared" si="14"/>
        <v>A </v>
      </c>
      <c r="C124" s="157" t="str">
        <f t="shared" si="15"/>
        <v>Aa3</v>
      </c>
      <c r="E124" s="137" t="s">
        <v>2</v>
      </c>
      <c r="F124" s="149" t="str">
        <f t="shared" si="7"/>
        <v>Aa3</v>
      </c>
      <c r="G124" s="246" t="str">
        <f t="shared" si="8"/>
        <v>A </v>
      </c>
      <c r="H124" s="247" t="str">
        <f t="shared" si="9"/>
        <v>A+</v>
      </c>
      <c r="K124" s="100" t="s">
        <v>281</v>
      </c>
      <c r="L124" s="194" t="s">
        <v>78</v>
      </c>
      <c r="M124" s="194" t="s">
        <v>78</v>
      </c>
      <c r="N124" s="194"/>
      <c r="O124" s="99" t="s">
        <v>433</v>
      </c>
      <c r="P124" s="241" t="s">
        <v>202</v>
      </c>
      <c r="Q124" s="99" t="s">
        <v>330</v>
      </c>
      <c r="R124" s="243" t="s">
        <v>273</v>
      </c>
    </row>
    <row r="125" spans="1:18" ht="19">
      <c r="A125" s="46" t="s">
        <v>134</v>
      </c>
      <c r="B125" s="69" t="str">
        <f t="shared" si="14"/>
        <v>B+ </v>
      </c>
      <c r="C125" s="157" t="str">
        <f t="shared" si="15"/>
        <v>B1</v>
      </c>
      <c r="E125" s="137" t="s">
        <v>134</v>
      </c>
      <c r="F125" s="149" t="str">
        <f t="shared" si="7"/>
        <v>B1</v>
      </c>
      <c r="G125" s="246" t="str">
        <f t="shared" si="8"/>
        <v>B+ </v>
      </c>
      <c r="H125" s="247" t="str">
        <f t="shared" si="9"/>
        <v>NR</v>
      </c>
      <c r="K125" s="100" t="s">
        <v>3</v>
      </c>
      <c r="L125" s="194" t="s">
        <v>47</v>
      </c>
      <c r="M125" s="194" t="s">
        <v>47</v>
      </c>
      <c r="N125" s="194"/>
      <c r="O125" s="99" t="s">
        <v>2</v>
      </c>
      <c r="P125" s="168" t="s">
        <v>586</v>
      </c>
      <c r="Q125" s="99" t="s">
        <v>135</v>
      </c>
      <c r="R125" s="243" t="s">
        <v>212</v>
      </c>
    </row>
    <row r="126" spans="1:18" ht="19">
      <c r="A126" s="46" t="s">
        <v>145</v>
      </c>
      <c r="B126" s="69" t="str">
        <f t="shared" si="14"/>
        <v>BBB-</v>
      </c>
      <c r="C126" s="157" t="str">
        <f t="shared" si="15"/>
        <v>Ba2</v>
      </c>
      <c r="E126" s="137" t="s">
        <v>145</v>
      </c>
      <c r="F126" s="149" t="str">
        <f t="shared" si="7"/>
        <v>Ba2</v>
      </c>
      <c r="G126" s="246" t="str">
        <f t="shared" si="8"/>
        <v>BBB-</v>
      </c>
      <c r="H126" s="247" t="str">
        <f t="shared" si="9"/>
        <v>BB+</v>
      </c>
      <c r="K126" s="100" t="s">
        <v>61</v>
      </c>
      <c r="L126" s="194" t="s">
        <v>43</v>
      </c>
      <c r="M126" s="194" t="s">
        <v>43</v>
      </c>
      <c r="N126" s="194"/>
      <c r="O126" s="99" t="s">
        <v>134</v>
      </c>
      <c r="P126" s="241" t="s">
        <v>588</v>
      </c>
      <c r="Q126" s="99" t="s">
        <v>496</v>
      </c>
      <c r="R126" s="243" t="s">
        <v>273</v>
      </c>
    </row>
    <row r="127" spans="1:18" ht="19">
      <c r="A127" s="46" t="s">
        <v>281</v>
      </c>
      <c r="B127" s="69" t="e">
        <f t="shared" si="14"/>
        <v>#N/A</v>
      </c>
      <c r="C127" s="157" t="str">
        <f t="shared" si="15"/>
        <v>Ba1</v>
      </c>
      <c r="E127" s="137" t="s">
        <v>281</v>
      </c>
      <c r="F127" s="149" t="str">
        <f t="shared" si="7"/>
        <v>Ba1</v>
      </c>
      <c r="G127" s="246" t="e">
        <f t="shared" si="8"/>
        <v>#N/A</v>
      </c>
      <c r="H127" s="247" t="e">
        <f t="shared" si="9"/>
        <v>#N/A</v>
      </c>
      <c r="K127" s="100" t="s">
        <v>187</v>
      </c>
      <c r="L127" s="194" t="s">
        <v>43</v>
      </c>
      <c r="M127" s="194" t="s">
        <v>43</v>
      </c>
      <c r="N127" s="194"/>
      <c r="O127" s="99" t="s">
        <v>145</v>
      </c>
      <c r="P127" s="241" t="s">
        <v>202</v>
      </c>
      <c r="Q127" s="99" t="s">
        <v>373</v>
      </c>
      <c r="R127" s="243" t="s">
        <v>196</v>
      </c>
    </row>
    <row r="128" spans="1:18" ht="19">
      <c r="A128" s="46" t="s">
        <v>3</v>
      </c>
      <c r="B128" s="69" t="str">
        <f t="shared" si="14"/>
        <v>AAA</v>
      </c>
      <c r="C128" s="157" t="str">
        <f t="shared" si="15"/>
        <v>Aaa</v>
      </c>
      <c r="E128" s="137" t="s">
        <v>3</v>
      </c>
      <c r="F128" s="149" t="str">
        <f t="shared" si="7"/>
        <v>Aaa</v>
      </c>
      <c r="G128" s="246" t="str">
        <f t="shared" si="8"/>
        <v>AAA</v>
      </c>
      <c r="H128" s="247" t="str">
        <f t="shared" si="9"/>
        <v>AAA</v>
      </c>
      <c r="K128" s="100" t="s">
        <v>395</v>
      </c>
      <c r="L128" s="194" t="s">
        <v>99</v>
      </c>
      <c r="M128" s="194" t="s">
        <v>99</v>
      </c>
      <c r="N128" s="194"/>
      <c r="O128" s="99" t="s">
        <v>392</v>
      </c>
      <c r="P128" s="167"/>
      <c r="Q128" s="99" t="s">
        <v>184</v>
      </c>
      <c r="R128" s="243" t="s">
        <v>200</v>
      </c>
    </row>
    <row r="129" spans="1:18" ht="19">
      <c r="A129" s="46" t="s">
        <v>61</v>
      </c>
      <c r="B129" s="69" t="str">
        <f t="shared" si="14"/>
        <v>A+</v>
      </c>
      <c r="C129" s="157" t="str">
        <f t="shared" si="15"/>
        <v>A3</v>
      </c>
      <c r="E129" s="137" t="s">
        <v>61</v>
      </c>
      <c r="F129" s="149" t="str">
        <f t="shared" si="7"/>
        <v>A3</v>
      </c>
      <c r="G129" s="246" t="str">
        <f t="shared" si="8"/>
        <v>A+</v>
      </c>
      <c r="H129" s="247" t="str">
        <f t="shared" si="9"/>
        <v>A</v>
      </c>
      <c r="K129" s="100" t="s">
        <v>75</v>
      </c>
      <c r="L129" s="194" t="s">
        <v>79</v>
      </c>
      <c r="M129" s="194" t="s">
        <v>79</v>
      </c>
      <c r="N129" s="194"/>
      <c r="O129" s="99" t="s">
        <v>3</v>
      </c>
      <c r="P129" s="168" t="s">
        <v>200</v>
      </c>
      <c r="Q129" s="99" t="s">
        <v>21</v>
      </c>
      <c r="R129" s="243" t="s">
        <v>201</v>
      </c>
    </row>
    <row r="130" spans="1:18" ht="19">
      <c r="A130" s="46" t="s">
        <v>187</v>
      </c>
      <c r="B130" s="69" t="str">
        <f t="shared" si="14"/>
        <v>AA- </v>
      </c>
      <c r="C130" s="157" t="str">
        <f t="shared" si="15"/>
        <v>A3</v>
      </c>
      <c r="E130" s="137" t="s">
        <v>187</v>
      </c>
      <c r="F130" s="149" t="str">
        <f t="shared" si="7"/>
        <v>A3</v>
      </c>
      <c r="G130" s="246" t="str">
        <f t="shared" si="8"/>
        <v>AA- </v>
      </c>
      <c r="H130" s="247" t="str">
        <f t="shared" si="9"/>
        <v>A</v>
      </c>
      <c r="K130" s="100" t="s">
        <v>137</v>
      </c>
      <c r="L130" s="194" t="s">
        <v>81</v>
      </c>
      <c r="M130" s="194" t="s">
        <v>81</v>
      </c>
      <c r="N130" s="194"/>
      <c r="O130" s="99" t="s">
        <v>61</v>
      </c>
      <c r="P130" s="168" t="s">
        <v>219</v>
      </c>
      <c r="Q130" s="99" t="s">
        <v>22</v>
      </c>
      <c r="R130" s="243" t="s">
        <v>206</v>
      </c>
    </row>
    <row r="131" spans="1:18" ht="19">
      <c r="A131" s="46" t="s">
        <v>395</v>
      </c>
      <c r="B131" s="69">
        <f t="shared" si="14"/>
        <v>0</v>
      </c>
      <c r="C131" s="157" t="str">
        <f t="shared" si="15"/>
        <v>Caa1</v>
      </c>
      <c r="E131" s="137" t="s">
        <v>395</v>
      </c>
      <c r="F131" s="149" t="str">
        <f t="shared" si="7"/>
        <v>Caa1</v>
      </c>
      <c r="G131" s="246">
        <f t="shared" ref="G131:G158" si="16">VLOOKUP(E131,$O$2:$P$160,2,FALSE)</f>
        <v>0</v>
      </c>
      <c r="H131" s="247" t="str">
        <f t="shared" si="9"/>
        <v>NR</v>
      </c>
      <c r="K131" s="100" t="s">
        <v>133</v>
      </c>
      <c r="L131" s="194" t="s">
        <v>99</v>
      </c>
      <c r="M131" s="194" t="s">
        <v>99</v>
      </c>
      <c r="N131" s="194"/>
      <c r="O131" s="99" t="s">
        <v>187</v>
      </c>
      <c r="P131" s="168" t="s">
        <v>591</v>
      </c>
      <c r="Q131" s="99" t="s">
        <v>316</v>
      </c>
      <c r="R131" s="243" t="s">
        <v>273</v>
      </c>
    </row>
    <row r="132" spans="1:18" ht="19">
      <c r="A132" s="46" t="s">
        <v>75</v>
      </c>
      <c r="B132" s="69" t="str">
        <f t="shared" ref="B132:B159" si="17">G132</f>
        <v>BB- </v>
      </c>
      <c r="C132" s="157" t="str">
        <f t="shared" ref="C132:C159" si="18">F132</f>
        <v>Ba2</v>
      </c>
      <c r="E132" s="137" t="s">
        <v>75</v>
      </c>
      <c r="F132" s="149" t="str">
        <f t="shared" ref="F132:F159" si="19">VLOOKUP(E132,$K$2:$M$154,3,FALSE)</f>
        <v>Ba2</v>
      </c>
      <c r="G132" s="246" t="str">
        <f t="shared" si="16"/>
        <v>BB- </v>
      </c>
      <c r="H132" s="247" t="str">
        <f t="shared" ref="H132:H159" si="20">VLOOKUP(E132,$Q$2:$R$199,2,FALSE)</f>
        <v>BB-</v>
      </c>
      <c r="K132" s="100" t="s">
        <v>436</v>
      </c>
      <c r="L132" s="194" t="s">
        <v>547</v>
      </c>
      <c r="M132" s="194" t="s">
        <v>547</v>
      </c>
      <c r="N132" s="194"/>
      <c r="O132" s="99" t="s">
        <v>395</v>
      </c>
      <c r="P132" s="167"/>
      <c r="Q132" s="99" t="s">
        <v>185</v>
      </c>
      <c r="R132" s="243" t="s">
        <v>197</v>
      </c>
    </row>
    <row r="133" spans="1:18" ht="19">
      <c r="A133" s="46" t="s">
        <v>137</v>
      </c>
      <c r="B133" s="69" t="str">
        <f t="shared" si="17"/>
        <v>A- </v>
      </c>
      <c r="C133" s="157" t="str">
        <f t="shared" si="18"/>
        <v>Baa1</v>
      </c>
      <c r="E133" s="137" t="s">
        <v>137</v>
      </c>
      <c r="F133" s="149" t="str">
        <f t="shared" si="19"/>
        <v>Baa1</v>
      </c>
      <c r="G133" s="246" t="str">
        <f t="shared" si="16"/>
        <v>A- </v>
      </c>
      <c r="H133" s="247" t="str">
        <f t="shared" si="20"/>
        <v>A-</v>
      </c>
      <c r="K133" s="100" t="s">
        <v>10</v>
      </c>
      <c r="L133" s="194" t="s">
        <v>77</v>
      </c>
      <c r="M133" s="194" t="s">
        <v>77</v>
      </c>
      <c r="N133" s="194"/>
      <c r="O133" s="99" t="s">
        <v>75</v>
      </c>
      <c r="P133" s="241" t="s">
        <v>575</v>
      </c>
      <c r="Q133" s="99" t="s">
        <v>458</v>
      </c>
      <c r="R133" s="243" t="s">
        <v>213</v>
      </c>
    </row>
    <row r="134" spans="1:18" ht="19">
      <c r="A134" s="46" t="s">
        <v>133</v>
      </c>
      <c r="B134" s="69" t="str">
        <f t="shared" si="17"/>
        <v>SD</v>
      </c>
      <c r="C134" s="157" t="str">
        <f t="shared" si="18"/>
        <v>Ca</v>
      </c>
      <c r="E134" s="137" t="s">
        <v>133</v>
      </c>
      <c r="F134" s="149" t="s">
        <v>338</v>
      </c>
      <c r="G134" s="246" t="str">
        <f t="shared" si="16"/>
        <v>SD</v>
      </c>
      <c r="H134" s="247" t="str">
        <f t="shared" si="20"/>
        <v>NR</v>
      </c>
      <c r="K134" s="100" t="s">
        <v>33</v>
      </c>
      <c r="L134" s="194" t="s">
        <v>99</v>
      </c>
      <c r="M134" s="194" t="s">
        <v>99</v>
      </c>
      <c r="N134" s="194"/>
      <c r="O134" s="99" t="s">
        <v>592</v>
      </c>
      <c r="P134" s="168" t="s">
        <v>204</v>
      </c>
      <c r="Q134" s="99" t="s">
        <v>23</v>
      </c>
      <c r="R134" s="243" t="s">
        <v>200</v>
      </c>
    </row>
    <row r="135" spans="1:18" ht="19">
      <c r="A135" s="46" t="s">
        <v>188</v>
      </c>
      <c r="B135" s="69" t="s">
        <v>142</v>
      </c>
      <c r="C135" s="157" t="s">
        <v>79</v>
      </c>
      <c r="E135" s="137" t="s">
        <v>436</v>
      </c>
      <c r="F135" s="149" t="str">
        <f t="shared" si="19"/>
        <v>WR</v>
      </c>
      <c r="G135" s="246" t="e">
        <f t="shared" si="16"/>
        <v>#N/A</v>
      </c>
      <c r="H135" s="247" t="e">
        <f t="shared" si="20"/>
        <v>#N/A</v>
      </c>
      <c r="K135" s="100" t="s">
        <v>34</v>
      </c>
      <c r="L135" s="194" t="s">
        <v>47</v>
      </c>
      <c r="M135" s="194" t="s">
        <v>47</v>
      </c>
      <c r="N135" s="194"/>
      <c r="O135" s="99" t="s">
        <v>137</v>
      </c>
      <c r="P135" s="168" t="s">
        <v>571</v>
      </c>
      <c r="Q135" s="99" t="s">
        <v>24</v>
      </c>
      <c r="R135" s="243" t="s">
        <v>213</v>
      </c>
    </row>
    <row r="136" spans="1:18" ht="19">
      <c r="A136" s="46" t="s">
        <v>10</v>
      </c>
      <c r="B136" s="69" t="e">
        <f t="shared" si="17"/>
        <v>#N/A</v>
      </c>
      <c r="C136" s="157" t="str">
        <f t="shared" si="18"/>
        <v>B3</v>
      </c>
      <c r="E136" s="137" t="s">
        <v>10</v>
      </c>
      <c r="F136" s="149" t="str">
        <f t="shared" si="19"/>
        <v>B3</v>
      </c>
      <c r="G136" s="246" t="e">
        <f t="shared" si="16"/>
        <v>#N/A</v>
      </c>
      <c r="H136" s="247" t="e">
        <f t="shared" si="20"/>
        <v>#N/A</v>
      </c>
      <c r="K136" s="100" t="s">
        <v>35</v>
      </c>
      <c r="L136" s="194" t="s">
        <v>47</v>
      </c>
      <c r="M136" s="194" t="s">
        <v>47</v>
      </c>
      <c r="N136" s="194"/>
      <c r="O136" s="99" t="s">
        <v>133</v>
      </c>
      <c r="P136" s="167" t="s">
        <v>551</v>
      </c>
      <c r="Q136" s="99" t="s">
        <v>25</v>
      </c>
      <c r="R136" s="243" t="s">
        <v>215</v>
      </c>
    </row>
    <row r="137" spans="1:18" ht="19">
      <c r="A137" s="46" t="s">
        <v>33</v>
      </c>
      <c r="B137" s="69" t="str">
        <f t="shared" si="17"/>
        <v>CCC+</v>
      </c>
      <c r="C137" s="157" t="str">
        <f t="shared" si="18"/>
        <v>Caa1</v>
      </c>
      <c r="E137" s="137" t="s">
        <v>33</v>
      </c>
      <c r="F137" s="149" t="str">
        <f t="shared" si="19"/>
        <v>Caa1</v>
      </c>
      <c r="G137" s="246" t="str">
        <f t="shared" si="16"/>
        <v>CCC+</v>
      </c>
      <c r="H137" s="247" t="str">
        <f t="shared" si="20"/>
        <v>NR</v>
      </c>
      <c r="K137" s="100" t="s">
        <v>487</v>
      </c>
      <c r="L137" s="194" t="s">
        <v>46</v>
      </c>
      <c r="M137" s="194" t="s">
        <v>46</v>
      </c>
      <c r="N137" s="194"/>
      <c r="O137" s="99" t="s">
        <v>593</v>
      </c>
      <c r="P137" s="167"/>
      <c r="Q137" s="99" t="s">
        <v>406</v>
      </c>
      <c r="R137" s="243" t="s">
        <v>273</v>
      </c>
    </row>
    <row r="138" spans="1:18" ht="19">
      <c r="A138" s="46" t="s">
        <v>382</v>
      </c>
      <c r="B138" s="69" t="e">
        <f t="shared" si="17"/>
        <v>#N/A</v>
      </c>
      <c r="C138" s="157" t="str">
        <f t="shared" si="18"/>
        <v>B2</v>
      </c>
      <c r="E138" s="137" t="s">
        <v>474</v>
      </c>
      <c r="F138" s="149" t="str">
        <f t="shared" si="19"/>
        <v>B2</v>
      </c>
      <c r="G138" s="246" t="e">
        <f t="shared" si="16"/>
        <v>#N/A</v>
      </c>
      <c r="H138" s="247" t="str">
        <f t="shared" si="20"/>
        <v>NR</v>
      </c>
      <c r="K138" s="100" t="s">
        <v>379</v>
      </c>
      <c r="L138" s="194" t="s">
        <v>77</v>
      </c>
      <c r="M138" s="194" t="s">
        <v>77</v>
      </c>
      <c r="N138" s="194"/>
      <c r="O138" s="99" t="s">
        <v>33</v>
      </c>
      <c r="P138" s="167" t="s">
        <v>215</v>
      </c>
      <c r="Q138" s="99" t="s">
        <v>26</v>
      </c>
      <c r="R138" s="243" t="s">
        <v>213</v>
      </c>
    </row>
    <row r="139" spans="1:18" ht="19">
      <c r="A139" s="46" t="s">
        <v>34</v>
      </c>
      <c r="B139" s="69" t="str">
        <f t="shared" si="17"/>
        <v>AAA</v>
      </c>
      <c r="C139" s="157" t="str">
        <f t="shared" si="18"/>
        <v>Aaa</v>
      </c>
      <c r="E139" s="137" t="s">
        <v>34</v>
      </c>
      <c r="F139" s="149" t="str">
        <f t="shared" si="19"/>
        <v>Aaa</v>
      </c>
      <c r="G139" s="246" t="str">
        <f t="shared" si="16"/>
        <v>AAA</v>
      </c>
      <c r="H139" s="247" t="str">
        <f t="shared" si="20"/>
        <v>AAA</v>
      </c>
      <c r="K139" s="100" t="s">
        <v>327</v>
      </c>
      <c r="L139" s="194" t="s">
        <v>48</v>
      </c>
      <c r="M139" s="194" t="s">
        <v>48</v>
      </c>
      <c r="N139" s="194"/>
      <c r="O139" s="99" t="s">
        <v>382</v>
      </c>
      <c r="P139" s="167"/>
      <c r="Q139" s="99" t="s">
        <v>9</v>
      </c>
      <c r="R139" s="243" t="s">
        <v>273</v>
      </c>
    </row>
    <row r="140" spans="1:18" ht="19">
      <c r="A140" s="46" t="s">
        <v>35</v>
      </c>
      <c r="B140" s="69" t="str">
        <f t="shared" si="17"/>
        <v>AAA</v>
      </c>
      <c r="C140" s="157" t="str">
        <f t="shared" si="18"/>
        <v>Aaa</v>
      </c>
      <c r="E140" s="137" t="s">
        <v>35</v>
      </c>
      <c r="F140" s="149" t="str">
        <f t="shared" si="19"/>
        <v>Aaa</v>
      </c>
      <c r="G140" s="246" t="str">
        <f t="shared" si="16"/>
        <v>AAA</v>
      </c>
      <c r="H140" s="247" t="str">
        <f t="shared" si="20"/>
        <v>AAA</v>
      </c>
      <c r="K140" s="100" t="s">
        <v>65</v>
      </c>
      <c r="L140" s="194" t="s">
        <v>81</v>
      </c>
      <c r="M140" s="194" t="s">
        <v>81</v>
      </c>
      <c r="N140" s="194"/>
      <c r="O140" s="99" t="s">
        <v>34</v>
      </c>
      <c r="P140" s="168" t="s">
        <v>200</v>
      </c>
      <c r="Q140" s="99" t="s">
        <v>27</v>
      </c>
      <c r="R140" s="243" t="s">
        <v>213</v>
      </c>
    </row>
    <row r="141" spans="1:18" ht="19">
      <c r="A141" s="46" t="s">
        <v>64</v>
      </c>
      <c r="B141" s="69" t="str">
        <f t="shared" si="17"/>
        <v>AA+</v>
      </c>
      <c r="C141" s="157" t="str">
        <f t="shared" si="18"/>
        <v>Aa3</v>
      </c>
      <c r="E141" s="137" t="s">
        <v>64</v>
      </c>
      <c r="F141" s="149" t="s">
        <v>46</v>
      </c>
      <c r="G141" s="246" t="str">
        <f t="shared" si="16"/>
        <v>AA+</v>
      </c>
      <c r="H141" s="247" t="str">
        <f t="shared" si="20"/>
        <v>AA</v>
      </c>
      <c r="K141" s="100" t="s">
        <v>319</v>
      </c>
      <c r="L141" s="194" t="s">
        <v>77</v>
      </c>
      <c r="M141" s="194" t="s">
        <v>77</v>
      </c>
      <c r="N141" s="194"/>
      <c r="O141" s="99" t="s">
        <v>35</v>
      </c>
      <c r="P141" s="168" t="s">
        <v>200</v>
      </c>
      <c r="Q141" s="99" t="s">
        <v>28</v>
      </c>
      <c r="R141" s="243" t="s">
        <v>203</v>
      </c>
    </row>
    <row r="142" spans="1:18" ht="19">
      <c r="A142" s="100" t="s">
        <v>379</v>
      </c>
      <c r="B142" s="69" t="str">
        <f t="shared" si="17"/>
        <v>B</v>
      </c>
      <c r="C142" s="157" t="str">
        <f t="shared" si="18"/>
        <v>B3</v>
      </c>
      <c r="E142" s="137" t="s">
        <v>379</v>
      </c>
      <c r="F142" s="149" t="str">
        <f t="shared" si="19"/>
        <v>B3</v>
      </c>
      <c r="G142" s="246" t="str">
        <f t="shared" si="16"/>
        <v>B</v>
      </c>
      <c r="H142" s="247" t="str">
        <f t="shared" si="20"/>
        <v>NR</v>
      </c>
      <c r="K142" s="237" t="s">
        <v>11</v>
      </c>
      <c r="L142" s="194" t="s">
        <v>79</v>
      </c>
      <c r="M142" s="194" t="s">
        <v>79</v>
      </c>
      <c r="N142" s="194"/>
      <c r="O142" s="99" t="s">
        <v>64</v>
      </c>
      <c r="P142" s="168" t="s">
        <v>201</v>
      </c>
      <c r="Q142" s="99" t="s">
        <v>29</v>
      </c>
      <c r="R142" s="243" t="s">
        <v>203</v>
      </c>
    </row>
    <row r="143" spans="1:18" ht="19">
      <c r="A143" s="100" t="s">
        <v>327</v>
      </c>
      <c r="B143" s="69">
        <f t="shared" si="17"/>
        <v>0</v>
      </c>
      <c r="C143" s="157" t="str">
        <f t="shared" si="18"/>
        <v>B1</v>
      </c>
      <c r="E143" s="137" t="s">
        <v>327</v>
      </c>
      <c r="F143" s="149" t="str">
        <f t="shared" si="19"/>
        <v>B1</v>
      </c>
      <c r="G143" s="246">
        <f t="shared" si="16"/>
        <v>0</v>
      </c>
      <c r="H143" s="247" t="str">
        <f t="shared" si="20"/>
        <v>B+</v>
      </c>
      <c r="K143" s="100" t="s">
        <v>76</v>
      </c>
      <c r="L143" s="194" t="s">
        <v>58</v>
      </c>
      <c r="M143" s="194" t="s">
        <v>58</v>
      </c>
      <c r="N143" s="194"/>
      <c r="O143" s="99" t="s">
        <v>379</v>
      </c>
      <c r="P143" s="241" t="s">
        <v>206</v>
      </c>
      <c r="Q143" s="99" t="s">
        <v>30</v>
      </c>
      <c r="R143" s="243" t="s">
        <v>195</v>
      </c>
    </row>
    <row r="144" spans="1:18" ht="19">
      <c r="A144" s="46" t="s">
        <v>65</v>
      </c>
      <c r="B144" s="69" t="str">
        <f t="shared" si="17"/>
        <v>BBB+</v>
      </c>
      <c r="C144" s="157" t="str">
        <f t="shared" si="18"/>
        <v>Baa1</v>
      </c>
      <c r="E144" s="137" t="s">
        <v>65</v>
      </c>
      <c r="F144" s="149" t="str">
        <f t="shared" si="19"/>
        <v>Baa1</v>
      </c>
      <c r="G144" s="246" t="str">
        <f t="shared" si="16"/>
        <v>BBB+</v>
      </c>
      <c r="H144" s="247" t="str">
        <f t="shared" si="20"/>
        <v>BBB+</v>
      </c>
      <c r="K144" s="100" t="s">
        <v>66</v>
      </c>
      <c r="L144" s="194" t="s">
        <v>48</v>
      </c>
      <c r="M144" s="194" t="s">
        <v>48</v>
      </c>
      <c r="N144" s="194"/>
      <c r="O144" s="99" t="s">
        <v>327</v>
      </c>
      <c r="P144" s="167"/>
      <c r="Q144" s="99" t="s">
        <v>186</v>
      </c>
      <c r="R144" s="243" t="s">
        <v>195</v>
      </c>
    </row>
    <row r="145" spans="1:18" ht="19">
      <c r="A145" s="134" t="s">
        <v>319</v>
      </c>
      <c r="B145" s="69" t="str">
        <f t="shared" si="17"/>
        <v>B </v>
      </c>
      <c r="C145" s="157" t="str">
        <f t="shared" si="18"/>
        <v>B3</v>
      </c>
      <c r="E145" s="137" t="s">
        <v>319</v>
      </c>
      <c r="F145" s="149" t="str">
        <f t="shared" si="19"/>
        <v>B3</v>
      </c>
      <c r="G145" s="246" t="str">
        <f t="shared" si="16"/>
        <v>B </v>
      </c>
      <c r="H145" s="247" t="str">
        <f t="shared" si="20"/>
        <v>NR</v>
      </c>
      <c r="K145" s="100" t="s">
        <v>225</v>
      </c>
      <c r="L145" s="194" t="s">
        <v>77</v>
      </c>
      <c r="M145" s="194" t="s">
        <v>77</v>
      </c>
      <c r="N145" s="194"/>
      <c r="O145" s="99" t="s">
        <v>65</v>
      </c>
      <c r="P145" s="241" t="s">
        <v>199</v>
      </c>
      <c r="Q145" s="99" t="s">
        <v>73</v>
      </c>
      <c r="R145" s="243" t="s">
        <v>204</v>
      </c>
    </row>
    <row r="146" spans="1:18" ht="19">
      <c r="A146" s="46" t="s">
        <v>11</v>
      </c>
      <c r="B146" s="69" t="str">
        <f t="shared" si="17"/>
        <v>BBB-</v>
      </c>
      <c r="C146" s="157" t="str">
        <f t="shared" si="18"/>
        <v>Ba2</v>
      </c>
      <c r="E146" s="150" t="s">
        <v>11</v>
      </c>
      <c r="F146" s="149" t="str">
        <f t="shared" si="19"/>
        <v>Ba2</v>
      </c>
      <c r="G146" s="246" t="str">
        <f t="shared" si="16"/>
        <v>BBB-</v>
      </c>
      <c r="H146" s="247" t="str">
        <f t="shared" si="20"/>
        <v>NR</v>
      </c>
      <c r="K146" s="100" t="s">
        <v>68</v>
      </c>
      <c r="L146" s="194" t="s">
        <v>338</v>
      </c>
      <c r="M146" s="194" t="s">
        <v>338</v>
      </c>
      <c r="N146" s="194"/>
      <c r="O146" s="99" t="s">
        <v>319</v>
      </c>
      <c r="P146" s="241" t="s">
        <v>574</v>
      </c>
      <c r="Q146" s="99" t="s">
        <v>0</v>
      </c>
      <c r="R146" s="243" t="s">
        <v>202</v>
      </c>
    </row>
    <row r="147" spans="1:18" ht="19">
      <c r="A147" s="46" t="s">
        <v>76</v>
      </c>
      <c r="B147" s="69" t="str">
        <f t="shared" si="17"/>
        <v>N/A</v>
      </c>
      <c r="C147" s="157" t="str">
        <f t="shared" si="18"/>
        <v>Caa2</v>
      </c>
      <c r="E147" s="137" t="s">
        <v>76</v>
      </c>
      <c r="F147" s="149" t="str">
        <f t="shared" si="19"/>
        <v>Caa2</v>
      </c>
      <c r="G147" s="246" t="str">
        <f t="shared" si="16"/>
        <v>N/A</v>
      </c>
      <c r="H147" s="247" t="str">
        <f t="shared" si="20"/>
        <v>CCC+</v>
      </c>
      <c r="K147" s="100" t="s">
        <v>60</v>
      </c>
      <c r="L147" s="194" t="s">
        <v>45</v>
      </c>
      <c r="M147" s="194" t="s">
        <v>45</v>
      </c>
      <c r="N147" s="194"/>
      <c r="O147" s="99" t="s">
        <v>11</v>
      </c>
      <c r="P147" s="241" t="s">
        <v>202</v>
      </c>
      <c r="Q147" s="99" t="s">
        <v>1</v>
      </c>
      <c r="R147" s="243" t="s">
        <v>136</v>
      </c>
    </row>
    <row r="148" spans="1:18" ht="19">
      <c r="A148" s="46" t="s">
        <v>66</v>
      </c>
      <c r="B148" s="69" t="str">
        <f t="shared" si="17"/>
        <v>BB-</v>
      </c>
      <c r="C148" s="157" t="str">
        <f t="shared" si="18"/>
        <v>B1</v>
      </c>
      <c r="E148" s="137" t="s">
        <v>66</v>
      </c>
      <c r="F148" s="149" t="str">
        <f t="shared" si="19"/>
        <v>B1</v>
      </c>
      <c r="G148" s="246" t="str">
        <f t="shared" si="16"/>
        <v>BB-</v>
      </c>
      <c r="H148" s="247" t="str">
        <f t="shared" si="20"/>
        <v>B+</v>
      </c>
      <c r="K148" s="100" t="s">
        <v>57</v>
      </c>
      <c r="L148" s="194" t="s">
        <v>46</v>
      </c>
      <c r="M148" s="194" t="s">
        <v>46</v>
      </c>
      <c r="N148" s="194"/>
      <c r="O148" s="99" t="s">
        <v>76</v>
      </c>
      <c r="P148" s="168" t="s">
        <v>577</v>
      </c>
      <c r="Q148" s="99" t="s">
        <v>224</v>
      </c>
      <c r="R148" s="243" t="s">
        <v>193</v>
      </c>
    </row>
    <row r="149" spans="1:18" ht="19">
      <c r="A149" s="46" t="s">
        <v>288</v>
      </c>
      <c r="B149" s="69" t="s">
        <v>199</v>
      </c>
      <c r="C149" s="157" t="s">
        <v>81</v>
      </c>
      <c r="E149" s="156" t="s">
        <v>288</v>
      </c>
      <c r="F149" s="149" t="s">
        <v>273</v>
      </c>
      <c r="G149" s="246" t="s">
        <v>203</v>
      </c>
      <c r="H149" s="247" t="e">
        <f t="shared" si="20"/>
        <v>#N/A</v>
      </c>
      <c r="K149" s="100" t="s">
        <v>12</v>
      </c>
      <c r="L149" s="194" t="s">
        <v>47</v>
      </c>
      <c r="M149" s="194" t="s">
        <v>47</v>
      </c>
      <c r="N149" s="194"/>
      <c r="O149" s="99" t="s">
        <v>66</v>
      </c>
      <c r="P149" s="241" t="s">
        <v>196</v>
      </c>
      <c r="Q149" s="99" t="s">
        <v>444</v>
      </c>
      <c r="R149" s="243" t="s">
        <v>273</v>
      </c>
    </row>
    <row r="150" spans="1:18" ht="19">
      <c r="A150" s="46" t="s">
        <v>225</v>
      </c>
      <c r="B150" s="69" t="str">
        <f t="shared" si="17"/>
        <v>B-</v>
      </c>
      <c r="C150" s="157" t="str">
        <f t="shared" si="18"/>
        <v>B3</v>
      </c>
      <c r="E150" s="137" t="s">
        <v>225</v>
      </c>
      <c r="F150" s="149" t="str">
        <f t="shared" si="19"/>
        <v>B3</v>
      </c>
      <c r="G150" s="246" t="str">
        <f t="shared" si="16"/>
        <v>B-</v>
      </c>
      <c r="H150" s="247" t="str">
        <f t="shared" si="20"/>
        <v>B</v>
      </c>
      <c r="K150" s="100" t="s">
        <v>371</v>
      </c>
      <c r="L150" s="194" t="s">
        <v>80</v>
      </c>
      <c r="M150" s="194" t="s">
        <v>80</v>
      </c>
      <c r="N150" s="194"/>
      <c r="O150" s="99" t="s">
        <v>67</v>
      </c>
      <c r="P150" s="167"/>
      <c r="Q150" s="99" t="s">
        <v>445</v>
      </c>
      <c r="R150" s="243" t="s">
        <v>273</v>
      </c>
    </row>
    <row r="151" spans="1:18" ht="19">
      <c r="A151" s="46" t="s">
        <v>68</v>
      </c>
      <c r="B151" s="69" t="str">
        <f t="shared" si="17"/>
        <v>SD</v>
      </c>
      <c r="C151" s="157" t="str">
        <f t="shared" si="18"/>
        <v>Ca</v>
      </c>
      <c r="E151" s="137" t="s">
        <v>68</v>
      </c>
      <c r="F151" s="149" t="str">
        <f t="shared" si="19"/>
        <v>Ca</v>
      </c>
      <c r="G151" s="246" t="str">
        <f t="shared" si="16"/>
        <v>SD</v>
      </c>
      <c r="H151" s="247" t="str">
        <f t="shared" si="20"/>
        <v>NR</v>
      </c>
      <c r="K151" s="100" t="s">
        <v>69</v>
      </c>
      <c r="L151" s="194" t="s">
        <v>81</v>
      </c>
      <c r="M151" s="194" t="s">
        <v>81</v>
      </c>
      <c r="N151" s="194"/>
      <c r="O151" s="99" t="s">
        <v>225</v>
      </c>
      <c r="P151" s="241" t="s">
        <v>197</v>
      </c>
      <c r="Q151" s="99" t="s">
        <v>446</v>
      </c>
      <c r="R151" s="243" t="s">
        <v>273</v>
      </c>
    </row>
    <row r="152" spans="1:18" ht="19">
      <c r="A152" s="46" t="s">
        <v>60</v>
      </c>
      <c r="B152" s="69" t="str">
        <f t="shared" si="17"/>
        <v>AA</v>
      </c>
      <c r="C152" s="157" t="str">
        <f t="shared" si="18"/>
        <v>Aa2</v>
      </c>
      <c r="E152" s="137" t="s">
        <v>60</v>
      </c>
      <c r="F152" s="149" t="str">
        <f t="shared" si="19"/>
        <v>Aa2</v>
      </c>
      <c r="G152" s="246" t="str">
        <f t="shared" si="16"/>
        <v>AA</v>
      </c>
      <c r="H152" s="247" t="str">
        <f t="shared" si="20"/>
        <v>AA-</v>
      </c>
      <c r="K152" s="100" t="s">
        <v>548</v>
      </c>
      <c r="L152" s="194" t="s">
        <v>136</v>
      </c>
      <c r="M152" s="194" t="s">
        <v>136</v>
      </c>
      <c r="N152" s="194"/>
      <c r="O152" s="99" t="s">
        <v>68</v>
      </c>
      <c r="P152" s="167" t="s">
        <v>551</v>
      </c>
      <c r="Q152" s="99" t="s">
        <v>399</v>
      </c>
      <c r="R152" s="243" t="s">
        <v>273</v>
      </c>
    </row>
    <row r="153" spans="1:18" ht="19">
      <c r="A153" s="46" t="s">
        <v>57</v>
      </c>
      <c r="B153" s="69" t="str">
        <f t="shared" si="17"/>
        <v>AA</v>
      </c>
      <c r="C153" s="157" t="str">
        <f t="shared" si="18"/>
        <v>Aa3</v>
      </c>
      <c r="E153" s="137" t="s">
        <v>57</v>
      </c>
      <c r="F153" s="149" t="str">
        <f t="shared" si="19"/>
        <v>Aa3</v>
      </c>
      <c r="G153" s="246" t="str">
        <f t="shared" si="16"/>
        <v>AA</v>
      </c>
      <c r="H153" s="247" t="str">
        <f t="shared" si="20"/>
        <v>AA-</v>
      </c>
      <c r="K153" s="100" t="s">
        <v>71</v>
      </c>
      <c r="L153" s="194" t="s">
        <v>79</v>
      </c>
      <c r="M153" s="194" t="s">
        <v>79</v>
      </c>
      <c r="N153" s="196"/>
      <c r="O153" s="99" t="s">
        <v>60</v>
      </c>
      <c r="P153" s="168" t="s">
        <v>204</v>
      </c>
      <c r="Q153" s="99" t="s">
        <v>433</v>
      </c>
      <c r="R153" s="243" t="s">
        <v>212</v>
      </c>
    </row>
    <row r="154" spans="1:18" ht="19">
      <c r="A154" s="46" t="s">
        <v>348</v>
      </c>
      <c r="B154" s="69" t="str">
        <f t="shared" si="17"/>
        <v>AA+</v>
      </c>
      <c r="C154" s="157" t="str">
        <f t="shared" si="18"/>
        <v>Aaa</v>
      </c>
      <c r="E154" s="137" t="s">
        <v>12</v>
      </c>
      <c r="F154" s="149" t="str">
        <f t="shared" si="19"/>
        <v>Aaa</v>
      </c>
      <c r="G154" s="246" t="s">
        <v>201</v>
      </c>
      <c r="H154" s="247" t="e">
        <f t="shared" si="20"/>
        <v>#N/A</v>
      </c>
      <c r="K154" s="239" t="s">
        <v>189</v>
      </c>
      <c r="L154" s="196" t="s">
        <v>58</v>
      </c>
      <c r="M154" s="196" t="s">
        <v>58</v>
      </c>
      <c r="O154" s="99" t="s">
        <v>57</v>
      </c>
      <c r="P154" s="168" t="s">
        <v>204</v>
      </c>
      <c r="Q154" s="99" t="s">
        <v>519</v>
      </c>
      <c r="R154" s="243" t="s">
        <v>273</v>
      </c>
    </row>
    <row r="155" spans="1:18" ht="19">
      <c r="A155" s="46" t="s">
        <v>69</v>
      </c>
      <c r="B155" s="69" t="str">
        <f t="shared" si="17"/>
        <v>BBB+</v>
      </c>
      <c r="C155" s="157" t="str">
        <f t="shared" si="18"/>
        <v>Baa1</v>
      </c>
      <c r="E155" s="137" t="s">
        <v>69</v>
      </c>
      <c r="F155" s="149" t="str">
        <f t="shared" si="19"/>
        <v>Baa1</v>
      </c>
      <c r="G155" s="246" t="str">
        <f t="shared" si="16"/>
        <v>BBB+</v>
      </c>
      <c r="H155" s="247" t="str">
        <f t="shared" si="20"/>
        <v>BBB</v>
      </c>
      <c r="O155" s="99" t="s">
        <v>348</v>
      </c>
      <c r="P155" s="168" t="s">
        <v>201</v>
      </c>
      <c r="Q155" s="99" t="s">
        <v>2</v>
      </c>
      <c r="R155" s="243" t="s">
        <v>219</v>
      </c>
    </row>
    <row r="156" spans="1:18" ht="19">
      <c r="A156" s="134" t="s">
        <v>371</v>
      </c>
      <c r="B156" s="69" t="str">
        <f t="shared" si="17"/>
        <v>BB-</v>
      </c>
      <c r="C156" s="157" t="str">
        <f t="shared" si="18"/>
        <v>Ba3</v>
      </c>
      <c r="E156" s="137" t="s">
        <v>371</v>
      </c>
      <c r="F156" s="149" t="str">
        <f t="shared" si="19"/>
        <v>Ba3</v>
      </c>
      <c r="G156" s="246" t="str">
        <f t="shared" si="16"/>
        <v>BB-</v>
      </c>
      <c r="H156" s="247" t="str">
        <f t="shared" si="20"/>
        <v>BB-</v>
      </c>
      <c r="O156" s="99" t="s">
        <v>69</v>
      </c>
      <c r="P156" s="241" t="s">
        <v>199</v>
      </c>
      <c r="Q156" s="99" t="s">
        <v>134</v>
      </c>
      <c r="R156" s="243" t="s">
        <v>273</v>
      </c>
    </row>
    <row r="157" spans="1:18" ht="19">
      <c r="A157" s="46" t="s">
        <v>70</v>
      </c>
      <c r="B157" s="69" t="str">
        <f t="shared" si="17"/>
        <v>N/A</v>
      </c>
      <c r="C157" s="157" t="str">
        <f t="shared" si="18"/>
        <v>C</v>
      </c>
      <c r="E157" s="137" t="s">
        <v>70</v>
      </c>
      <c r="F157" s="149" t="s">
        <v>136</v>
      </c>
      <c r="G157" s="246" t="str">
        <f t="shared" si="16"/>
        <v>N/A</v>
      </c>
      <c r="H157" s="247" t="str">
        <f t="shared" si="20"/>
        <v>NR</v>
      </c>
      <c r="O157" s="99" t="s">
        <v>371</v>
      </c>
      <c r="P157" s="241" t="s">
        <v>196</v>
      </c>
      <c r="Q157" s="99" t="s">
        <v>145</v>
      </c>
      <c r="R157" s="243" t="s">
        <v>213</v>
      </c>
    </row>
    <row r="158" spans="1:18" ht="19">
      <c r="A158" s="46" t="s">
        <v>71</v>
      </c>
      <c r="B158" s="69" t="str">
        <f t="shared" si="17"/>
        <v>BB+</v>
      </c>
      <c r="C158" s="157" t="str">
        <f t="shared" si="18"/>
        <v>Ba2</v>
      </c>
      <c r="E158" s="137" t="s">
        <v>71</v>
      </c>
      <c r="F158" s="149" t="str">
        <f t="shared" si="19"/>
        <v>Ba2</v>
      </c>
      <c r="G158" s="246" t="str">
        <f t="shared" si="16"/>
        <v>BB+</v>
      </c>
      <c r="H158" s="247" t="str">
        <f t="shared" si="20"/>
        <v>BB+</v>
      </c>
      <c r="O158" s="99" t="s">
        <v>70</v>
      </c>
      <c r="P158" s="168" t="s">
        <v>577</v>
      </c>
      <c r="Q158" s="99" t="s">
        <v>392</v>
      </c>
      <c r="R158" s="243" t="s">
        <v>196</v>
      </c>
    </row>
    <row r="159" spans="1:18" ht="19">
      <c r="A159" s="46" t="s">
        <v>189</v>
      </c>
      <c r="B159" s="69" t="str">
        <f t="shared" si="17"/>
        <v>SD</v>
      </c>
      <c r="C159" s="157" t="str">
        <f t="shared" si="18"/>
        <v>Caa2</v>
      </c>
      <c r="E159" s="137" t="s">
        <v>189</v>
      </c>
      <c r="F159" s="149" t="str">
        <f t="shared" si="19"/>
        <v>Caa2</v>
      </c>
      <c r="G159" s="246" t="str">
        <f>VLOOKUP(E159,$O$2:$P$160,2,FALSE)</f>
        <v>SD</v>
      </c>
      <c r="H159" s="247" t="str">
        <f t="shared" si="20"/>
        <v>NR</v>
      </c>
      <c r="O159" s="99" t="s">
        <v>71</v>
      </c>
      <c r="P159" s="241" t="s">
        <v>213</v>
      </c>
      <c r="Q159" s="99" t="s">
        <v>324</v>
      </c>
      <c r="R159" s="243" t="s">
        <v>273</v>
      </c>
    </row>
    <row r="160" spans="1:18" ht="19">
      <c r="O160" s="99" t="s">
        <v>189</v>
      </c>
      <c r="P160" s="167" t="s">
        <v>551</v>
      </c>
      <c r="Q160" s="99" t="s">
        <v>3</v>
      </c>
      <c r="R160" s="243" t="s">
        <v>200</v>
      </c>
    </row>
    <row r="161" spans="17:18">
      <c r="Q161" s="99" t="s">
        <v>61</v>
      </c>
      <c r="R161" s="243" t="s">
        <v>221</v>
      </c>
    </row>
    <row r="162" spans="17:18">
      <c r="Q162" s="99" t="s">
        <v>187</v>
      </c>
      <c r="R162" s="243" t="s">
        <v>221</v>
      </c>
    </row>
    <row r="163" spans="17:18">
      <c r="Q163" s="99" t="s">
        <v>395</v>
      </c>
      <c r="R163" s="243" t="s">
        <v>273</v>
      </c>
    </row>
    <row r="164" spans="17:18">
      <c r="Q164" s="99" t="s">
        <v>310</v>
      </c>
      <c r="R164" s="243" t="s">
        <v>273</v>
      </c>
    </row>
    <row r="165" spans="17:18">
      <c r="Q165" s="99" t="s">
        <v>75</v>
      </c>
      <c r="R165" s="243" t="s">
        <v>196</v>
      </c>
    </row>
    <row r="166" spans="17:18">
      <c r="Q166" s="99" t="s">
        <v>518</v>
      </c>
      <c r="R166" s="243" t="s">
        <v>273</v>
      </c>
    </row>
    <row r="167" spans="17:18">
      <c r="Q167" s="99" t="s">
        <v>137</v>
      </c>
      <c r="R167" s="243" t="s">
        <v>195</v>
      </c>
    </row>
    <row r="168" spans="17:18">
      <c r="Q168" s="99" t="s">
        <v>133</v>
      </c>
      <c r="R168" s="243" t="s">
        <v>273</v>
      </c>
    </row>
    <row r="169" spans="17:18">
      <c r="Q169" s="99" t="s">
        <v>314</v>
      </c>
      <c r="R169" s="243" t="s">
        <v>273</v>
      </c>
    </row>
    <row r="170" spans="17:18">
      <c r="Q170" s="99" t="s">
        <v>33</v>
      </c>
      <c r="R170" s="243" t="s">
        <v>273</v>
      </c>
    </row>
    <row r="171" spans="17:18">
      <c r="Q171" s="99" t="s">
        <v>34</v>
      </c>
      <c r="R171" s="243" t="s">
        <v>200</v>
      </c>
    </row>
    <row r="172" spans="17:18">
      <c r="Q172" s="99" t="s">
        <v>35</v>
      </c>
      <c r="R172" s="243" t="s">
        <v>200</v>
      </c>
    </row>
    <row r="173" spans="17:18">
      <c r="Q173" s="99" t="s">
        <v>311</v>
      </c>
      <c r="R173" s="243" t="s">
        <v>273</v>
      </c>
    </row>
    <row r="174" spans="17:18">
      <c r="Q174" s="99" t="s">
        <v>64</v>
      </c>
      <c r="R174" s="243" t="s">
        <v>204</v>
      </c>
    </row>
    <row r="175" spans="17:18">
      <c r="Q175" s="99" t="s">
        <v>379</v>
      </c>
      <c r="R175" s="243" t="s">
        <v>273</v>
      </c>
    </row>
    <row r="176" spans="17:18">
      <c r="Q176" s="99" t="s">
        <v>327</v>
      </c>
      <c r="R176" s="243" t="s">
        <v>193</v>
      </c>
    </row>
    <row r="177" spans="17:18">
      <c r="Q177" s="99" t="s">
        <v>65</v>
      </c>
      <c r="R177" s="243" t="s">
        <v>199</v>
      </c>
    </row>
    <row r="178" spans="17:18">
      <c r="Q178" s="99" t="s">
        <v>391</v>
      </c>
      <c r="R178" s="243" t="s">
        <v>273</v>
      </c>
    </row>
    <row r="179" spans="17:18">
      <c r="Q179" s="99" t="s">
        <v>319</v>
      </c>
      <c r="R179" s="243" t="s">
        <v>273</v>
      </c>
    </row>
    <row r="180" spans="17:18">
      <c r="Q180" s="99" t="s">
        <v>404</v>
      </c>
      <c r="R180" s="243" t="s">
        <v>273</v>
      </c>
    </row>
    <row r="181" spans="17:18">
      <c r="Q181" s="99" t="s">
        <v>11</v>
      </c>
      <c r="R181" s="243" t="s">
        <v>273</v>
      </c>
    </row>
    <row r="182" spans="17:18">
      <c r="Q182" s="99" t="s">
        <v>76</v>
      </c>
      <c r="R182" s="243" t="s">
        <v>215</v>
      </c>
    </row>
    <row r="183" spans="17:18">
      <c r="Q183" s="99" t="s">
        <v>66</v>
      </c>
      <c r="R183" s="243" t="s">
        <v>193</v>
      </c>
    </row>
    <row r="184" spans="17:18">
      <c r="Q184" s="99" t="s">
        <v>67</v>
      </c>
      <c r="R184" s="243" t="s">
        <v>196</v>
      </c>
    </row>
    <row r="185" spans="17:18">
      <c r="Q185" s="99" t="s">
        <v>409</v>
      </c>
      <c r="R185" s="243" t="s">
        <v>273</v>
      </c>
    </row>
    <row r="186" spans="17:18">
      <c r="Q186" s="99" t="s">
        <v>225</v>
      </c>
      <c r="R186" s="243" t="s">
        <v>206</v>
      </c>
    </row>
    <row r="187" spans="17:18">
      <c r="Q187" s="99" t="s">
        <v>68</v>
      </c>
      <c r="R187" s="243" t="s">
        <v>273</v>
      </c>
    </row>
    <row r="188" spans="17:18">
      <c r="Q188" s="99" t="s">
        <v>60</v>
      </c>
      <c r="R188" s="243" t="s">
        <v>207</v>
      </c>
    </row>
    <row r="189" spans="17:18">
      <c r="Q189" s="99" t="s">
        <v>57</v>
      </c>
      <c r="R189" s="243" t="s">
        <v>207</v>
      </c>
    </row>
    <row r="190" spans="17:18">
      <c r="Q190" s="99" t="s">
        <v>348</v>
      </c>
      <c r="R190" s="243" t="s">
        <v>201</v>
      </c>
    </row>
    <row r="191" spans="17:18">
      <c r="Q191" s="99" t="s">
        <v>69</v>
      </c>
      <c r="R191" s="243" t="s">
        <v>203</v>
      </c>
    </row>
    <row r="192" spans="17:18">
      <c r="Q192" s="99" t="s">
        <v>371</v>
      </c>
      <c r="R192" s="243" t="s">
        <v>196</v>
      </c>
    </row>
    <row r="193" spans="17:18">
      <c r="Q193" s="99" t="s">
        <v>400</v>
      </c>
      <c r="R193" s="243" t="s">
        <v>273</v>
      </c>
    </row>
    <row r="194" spans="17:18">
      <c r="Q194" s="99" t="s">
        <v>599</v>
      </c>
      <c r="R194" s="243" t="s">
        <v>273</v>
      </c>
    </row>
    <row r="195" spans="17:18">
      <c r="Q195" s="99" t="s">
        <v>70</v>
      </c>
      <c r="R195" s="244" t="s">
        <v>273</v>
      </c>
    </row>
    <row r="196" spans="17:18">
      <c r="Q196" s="99" t="s">
        <v>71</v>
      </c>
      <c r="R196" s="243" t="s">
        <v>213</v>
      </c>
    </row>
    <row r="197" spans="17:18">
      <c r="Q197" s="99" t="s">
        <v>418</v>
      </c>
      <c r="R197" s="243" t="s">
        <v>273</v>
      </c>
    </row>
    <row r="198" spans="17:18">
      <c r="Q198" s="99" t="s">
        <v>189</v>
      </c>
      <c r="R198" s="243" t="s">
        <v>273</v>
      </c>
    </row>
    <row r="199" spans="17:18">
      <c r="Q199" s="99" t="s">
        <v>315</v>
      </c>
      <c r="R199" s="243" t="s">
        <v>273</v>
      </c>
    </row>
  </sheetData>
  <hyperlinks>
    <hyperlink ref="O8" r:id="rId1" display="https://tradingeconomics.com/australia/rating" xr:uid="{B8233526-0C63-7743-8F9B-6CBFB5865240}"/>
    <hyperlink ref="O28" r:id="rId2" display="https://tradingeconomics.com/canada/rating" xr:uid="{81B64306-A897-9941-BFF8-DF5E68134D70}"/>
    <hyperlink ref="O41" r:id="rId3" display="https://tradingeconomics.com/denmark/rating" xr:uid="{E879EA9C-F12D-8345-85E2-9AEA7E03173C}"/>
    <hyperlink ref="O54" r:id="rId4" display="https://tradingeconomics.com/germany/rating" xr:uid="{BCA526FF-86EB-104B-B91C-4B035755BA2F}"/>
    <hyperlink ref="O83" r:id="rId5" display="https://tradingeconomics.com/liechtenstein/rating" xr:uid="{97E25C2B-F61D-8D43-8A57-5207E693DED2}"/>
    <hyperlink ref="O85" r:id="rId6" display="https://tradingeconomics.com/luxembourg/rating" xr:uid="{6E2315C1-3D38-3443-9325-A483F05B1DC0}"/>
    <hyperlink ref="O103" r:id="rId7" display="https://tradingeconomics.com/netherlands/rating" xr:uid="{82B9A5B2-45BD-A04F-B7B4-3E1881FA3A97}"/>
    <hyperlink ref="O141" r:id="rId8" display="https://tradingeconomics.com/switzerland/rating" xr:uid="{81B5853F-3F43-5E40-BAC8-DF6E9B6465D4}"/>
    <hyperlink ref="O108" r:id="rId9" display="https://tradingeconomics.com/norway/rating" xr:uid="{D6F84101-76F9-3447-A684-3418076A67AB}"/>
    <hyperlink ref="O140" r:id="rId10" display="https://tradingeconomics.com/sweden/rating" xr:uid="{91251B4C-C59A-F54F-BB89-BAD4FEB1B5BA}"/>
    <hyperlink ref="O48" r:id="rId11" display="https://tradingeconomics.com/european-union/rating" xr:uid="{6466923A-621F-D74B-A6A3-9F8733AE63F1}"/>
    <hyperlink ref="O129" r:id="rId12" display="https://tradingeconomics.com/singapore/rating" xr:uid="{A147DFAA-56FF-C349-872D-741977C29FEA}"/>
    <hyperlink ref="O155" r:id="rId13" display="https://tradingeconomics.com/united-states/rating" xr:uid="{F5B724AC-C129-6449-BB51-F7CCE2C86233}"/>
    <hyperlink ref="O9" r:id="rId14" display="https://tradingeconomics.com/austria/rating" xr:uid="{CCA5773A-B441-0F4C-A11F-C88194C1B85B}"/>
    <hyperlink ref="O50" r:id="rId15" display="https://tradingeconomics.com/finland/rating" xr:uid="{97215867-D301-B84C-A104-9C1905DEFFF2}"/>
    <hyperlink ref="O104" r:id="rId16" display="https://tradingeconomics.com/new-zealand/rating" xr:uid="{E573DF2D-6263-C74B-B6F6-2B4ECED40331}"/>
    <hyperlink ref="O51" r:id="rId17" display="https://tradingeconomics.com/france/rating" xr:uid="{A0EE12B7-5B68-9F4C-AD48-398FC1304035}"/>
    <hyperlink ref="O142" r:id="rId18" display="https://tradingeconomics.com/taiwan/rating" xr:uid="{4EF77473-8A42-6A4A-8422-80BCFE3350BC}"/>
    <hyperlink ref="O153" r:id="rId19" display="https://tradingeconomics.com/united-arab-emirates/rating" xr:uid="{2D760BB7-A990-C64E-974A-8290F592E1F8}"/>
    <hyperlink ref="O60" r:id="rId20" display="https://tradingeconomics.com/hong-kong/rating" xr:uid="{18D7ADB8-2DBC-544C-82DF-38FF41E29666}"/>
    <hyperlink ref="O66" r:id="rId21" display="https://tradingeconomics.com/ireland/rating" xr:uid="{A3CFDD72-D29D-254D-B8A1-CCA18B079191}"/>
    <hyperlink ref="O119" r:id="rId22" display="https://tradingeconomics.com/qatar/rating" xr:uid="{99859AD7-5C71-C74B-8850-F4EC2677B128}"/>
    <hyperlink ref="O16" r:id="rId23" display="https://tradingeconomics.com/belgium/rating" xr:uid="{EA8D8887-C637-B644-87B5-35859B9B4673}"/>
    <hyperlink ref="O67" r:id="rId24" display="https://tradingeconomics.com/isle-of-man/rating" xr:uid="{48F9317F-35C7-B944-A770-6C272493D8C1}"/>
    <hyperlink ref="O86" r:id="rId25" display="https://tradingeconomics.com/macau/rating" xr:uid="{47931A1B-C425-234F-85B2-BD9A3AF7FA3E}"/>
    <hyperlink ref="O154" r:id="rId26" display="https://tradingeconomics.com/united-kingdom/rating" xr:uid="{8E92AB8C-38F2-A246-B22F-7C23310F147E}"/>
    <hyperlink ref="O134" r:id="rId27" display="https://tradingeconomics.com/south-korea/rating" xr:uid="{7BA9A31E-8508-5249-8AB1-955422C662DA}"/>
    <hyperlink ref="O30" r:id="rId28" display="https://tradingeconomics.com/cayman-islands/rating" xr:uid="{0A8F6F7A-933B-1145-8634-C880866BF040}"/>
    <hyperlink ref="O40" r:id="rId29" display="https://tradingeconomics.com/czech-republic/rating" xr:uid="{689EDCC8-01CF-714B-83C9-577DAB5A0F02}"/>
    <hyperlink ref="O46" r:id="rId30" display="https://tradingeconomics.com/estonia/rating" xr:uid="{7E0799A8-E6DF-414F-A7B0-518B362A8458}"/>
    <hyperlink ref="O77" r:id="rId31" display="https://tradingeconomics.com/kuwait/rating" xr:uid="{9D824CEC-CC40-794E-9675-DA9C3E1BE576}"/>
    <hyperlink ref="O19" r:id="rId32" display="https://tradingeconomics.com/bermuda/rating" xr:uid="{C1D8824D-6F93-6F40-8CF0-B232526599AC}"/>
    <hyperlink ref="O33" r:id="rId33" display="https://tradingeconomics.com/china/rating" xr:uid="{4C219695-7E92-574F-93F9-4E591778A639}"/>
    <hyperlink ref="O125" r:id="rId34" display="https://tradingeconomics.com/saudi-arabia/rating" xr:uid="{999C043E-857F-A848-8453-578FB45FE6F7}"/>
    <hyperlink ref="O72" r:id="rId35" display="https://tradingeconomics.com/japan/rating" xr:uid="{DE7C7115-57B5-C449-A168-3EA652FFED6A}"/>
    <hyperlink ref="O62" r:id="rId36" display="https://tradingeconomics.com/iceland/rating" xr:uid="{134D5FE7-7301-4243-B642-B06DE25C9CEB}"/>
    <hyperlink ref="O84" r:id="rId37" display="https://tradingeconomics.com/lithuania/rating" xr:uid="{2F05A5B3-B0A0-0E47-9A51-AED17D6DE686}"/>
    <hyperlink ref="O131" r:id="rId38" display="https://tradingeconomics.com/slovenia/rating" xr:uid="{50613C5B-FB41-2342-9EC4-BA643B5F1EB8}"/>
    <hyperlink ref="O92" r:id="rId39" display="https://tradingeconomics.com/malta/rating" xr:uid="{EBCB9867-B1F3-9B41-8DCF-BBAF4D841686}"/>
    <hyperlink ref="O130" r:id="rId40" display="https://tradingeconomics.com/slovakia/rating" xr:uid="{A1E73DF6-A7F5-CA4E-B788-9AB6E94727DB}"/>
    <hyperlink ref="O32" r:id="rId41" display="https://tradingeconomics.com/chile/rating" xr:uid="{7049185F-299C-5748-9EB8-C4F1CB757050}"/>
    <hyperlink ref="O68" r:id="rId42" display="https://tradingeconomics.com/israel/rating" xr:uid="{90488549-73AE-AA42-A439-F7E555D4D71C}"/>
    <hyperlink ref="O80" r:id="rId43" display="https://tradingeconomics.com/latvia/rating" xr:uid="{7A055015-7BA0-4746-A4B9-D34097E46526}"/>
    <hyperlink ref="O116" r:id="rId44" display="https://tradingeconomics.com/poland/rating" xr:uid="{CAA938A4-1AEF-9E43-B960-8528350D2D89}"/>
    <hyperlink ref="O117" r:id="rId45" display="https://tradingeconomics.com/portugal/rating" xr:uid="{54DFA44A-8D01-2646-8F2F-B09D9EE72035}"/>
    <hyperlink ref="O135" r:id="rId46" display="https://tradingeconomics.com/spain/rating" xr:uid="{A94F90C0-14DC-0D4F-8459-066DCED8D5FA}"/>
    <hyperlink ref="O89" r:id="rId47" display="https://tradingeconomics.com/malaysia/rating" xr:uid="{A6BE5B5F-09BD-8E4C-924A-293824F3BDB1}"/>
    <hyperlink ref="O22" r:id="rId48" display="https://tradingeconomics.com/botswana/rating" xr:uid="{3C0F2B6D-9E9A-A043-8847-A58782F12E30}"/>
    <hyperlink ref="O3" r:id="rId49" display="https://tradingeconomics.com/andorra/rating" xr:uid="{A98C50E2-DD50-2E48-9C53-013263D718F8}"/>
    <hyperlink ref="O37" r:id="rId50" display="https://tradingeconomics.com/croatia/rating" xr:uid="{CB866714-86B6-A146-B7E4-C5D8CFFC5894}"/>
    <hyperlink ref="O39" r:id="rId51" display="https://tradingeconomics.com/cyprus/rating" xr:uid="{9DE980C2-3AEF-F04F-87C0-5A9B2DA8DAF2}"/>
    <hyperlink ref="O145" r:id="rId52" display="https://tradingeconomics.com/thailand/rating" xr:uid="{CE58D465-FFAF-BE42-8996-897A77B606D7}"/>
    <hyperlink ref="O69" r:id="rId53" display="https://tradingeconomics.com/italy/rating" xr:uid="{F4EFE766-14E2-DD4D-9C6E-C69C1D2587AE}"/>
    <hyperlink ref="O24" r:id="rId54" display="https://tradingeconomics.com/bulgaria/rating" xr:uid="{C7436158-105D-9D46-A383-3ACAC79263AE}"/>
    <hyperlink ref="O115" r:id="rId55" display="https://tradingeconomics.com/philippines/rating" xr:uid="{0BDE2B13-68A2-3D49-9CD3-4545D4AC19D1}"/>
    <hyperlink ref="O156" r:id="rId56" display="https://tradingeconomics.com/uruguay/rating" xr:uid="{60C2D383-BA3E-9C41-95B9-9807ED5302D7}"/>
    <hyperlink ref="O64" r:id="rId57" display="https://tradingeconomics.com/indonesia/rating" xr:uid="{7946F85F-056C-3C46-B8F2-5F366757F06D}"/>
    <hyperlink ref="O114" r:id="rId58" display="https://tradingeconomics.com/peru/rating" xr:uid="{5492367F-C2B7-D64A-8526-5AA370CABD90}"/>
    <hyperlink ref="O61" r:id="rId59" display="https://tradingeconomics.com/hungary/rating" xr:uid="{3D105ED3-D78A-9644-B525-537834C066F3}"/>
    <hyperlink ref="O74" r:id="rId60" display="https://tradingeconomics.com/kazakhstan/rating" xr:uid="{DF4AC645-3664-5D47-8045-6059A8E6ED6B}"/>
    <hyperlink ref="O94" r:id="rId61" display="https://tradingeconomics.com/mexico/rating" xr:uid="{E21FA989-52E6-B744-BD51-622903B6B618}"/>
    <hyperlink ref="O63" r:id="rId62" display="https://tradingeconomics.com/india/rating" xr:uid="{A7E0A98B-3A78-1D4C-9F61-F4B225ED7D19}"/>
    <hyperlink ref="O7" r:id="rId63" display="https://tradingeconomics.com/aruba/rating" xr:uid="{A6722651-CF5A-3E42-8920-F83325D49FC0}"/>
    <hyperlink ref="O34" r:id="rId64" display="https://tradingeconomics.com/colombia/rating" xr:uid="{17720DBF-B177-0444-A15A-0311ABD5D5C6}"/>
    <hyperlink ref="O93" r:id="rId65" display="https://tradingeconomics.com/mauritius/rating" xr:uid="{F557DF3A-24EB-B74C-B8CC-A91D9194D286}"/>
    <hyperlink ref="O98" display="Montserrat" xr:uid="{09728D9C-BD25-0948-897B-C3CD4C2ABE01}"/>
    <hyperlink ref="O121" r:id="rId66" display="https://tradingeconomics.com/romania/rating" xr:uid="{767775E4-60DA-2D44-AC61-42384BEC1940}"/>
    <hyperlink ref="O111" r:id="rId67" display="https://tradingeconomics.com/panama/rating" xr:uid="{14ED3FA1-8495-4A47-A189-9042A185B414}"/>
    <hyperlink ref="O56" r:id="rId68" display="https://tradingeconomics.com/greece/rating" xr:uid="{54A26165-6FEC-2C42-B7C7-21F3EDB4D45B}"/>
    <hyperlink ref="O109" r:id="rId69" display="https://tradingeconomics.com/oman/rating" xr:uid="{51236B12-91DF-094A-8776-F8D4318A7514}"/>
    <hyperlink ref="O10" r:id="rId70" display="https://tradingeconomics.com/azerbaijan/rating" xr:uid="{A93C1D89-AEE2-5A46-AF59-7BB06A53D1C7}"/>
    <hyperlink ref="O99" r:id="rId71" display="https://tradingeconomics.com/morocco/rating" xr:uid="{7686AE19-D3C9-5242-B7BA-62191872BF69}"/>
    <hyperlink ref="O113" r:id="rId72" display="https://tradingeconomics.com/paraguay/rating" xr:uid="{7250D363-BF66-6744-ADD5-69046B495AF5}"/>
    <hyperlink ref="O124" r:id="rId73" display="https://tradingeconomics.com/san-marino/rating" xr:uid="{771F224A-BB34-B345-95ED-53A5CDE95054}"/>
    <hyperlink ref="O147" r:id="rId74" display="https://tradingeconomics.com/trinidad-and-tobago/rating" xr:uid="{8E44E514-0C0D-0646-898F-061C99636490}"/>
    <hyperlink ref="O127" r:id="rId75" display="https://tradingeconomics.com/serbia/rating" xr:uid="{FF59E59A-77DE-DE4A-943C-144B18E64289}"/>
    <hyperlink ref="O58" r:id="rId76" display="https://tradingeconomics.com/guatemala/rating" xr:uid="{BA0E29F7-F6CD-CC4A-978B-C4855B669C59}"/>
    <hyperlink ref="O159" r:id="rId77" display="https://tradingeconomics.com/vietnam/rating" xr:uid="{E6BED33C-1C0C-EB4B-AD56-3C320AB89FD0}"/>
    <hyperlink ref="O23" r:id="rId78" display="https://tradingeconomics.com/brazil/rating" xr:uid="{D7851C23-B42F-DD43-9863-1B1E3DD580ED}"/>
    <hyperlink ref="O53" r:id="rId79" display="https://tradingeconomics.com/georgia/rating" xr:uid="{B62DD6DA-32B0-8E42-85D8-3C20AD0EA414}"/>
    <hyperlink ref="O87" r:id="rId80" display="https://tradingeconomics.com/macedonia/rating" xr:uid="{2F614E6B-0755-444A-8082-C6EA4292EF06}"/>
    <hyperlink ref="O36" r:id="rId81" display="https://tradingeconomics.com/costa-rica/rating" xr:uid="{8589D170-D923-B94E-9146-67C42CDB6988}"/>
    <hyperlink ref="O42" r:id="rId82" display="https://tradingeconomics.com/dominican-republic/rating" xr:uid="{169F9352-66B6-C94F-9855-B0EDA8ADB606}"/>
    <hyperlink ref="O70" r:id="rId83" display="https://tradingeconomics.com/ivory-coast/rating" xr:uid="{543E5C58-E40D-A048-A094-7BFD663D3235}"/>
    <hyperlink ref="O133" r:id="rId84" display="https://tradingeconomics.com/south-africa/rating" xr:uid="{69B347DE-FEB3-0D4A-97BA-AD7D0C79D0E1}"/>
    <hyperlink ref="O128" r:id="rId85" display="https://tradingeconomics.com/seychelles/rating" xr:uid="{A12A56EF-481E-F940-9615-750D88919854}"/>
    <hyperlink ref="O157" r:id="rId86" display="https://tradingeconomics.com/uzbekistan/rating" xr:uid="{32AEE1D0-E2B3-F74F-9FD7-DE483459E82E}"/>
    <hyperlink ref="O6" r:id="rId87" display="https://tradingeconomics.com/armenia/rating" xr:uid="{1AA7B466-653E-1940-98AB-C68393E3F876}"/>
    <hyperlink ref="O71" r:id="rId88" display="https://tradingeconomics.com/jamaica/rating" xr:uid="{62A8B580-BFC8-384C-91B8-4AE44074EC8E}"/>
    <hyperlink ref="O73" r:id="rId89" display="https://tradingeconomics.com/jordan/rating" xr:uid="{63BCB4C5-A743-9E48-8269-27F7E7FA689E}"/>
    <hyperlink ref="O2" r:id="rId90" display="https://tradingeconomics.com/albania/rating" xr:uid="{01DB6857-AC9F-CC42-A1E3-CC7A206CDF3D}"/>
    <hyperlink ref="O11" r:id="rId91" display="https://tradingeconomics.com/bahamas/rating" xr:uid="{E7E5CE8D-B929-DD46-A290-9419634F1ABF}"/>
    <hyperlink ref="O59" r:id="rId92" display="https://tradingeconomics.com/honduras/rating" xr:uid="{282346B4-ABB8-0F49-BAED-50B6A262D423}"/>
    <hyperlink ref="O101" r:id="rId93" display="https://tradingeconomics.com/namibia/rating" xr:uid="{A433EA4B-0403-DE4D-B749-48693D625CB5}"/>
    <hyperlink ref="O18" r:id="rId94" display="https://tradingeconomics.com/benin/rating" xr:uid="{8FA408B1-0ADE-D540-B19F-E7A145E2431A}"/>
    <hyperlink ref="O149" r:id="rId95" display="https://tradingeconomics.com/turkey/rating" xr:uid="{3F5EC0DD-EE48-774A-A781-8C6B598A2D51}"/>
    <hyperlink ref="O13" r:id="rId96" display="https://tradingeconomics.com/bangladesh/rating" xr:uid="{6184DC92-702D-9644-BF1D-45574FD14A86}"/>
    <hyperlink ref="O49" r:id="rId97" display="https://tradingeconomics.com/fiji/rating" xr:uid="{002D653B-3154-AB46-BA0C-29BDD4C4EF7B}"/>
    <hyperlink ref="O97" r:id="rId98" display="https://tradingeconomics.com/montenegro/rating" xr:uid="{B5EFEEB9-8F11-3641-9682-646F71DA07C1}"/>
    <hyperlink ref="O126" r:id="rId99" display="https://tradingeconomics.com/senegal/rating" xr:uid="{87881320-FF0E-754C-A52A-C49D79C7865B}"/>
    <hyperlink ref="O150" r:id="rId100" display="https://tradingeconomics.com/turkmenistan/rating" xr:uid="{95985FC1-2290-DF42-A32C-0D3F37454189}"/>
    <hyperlink ref="O12" r:id="rId101" display="https://tradingeconomics.com/bahrain/rating" xr:uid="{5F5D3C7C-D97A-D842-80D0-1D968DADC5E7}"/>
    <hyperlink ref="O123" r:id="rId102" display="https://tradingeconomics.com/rwanda/rating" xr:uid="{F857F828-600C-764D-B753-E6B05817FC8F}"/>
    <hyperlink ref="O144" r:id="rId103" display="https://tradingeconomics.com/tanzania/rating" xr:uid="{724168CC-31EE-714F-868F-BE2F509BE797}"/>
    <hyperlink ref="O96" r:id="rId104" display="https://tradingeconomics.com/mongolia/rating" xr:uid="{1CA0872C-F6DD-AC46-9D62-25D7A5C82C36}"/>
    <hyperlink ref="O26" r:id="rId105" display="https://tradingeconomics.com/cambodia/rating" xr:uid="{48B9C5B7-0267-E44D-B809-91A8B2F07C2F}"/>
    <hyperlink ref="O82" r:id="rId106" display="https://tradingeconomics.com/lesotho/rating" xr:uid="{634EEE05-E656-0D4C-ACC0-B269BE559802}"/>
    <hyperlink ref="O105" r:id="rId107" display="https://tradingeconomics.com/nicaragua/rating" xr:uid="{D3BF39EE-506A-C644-9E11-FF8EAD184BFD}"/>
    <hyperlink ref="O160" r:id="rId108" display="https://tradingeconomics.com/zambia/rating" xr:uid="{E5F618D3-003D-FD43-980F-580DD176D847}"/>
    <hyperlink ref="O14" r:id="rId109" display="https://tradingeconomics.com/barbados/rating" xr:uid="{9FEFD1F4-B9E8-4D4B-8754-74EE8DFE2624}"/>
    <hyperlink ref="O151" r:id="rId110" display="https://tradingeconomics.com/uganda/rating" xr:uid="{3BF7A167-3894-BE47-AEEC-66BEEA55023D}"/>
    <hyperlink ref="O21" r:id="rId111" display="https://tradingeconomics.com/bosnia-and-herzegovina/rating" xr:uid="{27D2E9E9-8929-0D45-AF99-5D3B4758335A}"/>
    <hyperlink ref="O29" r:id="rId112" display="https://tradingeconomics.com/cape-verde/rating" xr:uid="{287D6AEC-6C37-A549-BAC0-388B4AEE09ED}"/>
    <hyperlink ref="O78" r:id="rId113" display="https://tradingeconomics.com/kyrgyzstan/rating" xr:uid="{F7B8AE58-7378-314F-A24B-919864AAEC3A}"/>
    <hyperlink ref="O112" r:id="rId114" display="https://tradingeconomics.com/papua-new-guinea/rating" xr:uid="{93DAB9E1-6BFE-EE40-9905-9CE06C2A8D5D}"/>
    <hyperlink ref="O143" r:id="rId115" display="https://tradingeconomics.com/tajikistan/rating" xr:uid="{7C4BA753-D288-DD46-A9B7-078B2AEA251D}"/>
    <hyperlink ref="O146" r:id="rId116" display="https://tradingeconomics.com/togo/rating" xr:uid="{DBE76EA0-2F3E-2C40-95D3-327601DCB772}"/>
    <hyperlink ref="O4" r:id="rId117" display="https://tradingeconomics.com/angola/rating" xr:uid="{154A0DA8-3AFA-544C-8633-0CD6136C8625}"/>
    <hyperlink ref="O31" r:id="rId118" display="https://tradingeconomics.com/chad/rating" xr:uid="{8F5C69A9-767B-B147-9919-5D2B703C4B07}"/>
    <hyperlink ref="O75" r:id="rId119" display="https://tradingeconomics.com/kenya/rating" xr:uid="{A7536F04-7190-9E48-847B-C7ABCCC6F18E}"/>
    <hyperlink ref="O88" r:id="rId120" display="https://tradingeconomics.com/madagascar/rating" xr:uid="{684E4AB5-769A-454C-A4E8-2F2FA39A110E}"/>
    <hyperlink ref="O95" r:id="rId121" display="https://tradingeconomics.com/moldova/rating" xr:uid="{EEC73B05-0BB7-A740-8459-6575A77F814D}"/>
    <hyperlink ref="O132" r:id="rId122" display="https://tradingeconomics.com/solomon-islands/rating" xr:uid="{6E8797F6-3EE0-5646-9887-54F90065A7E9}"/>
    <hyperlink ref="O137" r:id="rId123" display="https://tradingeconomics.com/st-vincent-and-the-grenadines/rating" xr:uid="{77ED6B8D-2BF6-8B41-9254-A1D43D9BC8C4}"/>
    <hyperlink ref="O139" r:id="rId124" display="https://tradingeconomics.com/swaziland/rating" xr:uid="{14D45C67-C40C-EE4A-BEF9-559CA0D3A820}"/>
    <hyperlink ref="O27" r:id="rId125" display="https://tradingeconomics.com/cameroon/rating" xr:uid="{910C572F-8236-2843-B82D-E13F099BB5D9}"/>
    <hyperlink ref="O44" r:id="rId126" display="https://tradingeconomics.com/egypt/rating" xr:uid="{71A86871-FA2C-8F48-A87B-6665424325AB}"/>
    <hyperlink ref="O52" r:id="rId127" display="https://tradingeconomics.com/gabon/rating" xr:uid="{C3255CB5-13FF-214B-AA14-84E5B9BA6D64}"/>
    <hyperlink ref="O65" r:id="rId128" display="https://tradingeconomics.com/iraq/rating" xr:uid="{C94B474C-E8EE-BA46-ACD2-80D0D008C574}"/>
    <hyperlink ref="O107" r:id="rId129" display="https://tradingeconomics.com/nigeria/rating" xr:uid="{1BF1CF42-8C6B-4E49-BFC7-928495CA9840}"/>
    <hyperlink ref="O35" r:id="rId130" display="https://tradingeconomics.com/congo/rating" xr:uid="{25ED87F3-8E9B-244B-8BCA-166D6836ECC5}"/>
    <hyperlink ref="O90" r:id="rId131" display="https://tradingeconomics.com/maldives/rating" xr:uid="{DDC4FCC4-E69F-BB43-90CC-0468F5CCE0B1}"/>
    <hyperlink ref="O148" r:id="rId132" display="https://tradingeconomics.com/tunisia/rating" xr:uid="{33DF9413-351C-514B-A52E-4B94D9626752}"/>
    <hyperlink ref="O17" r:id="rId133" display="https://tradingeconomics.com/belize/rating" xr:uid="{4BA67FF1-194C-504D-9810-01B40E132353}"/>
    <hyperlink ref="O20" r:id="rId134" display="https://tradingeconomics.com/bolivia/rating" xr:uid="{6ED10AE6-6022-A342-BE68-A68CC7B238C0}"/>
    <hyperlink ref="O25" r:id="rId135" display="https://tradingeconomics.com/burkina-faso/rating" xr:uid="{1EE1DFE3-C156-124B-AB39-FB7C51D10AD3}"/>
    <hyperlink ref="O43" r:id="rId136" display="https://tradingeconomics.com/ecuador/rating" xr:uid="{AE5EF736-E65B-0440-AA18-7EBC82B68D5B}"/>
    <hyperlink ref="O45" r:id="rId137" display="https://tradingeconomics.com/el-salvador/rating" xr:uid="{13A76076-F5C3-B940-859F-2C06CE5992DF}"/>
    <hyperlink ref="O100" r:id="rId138" display="https://tradingeconomics.com/mozambique/rating" xr:uid="{B203B4F9-C9DA-7942-A810-4C892DC964D0}"/>
    <hyperlink ref="O120" r:id="rId139" display="https://tradingeconomics.com/republic-of-the-congo/rating" xr:uid="{96813D2A-FA6C-E949-849C-65DB560F6B41}"/>
    <hyperlink ref="O110" r:id="rId140" display="https://tradingeconomics.com/pakistan/rating" xr:uid="{80B743CF-26FC-874F-BC80-41A56958F22B}"/>
    <hyperlink ref="O138" r:id="rId141" display="https://tradingeconomics.com/suriname/rating" xr:uid="{800DE138-A38C-394A-BF01-A72F42AEB9A0}"/>
    <hyperlink ref="O47" r:id="rId142" display="https://tradingeconomics.com/ethiopia/rating" xr:uid="{5E99332A-D6C7-CA4F-BF96-E49E2C4C594E}"/>
    <hyperlink ref="O79" r:id="rId143" display="https://tradingeconomics.com/laos/rating" xr:uid="{546E2B2D-FA26-FF46-8A1F-2469609A8691}"/>
    <hyperlink ref="O91" r:id="rId144" display="https://tradingeconomics.com/mali/rating" xr:uid="{D8EC1DAB-62D0-3D45-A12E-11703CC3D7B5}"/>
    <hyperlink ref="O106" r:id="rId145" display="https://tradingeconomics.com/niger/rating" xr:uid="{B17F3469-46FA-5D4B-8403-B903A930A3AF}"/>
    <hyperlink ref="O122" r:id="rId146" display="https://tradingeconomics.com/russia/rating" xr:uid="{87812BE5-A578-4F42-A568-044DD9597BD6}"/>
    <hyperlink ref="O5" r:id="rId147" display="https://tradingeconomics.com/argentina/rating" xr:uid="{8154133F-E01E-0A48-94DF-B6CD58867BB6}"/>
    <hyperlink ref="O15" r:id="rId148" display="https://tradingeconomics.com/belarus/rating" xr:uid="{3749BC6A-F282-424E-80F4-E3F77831A46A}"/>
    <hyperlink ref="O55" r:id="rId149" display="https://tradingeconomics.com/ghana/rating" xr:uid="{168867CA-C514-7244-961F-63A057AA3F83}"/>
    <hyperlink ref="O136" r:id="rId150" display="https://tradingeconomics.com/sri-lanka/rating" xr:uid="{2C10B240-F1A4-2144-8E47-317B1E3F012A}"/>
    <hyperlink ref="O152" r:id="rId151" display="https://tradingeconomics.com/ukraine/rating" xr:uid="{E17F0538-C3C3-E648-AF1A-2A4F1FB557F3}"/>
    <hyperlink ref="O158" r:id="rId152" display="https://tradingeconomics.com/venezuela/rating" xr:uid="{38641AE7-B161-5543-B5A4-7082B068ED12}"/>
    <hyperlink ref="O81" r:id="rId153" display="https://tradingeconomics.com/lebanon/rating" xr:uid="{2C61214E-ADA9-D741-80CD-F7FFF91326B3}"/>
    <hyperlink ref="O38" r:id="rId154" display="https://tradingeconomics.com/cuba/rating" xr:uid="{BAA42AB0-9DC7-8144-B7B5-F569C65914FB}"/>
    <hyperlink ref="O118" r:id="rId155" display="https://tradingeconomics.com/puerto-rico/rating" xr:uid="{8AD03EEB-A3E1-DD4A-820C-558377DB268F}"/>
    <hyperlink ref="O57" r:id="rId156" display="https://tradingeconomics.com/grenada/rating" xr:uid="{4B2F6DCC-96C8-0146-9D93-95FF7CFC38A7}"/>
    <hyperlink ref="O76" r:id="rId157" display="https://tradingeconomics.com/kosovo/rating" xr:uid="{4DF3DBF1-26C3-1B48-9E00-C640D9AEA157}"/>
    <hyperlink ref="O102" r:id="rId158" display="https://tradingeconomics.com/nepal/rating" xr:uid="{A2BA5590-10AD-7241-9103-1CA13E5F9D0E}"/>
    <hyperlink ref="Q2" r:id="rId159" display="https://www.wikirating.com/afghanistan" xr:uid="{A767FC6F-1131-5D40-88FF-2472FC57F8F3}"/>
    <hyperlink ref="Q3" r:id="rId160" display="https://www.wikirating.com/albania" xr:uid="{7746BBD0-E40E-8843-9086-74212BFDD400}"/>
    <hyperlink ref="Q4" r:id="rId161" display="https://www.wikirating.com/algeria" xr:uid="{67DCAB94-371A-9A43-9C64-1F7253672108}"/>
    <hyperlink ref="Q5" r:id="rId162" display="https://www.wikirating.com/andorra" xr:uid="{0A6217EA-AA53-A647-B771-DB0F9F6C2B0F}"/>
    <hyperlink ref="Q6" r:id="rId163" display="https://www.wikirating.com/angola" xr:uid="{25F22820-F644-AF42-84A8-46BB2D84D483}"/>
    <hyperlink ref="Q7" r:id="rId164" display="https://www.wikirating.com/antigua-and-barbuda" xr:uid="{8BE1290C-62DA-FF44-B28D-1437A54D3DD4}"/>
    <hyperlink ref="Q8" r:id="rId165" display="https://www.wikirating.com/argentina" xr:uid="{50C96326-2F7E-4F44-BB2C-AA6174EDCF8A}"/>
    <hyperlink ref="Q9" r:id="rId166" display="https://www.wikirating.com/armenia" xr:uid="{F56B52B6-D3BB-B24E-BDF5-DE38E719637D}"/>
    <hyperlink ref="Q10" r:id="rId167" display="https://www.wikirating.com/australia" xr:uid="{B0250657-2AAA-D341-A3EB-4B8B621E5A48}"/>
    <hyperlink ref="Q11" r:id="rId168" display="https://www.wikirating.com/austria" xr:uid="{4657BB8D-4770-5C49-A26D-EEFFB8968BFF}"/>
    <hyperlink ref="Q12" r:id="rId169" display="https://www.wikirating.com/azerbaijan" xr:uid="{7C2C97D0-ABC2-5A41-B7C7-89C0114E5E54}"/>
    <hyperlink ref="Q13" r:id="rId170" display="https://www.wikirating.com/bahamas" xr:uid="{4541C211-E61F-AC4E-B8C9-8BF7E3EF438E}"/>
    <hyperlink ref="Q14" r:id="rId171" display="https://www.wikirating.com/bahrain" xr:uid="{CDB24585-7B9C-A847-8EA4-EB956158CC40}"/>
    <hyperlink ref="Q15" r:id="rId172" display="https://www.wikirating.com/bangladesh" xr:uid="{B02BD8CD-1847-6D4E-BDAF-D4934B083A6E}"/>
    <hyperlink ref="Q16" r:id="rId173" display="https://www.wikirating.com/barbados" xr:uid="{2AD9A32D-81CE-2F47-B5A1-D4BB6D6148B4}"/>
    <hyperlink ref="Q17" r:id="rId174" display="https://www.wikirating.com/belarus" xr:uid="{923E0763-7518-374B-95E7-A40C4FB52D53}"/>
    <hyperlink ref="Q18" r:id="rId175" display="https://www.wikirating.com/belgium" xr:uid="{247FE895-65C1-184B-98E0-FC9678449A1F}"/>
    <hyperlink ref="Q19" r:id="rId176" display="https://www.wikirating.com/belize" xr:uid="{3B322A5A-DBC1-434E-B734-FA843816A12E}"/>
    <hyperlink ref="Q20" r:id="rId177" display="https://www.wikirating.com/benin" xr:uid="{080302A0-B8E9-9043-8601-50432573055E}"/>
    <hyperlink ref="Q21" r:id="rId178" display="https://www.wikirating.com/bhutan" xr:uid="{4040D04F-610B-FC4A-8C7C-0E650317833B}"/>
    <hyperlink ref="Q22" r:id="rId179" display="https://www.wikirating.com/bolivia" xr:uid="{80840C95-C087-EA4D-B2FF-74E71C769D60}"/>
    <hyperlink ref="Q23" r:id="rId180" display="https://www.wikirating.com/bosnia-and-herzegovina" xr:uid="{6975F8F3-B76F-A34C-81FA-0519F20EF96B}"/>
    <hyperlink ref="Q24" r:id="rId181" display="https://www.wikirating.com/botswana" xr:uid="{7D90C60B-9DA3-8D47-BA29-3B20FF5426B2}"/>
    <hyperlink ref="Q25" r:id="rId182" display="https://www.wikirating.com/brazil" xr:uid="{28BF5405-EF3D-564D-BF06-959B37D47414}"/>
    <hyperlink ref="Q26" r:id="rId183" display="https://www.wikirating.com/brunei" xr:uid="{D7DBD763-394F-574B-83B8-00119A16D0B9}"/>
    <hyperlink ref="Q27" r:id="rId184" display="https://www.wikirating.com/bulgaria" xr:uid="{8C8C0B27-3B9F-824F-9A06-3AB8DD114E6B}"/>
    <hyperlink ref="Q28" r:id="rId185" display="https://www.wikirating.com/burkina-faso" xr:uid="{1A32AFC2-64F8-0A42-A2D9-A99B25A1A49C}"/>
    <hyperlink ref="Q29" r:id="rId186" display="https://www.wikirating.com/burundi" xr:uid="{1061F472-F21D-5E44-9E76-63EE7F154955}"/>
    <hyperlink ref="Q30" r:id="rId187" display="https://www.wikirating.com/cambodia" xr:uid="{4D693D09-B0E1-ED40-B34C-A75037AF50D5}"/>
    <hyperlink ref="Q31" r:id="rId188" display="https://www.wikirating.com/cameroon" xr:uid="{1C7EDDA0-EFA1-B348-B1A9-0EDD1C0FF4B5}"/>
    <hyperlink ref="Q32" r:id="rId189" display="https://www.wikirating.com/canada" xr:uid="{BDF32B51-B6FF-184C-A787-270433F64852}"/>
    <hyperlink ref="Q33" r:id="rId190" display="https://www.wikirating.com/cape-verde" xr:uid="{E681B564-8379-9E44-98D8-C0EC4A8C7D4B}"/>
    <hyperlink ref="Q34" r:id="rId191" display="https://www.wikirating.com/central-african-republic" xr:uid="{126E40FD-8C88-AF48-AE09-1F8686B15E52}"/>
    <hyperlink ref="Q35" r:id="rId192" display="https://www.wikirating.com/chad" xr:uid="{40301CF7-421D-DD4B-AD4C-B5CDE0096049}"/>
    <hyperlink ref="Q36" r:id="rId193" display="https://www.wikirating.com/chile" xr:uid="{308D53D7-B162-8249-BDBD-F8C2B6E162A2}"/>
    <hyperlink ref="Q37" r:id="rId194" display="https://www.wikirating.com/peoples-republic-of-china" xr:uid="{3E6B2A85-73FE-554F-AE4E-DD255140D316}"/>
    <hyperlink ref="Q38" r:id="rId195" display="https://www.wikirating.com/ivory-coast" xr:uid="{EF870AD4-D02A-9542-81D1-313CF4DDD5E9}"/>
    <hyperlink ref="Q39" r:id="rId196" display="https://www.wikirating.com/colombia" xr:uid="{04EEA057-8838-8C4D-80D0-27782E0951EA}"/>
    <hyperlink ref="Q40" r:id="rId197" display="https://www.wikirating.com/comoros" xr:uid="{00883F66-95A3-D443-971C-4AEFE5D3843B}"/>
    <hyperlink ref="Q41" r:id="rId198" display="https://www.wikirating.com/democratic-republic-of-the-congo" xr:uid="{C88527A7-4B20-0649-B2F4-00C13B79EC61}"/>
    <hyperlink ref="Q42" r:id="rId199" display="https://www.wikirating.com/republic-of-the-congo" xr:uid="{5F6794D8-4CA2-B244-855A-DE5231338963}"/>
    <hyperlink ref="Q43" r:id="rId200" display="https://www.wikirating.com/costa-rica" xr:uid="{A9F00F8C-448C-1A47-87CA-C0E575703BD1}"/>
    <hyperlink ref="Q44" r:id="rId201" display="https://www.wikirating.com/croatia" xr:uid="{C015776E-7D00-7743-98A8-19D1F9084D49}"/>
    <hyperlink ref="Q45" r:id="rId202" display="https://www.wikirating.com/cuba" xr:uid="{1C431573-FA08-B548-9B33-AB2463C1DDEE}"/>
    <hyperlink ref="Q46" r:id="rId203" display="https://www.wikirating.com/cyprus" xr:uid="{6623AFD4-175A-FB41-B8A6-8A7655AFA756}"/>
    <hyperlink ref="Q47" r:id="rId204" display="https://www.wikirating.com/czech-republic" xr:uid="{947485E8-7038-9445-946C-2E8C8B55CA78}"/>
    <hyperlink ref="Q48" r:id="rId205" display="https://www.wikirating.com/denmark" xr:uid="{AD31ED57-9D82-B241-BDBA-5295F0CDC5D2}"/>
    <hyperlink ref="Q49" r:id="rId206" display="https://www.wikirating.com/djibouti" xr:uid="{D9EA2E7B-D831-5F4E-AE32-67918BEEBB09}"/>
    <hyperlink ref="Q50" r:id="rId207" display="https://www.wikirating.com/dominica" xr:uid="{DCD42F00-05C7-A849-9AF2-FB32B21FEF61}"/>
    <hyperlink ref="Q51" r:id="rId208" display="https://www.wikirating.com/dominican-republic" xr:uid="{E17F9D6A-CC48-024E-8206-06D11D2A2E04}"/>
    <hyperlink ref="Q52" r:id="rId209" display="https://www.wikirating.com/ecuador" xr:uid="{D6DEE563-C083-2742-92E0-167BC4793C0F}"/>
    <hyperlink ref="Q53" r:id="rId210" display="https://www.wikirating.com/egypt" xr:uid="{5956326D-350B-2F48-A188-BE0BB9E80278}"/>
    <hyperlink ref="Q54" r:id="rId211" display="https://www.wikirating.com/el-salvador" xr:uid="{1FE32DF1-3CEE-3E49-B405-023610178F1B}"/>
    <hyperlink ref="Q55" r:id="rId212" display="https://www.wikirating.com/equatorial-guinea" xr:uid="{4AC343E2-5980-AB4D-9305-FF4156D587E3}"/>
    <hyperlink ref="Q56" r:id="rId213" display="https://www.wikirating.com/eritrea" xr:uid="{C9C6AFA9-17A0-D044-AA3F-A57D04BF8D47}"/>
    <hyperlink ref="Q57" r:id="rId214" display="https://www.wikirating.com/estonia" xr:uid="{3F7DE001-0CD4-9349-AC11-75D785D12CA8}"/>
    <hyperlink ref="Q58" r:id="rId215" display="https://www.wikirating.com/eswatini" xr:uid="{1E77D751-5AD9-5042-A228-26F054EE5953}"/>
    <hyperlink ref="Q59" r:id="rId216" display="https://www.wikirating.com/ethiopia" xr:uid="{3A00B9D9-DB63-B04C-B490-3B2F9DF07E77}"/>
    <hyperlink ref="Q60" r:id="rId217" display="https://www.wikirating.com/fiji" xr:uid="{4BE0B9EB-AD81-9245-B395-1CD08CAC06F6}"/>
    <hyperlink ref="Q61" r:id="rId218" display="https://www.wikirating.com/finland" xr:uid="{44AC428A-AA38-704E-86CE-2ACA3DFDD8A2}"/>
    <hyperlink ref="Q62" r:id="rId219" display="https://www.wikirating.com/france" xr:uid="{C0A5DC2D-AE74-9146-B1F0-B39B42FF4AE2}"/>
    <hyperlink ref="Q63" r:id="rId220" display="https://www.wikirating.com/gabon" xr:uid="{06254AE0-B763-E042-B50F-DADBC9844408}"/>
    <hyperlink ref="Q64" r:id="rId221" display="https://www.wikirating.com/gambia" xr:uid="{6DAEF28C-E99A-214B-9AC1-5108D4A059A9}"/>
    <hyperlink ref="Q65" r:id="rId222" display="https://www.wikirating.com/georgia" xr:uid="{F7057DF2-6897-E949-9ADA-CA1832F3156F}"/>
    <hyperlink ref="Q66" r:id="rId223" display="https://www.wikirating.com/germany" xr:uid="{53EDC18A-597A-B848-8845-1F9D132D0F56}"/>
    <hyperlink ref="Q67" r:id="rId224" display="https://www.wikirating.com/ghana" xr:uid="{3A6DF71D-CA4F-EC43-BFFE-B3E9FFD68806}"/>
    <hyperlink ref="Q68" r:id="rId225" display="https://www.wikirating.com/greece" xr:uid="{5D0E6480-678E-B74B-BBF8-57559D0A8B70}"/>
    <hyperlink ref="Q69" r:id="rId226" display="https://www.wikirating.com/grenada" xr:uid="{053A1777-63C6-0D4F-8814-FC026716E558}"/>
    <hyperlink ref="Q70" r:id="rId227" display="https://www.wikirating.com/guatemala" xr:uid="{CD082B33-A6B9-1C42-B995-C08CD7E19769}"/>
    <hyperlink ref="Q71" r:id="rId228" display="https://www.wikirating.com/guinea" xr:uid="{FC8A0FC0-6108-1D44-AE35-63CEDCB02AB4}"/>
    <hyperlink ref="Q72" r:id="rId229" display="https://www.wikirating.com/guinea-bissau" xr:uid="{EA7B2C86-C40E-9844-838C-43EBCB49C989}"/>
    <hyperlink ref="Q73" r:id="rId230" display="https://www.wikirating.com/guyana" xr:uid="{34B49A0D-5844-244E-8A91-8009D75BD26C}"/>
    <hyperlink ref="Q74" r:id="rId231" display="https://www.wikirating.com/haiti" xr:uid="{35538A8B-201B-1347-9594-0400D0FA9B5F}"/>
    <hyperlink ref="Q75" r:id="rId232" display="https://www.wikirating.com/honduras" xr:uid="{644D2AC7-C2A0-4D41-90BF-391B632079CC}"/>
    <hyperlink ref="Q76" r:id="rId233" display="https://www.wikirating.com/hong-kong" xr:uid="{ACD88633-E542-524C-93BD-9CD2CA462BC1}"/>
    <hyperlink ref="Q77" r:id="rId234" display="https://www.wikirating.com/hungary" xr:uid="{21B00350-7660-0A4F-8F00-D0DD8646EA9A}"/>
    <hyperlink ref="Q78" r:id="rId235" display="https://www.wikirating.com/iceland" xr:uid="{E36F3D34-B527-4B41-B594-C7F9135B61C9}"/>
    <hyperlink ref="Q79" r:id="rId236" display="https://www.wikirating.com/india" xr:uid="{BDD63D3A-AFB4-054E-8744-0337DF3AE1AA}"/>
    <hyperlink ref="Q80" r:id="rId237" display="https://www.wikirating.com/indonesia" xr:uid="{E72C4ECA-AE79-954C-A129-F62F045C8BF3}"/>
    <hyperlink ref="Q81" r:id="rId238" display="https://www.wikirating.com/iran" xr:uid="{8D1EA80A-85E3-EC48-8D2B-B302B8A8A8BE}"/>
    <hyperlink ref="Q82" r:id="rId239" display="https://www.wikirating.com/iraq" xr:uid="{8290967F-FF38-E24C-A07D-7E4C23D17133}"/>
    <hyperlink ref="Q83" r:id="rId240" display="https://www.wikirating.com/ireland" xr:uid="{AF7D0C79-4B1D-4544-B83B-D9E58CE443C5}"/>
    <hyperlink ref="Q84" r:id="rId241" display="https://www.wikirating.com/israel" xr:uid="{68F50B7A-01C0-394F-B6D7-6EDBCAEDA799}"/>
    <hyperlink ref="Q85" r:id="rId242" display="https://www.wikirating.com/italy" xr:uid="{8C92EABD-A1A9-C746-8372-71C06C830F6F}"/>
    <hyperlink ref="Q86" r:id="rId243" display="https://www.wikirating.com/jamaica" xr:uid="{33516D3A-0C6F-6444-979D-41E78FA7D676}"/>
    <hyperlink ref="Q87" r:id="rId244" display="https://www.wikirating.com/japan" xr:uid="{2C818F6D-C0AB-B046-A38E-3C656BA7F53B}"/>
    <hyperlink ref="Q88" r:id="rId245" display="https://www.wikirating.com/jordan" xr:uid="{4F24D1EB-543D-6649-B246-13CC6E32854B}"/>
    <hyperlink ref="Q89" r:id="rId246" display="https://www.wikirating.com/kazakhstan" xr:uid="{9398FFD6-4A69-FF4B-8CB6-A0C3814DCC39}"/>
    <hyperlink ref="Q90" r:id="rId247" display="https://www.wikirating.com/kenya" xr:uid="{DB3EFB30-7F58-D440-92ED-57B7A3D0ABA8}"/>
    <hyperlink ref="Q91" r:id="rId248" display="https://www.wikirating.com/kiribati" xr:uid="{B0C764C7-3B39-2540-A7A4-119B3D8F2ED8}"/>
    <hyperlink ref="Q92" r:id="rId249" display="https://www.wikirating.com/north-korea" xr:uid="{BED52039-792D-CC4D-A8A8-31DB66852CEE}"/>
    <hyperlink ref="Q93" r:id="rId250" display="https://www.wikirating.com/south-korea" xr:uid="{8DDEA707-F65A-4A4C-8485-6C0B91184CCE}"/>
    <hyperlink ref="Q94" r:id="rId251" display="https://www.wikirating.com/kosovo" xr:uid="{E1912363-D897-CA41-A70C-3BED9C0AD5DA}"/>
    <hyperlink ref="Q95" r:id="rId252" display="https://www.wikirating.com/kuwait" xr:uid="{86339B89-E32D-D146-8FDA-F6BCF66F1C24}"/>
    <hyperlink ref="Q96" r:id="rId253" display="https://www.wikirating.com/kyrgyzstan" xr:uid="{644EF553-924B-0A44-B82D-CC2BE3531056}"/>
    <hyperlink ref="Q97" r:id="rId254" display="https://www.wikirating.com/laos" xr:uid="{1795CCED-F9AC-8241-B7B2-92877FDB44C1}"/>
    <hyperlink ref="Q98" r:id="rId255" display="https://www.wikirating.com/latvia" xr:uid="{AEA5813F-17A6-F04D-BC30-78E9ACDEBF67}"/>
    <hyperlink ref="Q99" r:id="rId256" display="https://www.wikirating.com/lebanon" xr:uid="{73C15CF3-D016-1244-A056-306ACE260FE6}"/>
    <hyperlink ref="Q100" r:id="rId257" display="https://www.wikirating.com/lesotho" xr:uid="{F5D4ECCE-A752-A64E-A4D0-93BFAE5803E7}"/>
    <hyperlink ref="Q101" r:id="rId258" display="https://www.wikirating.com/liberia" xr:uid="{F4949E39-F987-A44F-A95F-22BC052AB05F}"/>
    <hyperlink ref="Q102" r:id="rId259" display="https://www.wikirating.com/libya" xr:uid="{981934BD-9AC2-4D4A-9016-B21BAA93A00E}"/>
    <hyperlink ref="Q103" r:id="rId260" display="https://www.wikirating.com/liechtenstein" xr:uid="{1C7C772B-B54D-0747-8BAC-F60C473E4D70}"/>
    <hyperlink ref="Q104" r:id="rId261" display="https://www.wikirating.com/lithuania" xr:uid="{375E4FDE-338E-B746-A85B-DD5CF40AABBC}"/>
    <hyperlink ref="Q105" r:id="rId262" display="https://www.wikirating.com/luxembourg" xr:uid="{8128798F-B73C-A842-AA38-6E6E501B5BA5}"/>
    <hyperlink ref="Q106" r:id="rId263" display="https://www.wikirating.com/macau" xr:uid="{ED64F23C-D7C6-AE47-B405-011E1C9C3986}"/>
    <hyperlink ref="Q107" r:id="rId264" display="https://www.wikirating.com/madagascar" xr:uid="{BBE21208-8575-7440-9C5C-C4CD435B2E54}"/>
    <hyperlink ref="Q108" r:id="rId265" display="https://www.wikirating.com/malawi" xr:uid="{1B555B74-9744-F74A-AF00-2A8ACC52A8B3}"/>
    <hyperlink ref="Q109" r:id="rId266" display="https://www.wikirating.com/malaysia" xr:uid="{9C7FCE41-0FF0-9C42-A2C4-F4262709393F}"/>
    <hyperlink ref="Q110" r:id="rId267" display="https://www.wikirating.com/maldives" xr:uid="{DB6056FD-54A2-E74F-A30B-426B5E831F5E}"/>
    <hyperlink ref="Q111" r:id="rId268" display="https://www.wikirating.com/mali" xr:uid="{3DF64BD8-AA78-0749-A5CB-83F6B66817B4}"/>
    <hyperlink ref="Q112" r:id="rId269" display="https://www.wikirating.com/malta" xr:uid="{D1F0308A-CBEB-354C-8FC1-5B81D70E4339}"/>
    <hyperlink ref="Q113" r:id="rId270" display="https://www.wikirating.com/marshall-islands" xr:uid="{BE4DCCC5-947D-6C4A-9EFD-275026187B42}"/>
    <hyperlink ref="Q114" r:id="rId271" display="https://www.wikirating.com/mauritania" xr:uid="{BDA12018-C885-D748-83D4-D37E97D154A0}"/>
    <hyperlink ref="Q115" r:id="rId272" display="https://www.wikirating.com/mauritius" xr:uid="{C553C7BB-69B7-674B-8898-770143DF0BA9}"/>
    <hyperlink ref="Q116" r:id="rId273" display="https://www.wikirating.com/mexico" xr:uid="{1A71A59A-05D1-204F-9CFF-FE8954EF86BF}"/>
    <hyperlink ref="Q117" r:id="rId274" display="https://www.wikirating.com/federated-states-of-micronesia" xr:uid="{570245ED-DD70-6A4C-8F8D-E85648EB9049}"/>
    <hyperlink ref="Q118" r:id="rId275" display="https://www.wikirating.com/moldova" xr:uid="{37DC4D1A-25F6-AD4E-AADD-70C6240324CF}"/>
    <hyperlink ref="Q119" r:id="rId276" display="https://www.wikirating.com/monaco" xr:uid="{8679ACC2-FF3F-4746-8318-120648A6445D}"/>
    <hyperlink ref="Q120" r:id="rId277" display="https://www.wikirating.com/mongolia" xr:uid="{696B0B80-5E70-AD45-ADEE-69DBF266D928}"/>
    <hyperlink ref="Q121" r:id="rId278" display="https://www.wikirating.com/montenegro" xr:uid="{7C7D7BA1-AA60-2648-8B8C-342BAE0B5C8B}"/>
    <hyperlink ref="Q122" r:id="rId279" display="https://www.wikirating.com/morocco" xr:uid="{BAFF2C63-FF38-FB4A-AA81-C2BCD4F626A5}"/>
    <hyperlink ref="Q123" r:id="rId280" display="https://www.wikirating.com/mozambique" xr:uid="{23E63E10-6ABA-3F40-A7AD-F94B31F6148A}"/>
    <hyperlink ref="Q124" r:id="rId281" display="https://www.wikirating.com/myanmar" xr:uid="{2000EF20-6538-6E47-8378-CDA0A3C04A0C}"/>
    <hyperlink ref="Q125" r:id="rId282" display="https://www.wikirating.com/namibia" xr:uid="{6AE48559-4D83-CF43-9F97-882D5206704E}"/>
    <hyperlink ref="Q126" r:id="rId283" display="https://www.wikirating.com/nauru" xr:uid="{DDF6F6E7-16DC-F64D-93B6-1B7C21B20D41}"/>
    <hyperlink ref="Q127" r:id="rId284" display="https://www.wikirating.com/nepal" xr:uid="{8A44C73E-BEEE-E54C-BB33-7894AB6E9113}"/>
    <hyperlink ref="Q128" r:id="rId285" display="https://www.wikirating.com/netherlands" xr:uid="{248EE483-7E37-E349-B084-8C758D1DD5BF}"/>
    <hyperlink ref="Q129" r:id="rId286" display="https://www.wikirating.com/new-zealand" xr:uid="{7B414FB0-F60D-E84C-9024-D56AA42133B2}"/>
    <hyperlink ref="Q130" r:id="rId287" display="https://www.wikirating.com/nicaragua" xr:uid="{C0B3D316-95F0-6247-9B99-D538DFD19683}"/>
    <hyperlink ref="Q131" r:id="rId288" display="https://www.wikirating.com/niger" xr:uid="{73BB71D7-526C-0F46-AA64-FC5ACD43C7AF}"/>
    <hyperlink ref="Q132" r:id="rId289" display="https://www.wikirating.com/nigeria" xr:uid="{459ECDC3-FCF9-924A-B98C-F4197CDFF051}"/>
    <hyperlink ref="Q133" r:id="rId290" display="https://www.wikirating.com/north-macedonia" xr:uid="{A2B3FF37-7BEA-484F-AC75-17258F705320}"/>
    <hyperlink ref="Q134" r:id="rId291" display="https://www.wikirating.com/norway" xr:uid="{AE750C8A-513A-A04C-AE8D-4309675A226D}"/>
    <hyperlink ref="Q135" r:id="rId292" display="https://www.wikirating.com/oman" xr:uid="{E93427E7-3969-D74A-8E8B-973CF5BDC614}"/>
    <hyperlink ref="Q136" r:id="rId293" display="https://www.wikirating.com/pakistan" xr:uid="{6DC39BB2-6BCD-B543-9981-8DB6AD8A41B8}"/>
    <hyperlink ref="Q137" r:id="rId294" display="https://www.wikirating.com/palau" xr:uid="{9E692EB9-1E83-6347-AC87-AFB28BDF8BCC}"/>
    <hyperlink ref="Q138" r:id="rId295" display="https://www.wikirating.com/panama" xr:uid="{52DF7AF4-2267-FD45-8E99-C6D5B7EA7BF4}"/>
    <hyperlink ref="Q139" r:id="rId296" display="https://www.wikirating.com/papua-new-guinea" xr:uid="{013497C2-B3F6-3641-8BE7-6BED2C6A3FC5}"/>
    <hyperlink ref="Q140" r:id="rId297" display="https://www.wikirating.com/paraguay" xr:uid="{E1588338-2C62-1747-AED0-D2D260D536D2}"/>
    <hyperlink ref="Q141" r:id="rId298" display="https://www.wikirating.com/peru" xr:uid="{9CC4ACC7-4E5E-004A-AFE3-DFF2314940B0}"/>
    <hyperlink ref="Q142" r:id="rId299" display="https://www.wikirating.com/philippines" xr:uid="{5BB12AD9-0639-8A44-9A34-5EE28EBEAB2B}"/>
    <hyperlink ref="Q143" r:id="rId300" display="https://www.wikirating.com/poland" xr:uid="{E52467B8-ABBB-8640-8889-5A7D52604174}"/>
    <hyperlink ref="Q144" r:id="rId301" display="https://www.wikirating.com/portugal" xr:uid="{D78865B1-BE0D-9D4E-B1CD-C79D4CE70CF9}"/>
    <hyperlink ref="Q145" r:id="rId302" display="https://www.wikirating.com/qatar" xr:uid="{14D764E9-E0FD-A246-B44D-04FB4717AE21}"/>
    <hyperlink ref="Q146" r:id="rId303" display="https://www.wikirating.com/romania" xr:uid="{551EA4BC-C37A-4846-A8DA-33514C74A6DF}"/>
    <hyperlink ref="Q147" r:id="rId304" display="https://www.wikirating.com/russia" xr:uid="{8E294D5A-EB15-A34A-8121-BFB5285DD416}"/>
    <hyperlink ref="Q148" r:id="rId305" display="https://www.wikirating.com/rwanda" xr:uid="{6458C2D3-AC2C-D341-802F-2F27EFDACFE8}"/>
    <hyperlink ref="Q149" r:id="rId306" display="https://www.wikirating.com/saint-kitts-and-nevis" xr:uid="{35A76E58-2803-1F45-8C95-9C2260631794}"/>
    <hyperlink ref="Q150" r:id="rId307" display="https://www.wikirating.com/saint-lucia" xr:uid="{AAEA8AB8-E4EC-0242-8AB7-8BDABA037A74}"/>
    <hyperlink ref="Q151" r:id="rId308" display="https://www.wikirating.com/saint-vincent-and-the-grenadines" xr:uid="{BEAFE26E-0E2E-094F-B019-833A202D5A44}"/>
    <hyperlink ref="Q152" r:id="rId309" display="https://www.wikirating.com/samoa" xr:uid="{F252F874-998D-5944-A797-7CB968229BC4}"/>
    <hyperlink ref="Q153" r:id="rId310" display="https://www.wikirating.com/san-marino" xr:uid="{F1683D5C-4B84-D745-88A8-6433E9164F36}"/>
    <hyperlink ref="Q154" r:id="rId311" display="https://www.wikirating.com/sao-tome-and-principe" xr:uid="{7ED56E89-500C-FD45-8690-7B93D5396E29}"/>
    <hyperlink ref="Q155" r:id="rId312" display="https://www.wikirating.com/saudi-arabia" xr:uid="{6715B69A-12CF-E64E-9134-864382B30466}"/>
    <hyperlink ref="Q156" r:id="rId313" display="https://www.wikirating.com/senegal" xr:uid="{451AE9A7-1291-9749-8643-BE722B75D9A0}"/>
    <hyperlink ref="Q157" r:id="rId314" display="https://www.wikirating.com/serbia" xr:uid="{677DAC00-1E62-D149-BE28-1918BDA29903}"/>
    <hyperlink ref="Q158" r:id="rId315" display="https://www.wikirating.com/seychelles" xr:uid="{F8B784B6-A2A9-654A-A75E-DACBBC3A930F}"/>
    <hyperlink ref="Q159" r:id="rId316" display="https://www.wikirating.com/sierra-leone" xr:uid="{5187D2EA-713C-4C4C-A867-906470793ACB}"/>
    <hyperlink ref="Q160" r:id="rId317" display="https://www.wikirating.com/singapore" xr:uid="{2B814721-9A52-4B4D-9E07-E8358823A7A8}"/>
    <hyperlink ref="Q161" r:id="rId318" display="https://www.wikirating.com/slovakia" xr:uid="{CD756315-CCA4-5C4A-BB47-3302E201A60F}"/>
    <hyperlink ref="Q162" r:id="rId319" display="https://www.wikirating.com/slovenia" xr:uid="{6C134870-F014-E34D-9204-0F443756731B}"/>
    <hyperlink ref="Q163" r:id="rId320" display="https://www.wikirating.com/solomon-islands" xr:uid="{B1491497-9A48-DB42-8BFE-F40013B3C075}"/>
    <hyperlink ref="Q164" r:id="rId321" display="https://www.wikirating.com/somalia" xr:uid="{1D18F457-A2CE-6D4A-BC39-622B09D5865D}"/>
    <hyperlink ref="Q165" r:id="rId322" display="https://www.wikirating.com/south-africa" xr:uid="{73CA6F5E-972D-CF46-85E8-C31F7528F968}"/>
    <hyperlink ref="Q166" r:id="rId323" display="https://www.wikirating.com/south-sudan" xr:uid="{F297EEE0-F0D7-E640-BCF2-1B1170B94318}"/>
    <hyperlink ref="Q167" r:id="rId324" display="https://www.wikirating.com/spain" xr:uid="{61702C53-94B6-094A-9318-864BA223BEB3}"/>
    <hyperlink ref="Q168" r:id="rId325" display="https://www.wikirating.com/sri-lanka" xr:uid="{499EF4D3-D970-754E-8F23-A8D5F4394940}"/>
    <hyperlink ref="Q169" r:id="rId326" display="https://www.wikirating.com/sudan" xr:uid="{59E48967-9F18-6B46-9BBF-0A94C31684C4}"/>
    <hyperlink ref="Q170" r:id="rId327" display="https://www.wikirating.com/suriname" xr:uid="{3FA713CE-B1DE-AA43-8999-7850B92B107D}"/>
    <hyperlink ref="Q171" r:id="rId328" display="https://www.wikirating.com/sweden" xr:uid="{EEE0D519-B42C-AF48-BC24-0B95592DEE59}"/>
    <hyperlink ref="Q172" r:id="rId329" display="https://www.wikirating.com/switzerland" xr:uid="{C74A8692-F2CC-9247-86FB-7A189BDAEA4C}"/>
    <hyperlink ref="Q173" r:id="rId330" display="https://www.wikirating.com/syria" xr:uid="{7BC1EB66-1F62-304A-B467-124CCE957ED0}"/>
    <hyperlink ref="Q174" r:id="rId331" display="https://www.wikirating.com/taiwan" xr:uid="{873CB2AF-4D64-DF45-A505-92DB0292A624}"/>
    <hyperlink ref="Q175" r:id="rId332" display="https://www.wikirating.com/tajikistan" xr:uid="{B9381D5A-C4D2-F140-AACD-AC5ECCC673E8}"/>
    <hyperlink ref="Q176" r:id="rId333" display="https://www.wikirating.com/tanzania" xr:uid="{C417E380-2670-704D-8760-FDA8F8654F01}"/>
    <hyperlink ref="Q177" r:id="rId334" display="https://www.wikirating.com/thailand" xr:uid="{09BD1813-FABF-0545-904D-C9C0E52DC0F6}"/>
    <hyperlink ref="Q178" r:id="rId335" display="https://www.wikirating.com/timor-leste" xr:uid="{341C99A0-5DEE-7F4F-AAE5-B5209902EB69}"/>
    <hyperlink ref="Q179" r:id="rId336" display="https://www.wikirating.com/togo" xr:uid="{3C0D4172-443C-1348-AD02-A00023F93809}"/>
    <hyperlink ref="Q180" r:id="rId337" display="https://www.wikirating.com/tonga" xr:uid="{3543BD50-DB3D-AA41-BA80-6554EF1C089F}"/>
    <hyperlink ref="Q181" r:id="rId338" display="https://www.wikirating.com/trinidad-and-tobago" xr:uid="{98EAB3F6-6AFD-6F4C-B177-5ED48AE88776}"/>
    <hyperlink ref="Q182" r:id="rId339" display="https://www.wikirating.com/tunisia" xr:uid="{EECEC71B-504A-EB49-950E-3CC2C0DAB3E2}"/>
    <hyperlink ref="Q183" r:id="rId340" display="https://www.wikirating.com/turkey" xr:uid="{3EDDDFCB-C98A-1C43-ACB6-5DF4E757FA5A}"/>
    <hyperlink ref="Q184" r:id="rId341" display="https://www.wikirating.com/turkmenistan" xr:uid="{F95F299B-8DA7-C443-804A-90781DB50D8D}"/>
    <hyperlink ref="Q185" r:id="rId342" display="https://www.wikirating.com/tuvalu" xr:uid="{BE3A80EC-1EBB-3B47-8CD5-05326AFAE6DD}"/>
    <hyperlink ref="Q186" r:id="rId343" display="https://www.wikirating.com/uganda" xr:uid="{74703878-356C-2140-9F02-D77A03CC30A8}"/>
    <hyperlink ref="Q187" r:id="rId344" display="https://www.wikirating.com/ukraine" xr:uid="{A7EDC256-F8B4-5947-A071-302CEB69D5D3}"/>
    <hyperlink ref="Q188" r:id="rId345" display="https://www.wikirating.com/united-arab-emirates" xr:uid="{3454F6DA-9979-DB42-B252-2162582197F5}"/>
    <hyperlink ref="Q189" r:id="rId346" display="https://www.wikirating.com/united-kingdom" xr:uid="{67385D06-8ABA-B74C-A575-183003474F99}"/>
    <hyperlink ref="Q190" r:id="rId347" display="https://www.wikirating.com/united-states" xr:uid="{4B518F52-99C6-0D4A-8F20-2EB84261CE73}"/>
    <hyperlink ref="Q191" r:id="rId348" display="https://www.wikirating.com/uruguay" xr:uid="{AE163E16-578A-914D-A682-1735FF661730}"/>
    <hyperlink ref="Q192" r:id="rId349" display="https://www.wikirating.com/uzbekistan" xr:uid="{6759AC5C-C8E4-3742-AFB9-8914C51F1C1B}"/>
    <hyperlink ref="Q193" r:id="rId350" display="https://www.wikirating.com/vanuatu" xr:uid="{DADEC881-D6CD-A44E-83E2-9796DBD9B5D9}"/>
    <hyperlink ref="Q194" r:id="rId351" display="https://www.wikirating.com/holy-see" xr:uid="{5AC06B01-C678-FD48-AA9F-A7639817F072}"/>
    <hyperlink ref="Q195" r:id="rId352" display="https://www.wikirating.com/venezuela" xr:uid="{1085AE84-E528-A840-8FAF-088D8A268473}"/>
    <hyperlink ref="Q196" r:id="rId353" display="https://www.wikirating.com/vietnam" xr:uid="{0EE4DE6B-8FD2-AB4D-8107-A25F7E8BF077}"/>
    <hyperlink ref="Q197" r:id="rId354" display="https://www.wikirating.com/yemen" xr:uid="{F8D07C52-C8B0-8345-A8CB-69B348C7F32F}"/>
    <hyperlink ref="Q198" r:id="rId355" display="https://www.wikirating.com/zambia" xr:uid="{46A08EC3-1159-B540-8632-374B50AACB9C}"/>
    <hyperlink ref="Q199" r:id="rId356" display="https://www.wikirating.com/zimbabwe" xr:uid="{951556D1-B708-6647-A8BA-5B9B87BCDF32}"/>
  </hyperlink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176"/>
  <sheetViews>
    <sheetView topLeftCell="A48" workbookViewId="0">
      <selection activeCell="F59" sqref="F59"/>
    </sheetView>
  </sheetViews>
  <sheetFormatPr defaultColWidth="11.19921875" defaultRowHeight="11.5"/>
  <cols>
    <col min="1" max="1" width="32.69921875" customWidth="1"/>
    <col min="5" max="5" width="20.796875" customWidth="1"/>
    <col min="8" max="8" width="26.19921875" customWidth="1"/>
  </cols>
  <sheetData>
    <row r="1" spans="1:9" ht="15.5">
      <c r="A1" s="66" t="s">
        <v>74</v>
      </c>
      <c r="B1" s="93" t="s">
        <v>349</v>
      </c>
      <c r="C1" t="s">
        <v>569</v>
      </c>
      <c r="E1" s="160" t="s">
        <v>74</v>
      </c>
      <c r="F1" s="160">
        <v>2023</v>
      </c>
      <c r="H1" t="s">
        <v>52</v>
      </c>
      <c r="I1" t="s">
        <v>488</v>
      </c>
    </row>
    <row r="2" spans="1:9" ht="15.5">
      <c r="A2" s="46" t="str">
        <f>'Ratings worksheet'!A2</f>
        <v>Abu Dhabi</v>
      </c>
      <c r="B2" s="93">
        <f>C2</f>
        <v>0.15</v>
      </c>
      <c r="C2">
        <f>VLOOKUP(A3,$E$2:$F$177,2,FALSE)</f>
        <v>0.15</v>
      </c>
      <c r="E2" t="s">
        <v>374</v>
      </c>
      <c r="F2" s="47">
        <v>0.2</v>
      </c>
      <c r="H2" t="s">
        <v>419</v>
      </c>
      <c r="I2" s="47">
        <v>0.19520000000000001</v>
      </c>
    </row>
    <row r="3" spans="1:9" ht="15.5">
      <c r="A3" s="46" t="str">
        <f>'Ratings worksheet'!A3</f>
        <v>Albania</v>
      </c>
      <c r="B3" s="93">
        <f t="shared" ref="B3:B67" si="0">C3</f>
        <v>0.15</v>
      </c>
      <c r="C3">
        <f>VLOOKUP(A3,$E$2:$F$177,2,FALSE)</f>
        <v>0.15</v>
      </c>
      <c r="E3" t="s">
        <v>4</v>
      </c>
      <c r="F3" s="47">
        <v>0.15</v>
      </c>
      <c r="H3" t="s">
        <v>544</v>
      </c>
      <c r="I3" s="47">
        <v>0.26860000000000001</v>
      </c>
    </row>
    <row r="4" spans="1:9" ht="15.5">
      <c r="A4" s="46" t="str">
        <f>'Ratings worksheet'!A4</f>
        <v>Andorra (Principality of)</v>
      </c>
      <c r="B4" s="93">
        <f t="shared" si="0"/>
        <v>0.1898</v>
      </c>
      <c r="C4">
        <v>0.1898</v>
      </c>
      <c r="E4" t="s">
        <v>332</v>
      </c>
      <c r="F4" s="47">
        <v>0.26</v>
      </c>
      <c r="H4" t="s">
        <v>422</v>
      </c>
      <c r="I4" s="47">
        <v>0.2853</v>
      </c>
    </row>
    <row r="5" spans="1:9" ht="15.5">
      <c r="A5" s="46" t="str">
        <f>'Ratings worksheet'!A5</f>
        <v>Angola</v>
      </c>
      <c r="B5" s="93">
        <f t="shared" si="0"/>
        <v>0.25</v>
      </c>
      <c r="C5">
        <f t="shared" ref="C5:C17" si="1">VLOOKUP(A5,$E$2:$F$175,2,FALSE)</f>
        <v>0.25</v>
      </c>
      <c r="E5" t="s">
        <v>194</v>
      </c>
      <c r="F5" s="47">
        <v>0.1</v>
      </c>
      <c r="H5" t="s">
        <v>421</v>
      </c>
      <c r="I5" s="47">
        <v>0.25750000000000001</v>
      </c>
    </row>
    <row r="6" spans="1:9" ht="15.5">
      <c r="A6" s="46" t="str">
        <f>'Ratings worksheet'!A6</f>
        <v>Argentina</v>
      </c>
      <c r="B6" s="93">
        <f t="shared" si="0"/>
        <v>0.35</v>
      </c>
      <c r="C6">
        <f t="shared" si="1"/>
        <v>0.35</v>
      </c>
      <c r="E6" t="s">
        <v>130</v>
      </c>
      <c r="F6" s="47">
        <v>0.25</v>
      </c>
      <c r="H6" t="s">
        <v>420</v>
      </c>
      <c r="I6" s="47">
        <v>0.2974</v>
      </c>
    </row>
    <row r="7" spans="1:9" ht="15.5">
      <c r="A7" s="46" t="str">
        <f>'Ratings worksheet'!A7</f>
        <v>Armenia</v>
      </c>
      <c r="B7" s="93">
        <f t="shared" si="0"/>
        <v>0.18</v>
      </c>
      <c r="C7">
        <f t="shared" si="1"/>
        <v>0.18</v>
      </c>
      <c r="E7" t="s">
        <v>440</v>
      </c>
      <c r="F7" s="47">
        <v>0</v>
      </c>
      <c r="H7" t="s">
        <v>423</v>
      </c>
      <c r="I7" s="47">
        <v>0.2281</v>
      </c>
    </row>
    <row r="8" spans="1:9" ht="15.5">
      <c r="A8" s="46" t="str">
        <f>'Ratings worksheet'!A8</f>
        <v>Aruba</v>
      </c>
      <c r="B8" s="93">
        <f t="shared" si="0"/>
        <v>0.25</v>
      </c>
      <c r="C8">
        <f t="shared" si="1"/>
        <v>0.25</v>
      </c>
      <c r="E8" t="s">
        <v>394</v>
      </c>
      <c r="F8" s="47">
        <v>0.25</v>
      </c>
    </row>
    <row r="9" spans="1:9" ht="15.5">
      <c r="A9" s="46" t="str">
        <f>'Ratings worksheet'!A9</f>
        <v>Australia</v>
      </c>
      <c r="B9" s="93">
        <f t="shared" si="0"/>
        <v>0.3</v>
      </c>
      <c r="C9">
        <f t="shared" si="1"/>
        <v>0.3</v>
      </c>
      <c r="E9" t="s">
        <v>83</v>
      </c>
      <c r="F9" s="47">
        <v>0.35</v>
      </c>
    </row>
    <row r="10" spans="1:9" ht="15.5">
      <c r="A10" s="46" t="str">
        <f>'Ratings worksheet'!A10</f>
        <v>Austria</v>
      </c>
      <c r="B10" s="93">
        <f t="shared" si="0"/>
        <v>0.24</v>
      </c>
      <c r="C10">
        <f t="shared" si="1"/>
        <v>0.24</v>
      </c>
      <c r="E10" t="s">
        <v>19</v>
      </c>
      <c r="F10" s="47">
        <v>0.18</v>
      </c>
    </row>
    <row r="11" spans="1:9" ht="15.5">
      <c r="A11" s="46" t="str">
        <f>'Ratings worksheet'!A11</f>
        <v>Azerbaijan</v>
      </c>
      <c r="B11" s="93">
        <f t="shared" si="0"/>
        <v>0.2</v>
      </c>
      <c r="C11">
        <f t="shared" si="1"/>
        <v>0.2</v>
      </c>
      <c r="E11" t="s">
        <v>198</v>
      </c>
      <c r="F11" s="47">
        <v>0.25</v>
      </c>
    </row>
    <row r="12" spans="1:9" ht="15.5">
      <c r="A12" s="46" t="str">
        <f>'Ratings worksheet'!A12</f>
        <v>Bahamas</v>
      </c>
      <c r="B12" s="93">
        <f t="shared" si="0"/>
        <v>0</v>
      </c>
      <c r="C12">
        <f t="shared" si="1"/>
        <v>0</v>
      </c>
      <c r="E12" t="s">
        <v>84</v>
      </c>
      <c r="F12" s="47">
        <v>0.3</v>
      </c>
    </row>
    <row r="13" spans="1:9" ht="15.5">
      <c r="A13" s="46" t="str">
        <f>'Ratings worksheet'!A13</f>
        <v>Bahrain</v>
      </c>
      <c r="B13" s="93">
        <f t="shared" si="0"/>
        <v>0</v>
      </c>
      <c r="C13">
        <f t="shared" si="1"/>
        <v>0</v>
      </c>
      <c r="E13" t="s">
        <v>173</v>
      </c>
      <c r="F13" s="47">
        <v>0.24</v>
      </c>
    </row>
    <row r="14" spans="1:9" ht="15.5">
      <c r="A14" s="46" t="str">
        <f>'Ratings worksheet'!A14</f>
        <v>Bangladesh</v>
      </c>
      <c r="B14" s="93">
        <f t="shared" si="0"/>
        <v>0.3</v>
      </c>
      <c r="C14">
        <f t="shared" si="1"/>
        <v>0.3</v>
      </c>
      <c r="E14" t="s">
        <v>20</v>
      </c>
      <c r="F14" s="47">
        <v>0.2</v>
      </c>
    </row>
    <row r="15" spans="1:9" ht="15.5">
      <c r="A15" s="46" t="str">
        <f>'Ratings worksheet'!A15</f>
        <v>Barbados</v>
      </c>
      <c r="B15" s="93">
        <f t="shared" si="0"/>
        <v>5.5E-2</v>
      </c>
      <c r="C15">
        <f t="shared" si="1"/>
        <v>5.5E-2</v>
      </c>
      <c r="E15" t="s">
        <v>85</v>
      </c>
      <c r="F15" s="47">
        <v>0</v>
      </c>
    </row>
    <row r="16" spans="1:9" ht="15.5">
      <c r="A16" s="46" t="str">
        <f>'Ratings worksheet'!A16</f>
        <v>Belarus</v>
      </c>
      <c r="B16" s="93">
        <f t="shared" si="0"/>
        <v>0.18</v>
      </c>
      <c r="C16">
        <f t="shared" si="1"/>
        <v>0.18</v>
      </c>
      <c r="E16" t="s">
        <v>86</v>
      </c>
      <c r="F16" s="47">
        <v>0</v>
      </c>
    </row>
    <row r="17" spans="1:6" ht="15.5">
      <c r="A17" s="46" t="str">
        <f>'Ratings worksheet'!A17</f>
        <v>Belgium</v>
      </c>
      <c r="B17" s="93">
        <f t="shared" si="0"/>
        <v>0.25</v>
      </c>
      <c r="C17">
        <f t="shared" si="1"/>
        <v>0.25</v>
      </c>
      <c r="E17" t="s">
        <v>131</v>
      </c>
      <c r="F17" s="47">
        <v>0.3</v>
      </c>
    </row>
    <row r="18" spans="1:6" ht="15.5">
      <c r="A18" s="46" t="str">
        <f>'Ratings worksheet'!A18</f>
        <v>Belize</v>
      </c>
      <c r="B18" s="93">
        <f t="shared" si="0"/>
        <v>0.2853</v>
      </c>
      <c r="C18" s="35">
        <v>0.2853</v>
      </c>
      <c r="E18" t="s">
        <v>87</v>
      </c>
      <c r="F18" s="47">
        <v>5.5E-2</v>
      </c>
    </row>
    <row r="19" spans="1:6" ht="15.5">
      <c r="A19" s="46" t="str">
        <f>'Ratings worksheet'!A19</f>
        <v>Benin</v>
      </c>
      <c r="B19" s="93">
        <f t="shared" si="0"/>
        <v>0.3</v>
      </c>
      <c r="C19">
        <f t="shared" ref="C19:C29" si="2">VLOOKUP(A19,$E$2:$F$175,2,FALSE)</f>
        <v>0.3</v>
      </c>
      <c r="E19" t="s">
        <v>5</v>
      </c>
      <c r="F19" s="47">
        <v>0.18</v>
      </c>
    </row>
    <row r="20" spans="1:6" ht="15.5">
      <c r="A20" s="46" t="str">
        <f>'Ratings worksheet'!A20</f>
        <v>Bermuda</v>
      </c>
      <c r="B20" s="93">
        <f t="shared" si="0"/>
        <v>0</v>
      </c>
      <c r="C20">
        <f t="shared" si="2"/>
        <v>0</v>
      </c>
      <c r="E20" t="s">
        <v>174</v>
      </c>
      <c r="F20" s="47">
        <v>0.25</v>
      </c>
    </row>
    <row r="21" spans="1:6" ht="15.5">
      <c r="A21" s="46" t="str">
        <f>'Ratings worksheet'!A21</f>
        <v>Bolivia</v>
      </c>
      <c r="B21" s="93">
        <f t="shared" si="0"/>
        <v>0.25</v>
      </c>
      <c r="C21">
        <f t="shared" si="2"/>
        <v>0.25</v>
      </c>
      <c r="E21" t="s">
        <v>205</v>
      </c>
      <c r="F21" s="47">
        <v>0.3</v>
      </c>
    </row>
    <row r="22" spans="1:6" ht="15.5">
      <c r="A22" s="46" t="str">
        <f>'Ratings worksheet'!A22</f>
        <v>Bosnia and Herzegovina</v>
      </c>
      <c r="B22" s="93">
        <f t="shared" si="0"/>
        <v>0.1</v>
      </c>
      <c r="C22">
        <f t="shared" si="2"/>
        <v>0.1</v>
      </c>
      <c r="E22" t="s">
        <v>89</v>
      </c>
      <c r="F22" s="47">
        <v>0</v>
      </c>
    </row>
    <row r="23" spans="1:6" ht="15.5">
      <c r="A23" s="46" t="str">
        <f>'Ratings worksheet'!A23</f>
        <v>Botswana</v>
      </c>
      <c r="B23" s="93">
        <f t="shared" si="0"/>
        <v>0.22</v>
      </c>
      <c r="C23">
        <f t="shared" si="2"/>
        <v>0.22</v>
      </c>
      <c r="E23" t="s">
        <v>90</v>
      </c>
      <c r="F23" s="47">
        <v>0.25</v>
      </c>
    </row>
    <row r="24" spans="1:6" ht="15.5">
      <c r="A24" s="46" t="str">
        <f>'Ratings worksheet'!A24</f>
        <v>Brazil</v>
      </c>
      <c r="B24" s="93">
        <f t="shared" si="0"/>
        <v>0.34</v>
      </c>
      <c r="C24">
        <f t="shared" si="2"/>
        <v>0.34</v>
      </c>
      <c r="E24" t="s">
        <v>410</v>
      </c>
      <c r="F24" s="47">
        <v>0.25</v>
      </c>
    </row>
    <row r="25" spans="1:6" ht="15.5">
      <c r="A25" s="46" t="str">
        <f>'Ratings worksheet'!A25</f>
        <v>Bulgaria</v>
      </c>
      <c r="B25" s="93">
        <f t="shared" si="0"/>
        <v>0.1</v>
      </c>
      <c r="C25">
        <f t="shared" si="2"/>
        <v>0.1</v>
      </c>
      <c r="E25" t="s">
        <v>7</v>
      </c>
      <c r="F25" s="47">
        <v>0.1</v>
      </c>
    </row>
    <row r="26" spans="1:6" ht="15.5">
      <c r="A26" s="46" t="str">
        <f>'Ratings worksheet'!A26</f>
        <v>Burkina Faso</v>
      </c>
      <c r="B26" s="93">
        <f t="shared" si="0"/>
        <v>0.28000000000000003</v>
      </c>
      <c r="C26">
        <f t="shared" si="2"/>
        <v>0.28000000000000003</v>
      </c>
      <c r="E26" t="s">
        <v>122</v>
      </c>
      <c r="F26" s="47">
        <v>0.22</v>
      </c>
    </row>
    <row r="27" spans="1:6" ht="15.5">
      <c r="A27" s="46" t="str">
        <f>'Ratings worksheet'!A27</f>
        <v>Cambodia</v>
      </c>
      <c r="B27" s="93">
        <f t="shared" si="0"/>
        <v>0.2</v>
      </c>
      <c r="C27">
        <f t="shared" si="2"/>
        <v>0.2</v>
      </c>
      <c r="E27" t="s">
        <v>91</v>
      </c>
      <c r="F27" s="47">
        <v>0.34</v>
      </c>
    </row>
    <row r="28" spans="1:6" ht="15.5">
      <c r="A28" s="46" t="str">
        <f>'Ratings worksheet'!A28</f>
        <v>Cameroon</v>
      </c>
      <c r="B28" s="93">
        <f t="shared" si="0"/>
        <v>0.33</v>
      </c>
      <c r="C28">
        <f t="shared" si="2"/>
        <v>0.33</v>
      </c>
      <c r="E28" t="s">
        <v>375</v>
      </c>
      <c r="F28" s="47">
        <v>0.185</v>
      </c>
    </row>
    <row r="29" spans="1:6" ht="15.5">
      <c r="A29" s="46" t="str">
        <f>'Ratings worksheet'!A29</f>
        <v>Canada</v>
      </c>
      <c r="B29" s="93">
        <f t="shared" si="0"/>
        <v>0.26500000000000001</v>
      </c>
      <c r="C29">
        <f t="shared" si="2"/>
        <v>0.26500000000000001</v>
      </c>
      <c r="E29" t="s">
        <v>93</v>
      </c>
      <c r="F29" s="47">
        <v>0.1</v>
      </c>
    </row>
    <row r="30" spans="1:6" ht="15.5">
      <c r="A30" s="46" t="str">
        <f>'Ratings worksheet'!A30</f>
        <v>Cape Verde</v>
      </c>
      <c r="B30" s="93">
        <f t="shared" si="0"/>
        <v>0</v>
      </c>
      <c r="C30">
        <v>0</v>
      </c>
      <c r="E30" t="s">
        <v>208</v>
      </c>
      <c r="F30" s="47">
        <v>0.28000000000000003</v>
      </c>
    </row>
    <row r="31" spans="1:6" ht="15.5">
      <c r="A31" s="46" t="str">
        <f>'Ratings worksheet'!A31</f>
        <v>Cayman Islands</v>
      </c>
      <c r="B31" s="93">
        <f t="shared" si="0"/>
        <v>0</v>
      </c>
      <c r="C31">
        <f>VLOOKUP(A31,$E$2:$F$175,2,FALSE)</f>
        <v>0</v>
      </c>
      <c r="E31" t="s">
        <v>384</v>
      </c>
      <c r="F31" s="47">
        <v>0.3</v>
      </c>
    </row>
    <row r="32" spans="1:6" ht="15.5">
      <c r="A32" s="46" t="str">
        <f>'Ratings worksheet'!A32</f>
        <v>Chile</v>
      </c>
      <c r="B32" s="93">
        <f t="shared" si="0"/>
        <v>0.27</v>
      </c>
      <c r="C32">
        <f>VLOOKUP(A32,$E$2:$F$175,2,FALSE)</f>
        <v>0.27</v>
      </c>
      <c r="E32" t="s">
        <v>6</v>
      </c>
      <c r="F32" s="47">
        <v>0.2</v>
      </c>
    </row>
    <row r="33" spans="1:6" ht="15.5">
      <c r="A33" s="46" t="str">
        <f>'Ratings worksheet'!A33</f>
        <v>China</v>
      </c>
      <c r="B33" s="93">
        <f t="shared" si="0"/>
        <v>0.25</v>
      </c>
      <c r="C33">
        <f>VLOOKUP(A33,$E$2:$F$175,2,FALSE)</f>
        <v>0.25</v>
      </c>
      <c r="E33" t="s">
        <v>209</v>
      </c>
      <c r="F33" s="47">
        <v>0.33</v>
      </c>
    </row>
    <row r="34" spans="1:6" ht="15.5">
      <c r="A34" s="46" t="str">
        <f>'Ratings worksheet'!A34</f>
        <v>Colombia</v>
      </c>
      <c r="B34" s="93">
        <f t="shared" si="0"/>
        <v>0.35</v>
      </c>
      <c r="C34">
        <f>VLOOKUP(A34,$E$2:$F$175,2,FALSE)</f>
        <v>0.35</v>
      </c>
      <c r="E34" t="s">
        <v>94</v>
      </c>
      <c r="F34" s="47">
        <v>0.26500000000000001</v>
      </c>
    </row>
    <row r="35" spans="1:6" ht="15.5">
      <c r="A35" s="46" t="str">
        <f>'Ratings worksheet'!A35</f>
        <v>Congo (Democratic Republic of)</v>
      </c>
      <c r="B35" s="93">
        <f t="shared" si="0"/>
        <v>0.3</v>
      </c>
      <c r="C35" s="79">
        <v>0.3</v>
      </c>
      <c r="E35" t="s">
        <v>55</v>
      </c>
      <c r="F35" s="47">
        <v>0</v>
      </c>
    </row>
    <row r="36" spans="1:6" ht="15.5">
      <c r="A36" s="46" t="str">
        <f>'Ratings worksheet'!A36</f>
        <v>Congo (Republic of)</v>
      </c>
      <c r="B36" s="93">
        <f t="shared" si="0"/>
        <v>0.28000000000000003</v>
      </c>
      <c r="C36">
        <v>0.28000000000000003</v>
      </c>
      <c r="E36" t="s">
        <v>95</v>
      </c>
      <c r="F36" s="47">
        <v>0.27</v>
      </c>
    </row>
    <row r="37" spans="1:6" ht="15.5">
      <c r="A37" s="46" t="str">
        <f>'Ratings worksheet'!A37</f>
        <v>Cook Islands</v>
      </c>
      <c r="B37" s="93">
        <f t="shared" si="0"/>
        <v>0.2974</v>
      </c>
      <c r="C37" s="35">
        <v>0.2974</v>
      </c>
      <c r="E37" t="s">
        <v>96</v>
      </c>
      <c r="F37" s="47">
        <v>0.25</v>
      </c>
    </row>
    <row r="38" spans="1:6" ht="15.5">
      <c r="A38" s="46" t="str">
        <f>'Ratings worksheet'!A38</f>
        <v>Costa Rica</v>
      </c>
      <c r="B38" s="93">
        <f t="shared" si="0"/>
        <v>0.3</v>
      </c>
      <c r="C38">
        <f>VLOOKUP(A38,$E$2:$F$175,2,FALSE)</f>
        <v>0.3</v>
      </c>
      <c r="E38" t="s">
        <v>50</v>
      </c>
      <c r="F38" s="47">
        <v>0.35</v>
      </c>
    </row>
    <row r="39" spans="1:6" ht="15.5">
      <c r="A39" s="46" t="str">
        <f>'Ratings worksheet'!A39</f>
        <v>Côte d'Ivoire</v>
      </c>
      <c r="B39" s="93">
        <f>C39</f>
        <v>0.25</v>
      </c>
      <c r="C39">
        <v>0.25</v>
      </c>
      <c r="E39" t="s">
        <v>476</v>
      </c>
      <c r="F39" s="47">
        <v>0.28000000000000003</v>
      </c>
    </row>
    <row r="40" spans="1:6" ht="15.5">
      <c r="A40" s="46" t="str">
        <f>'Ratings worksheet'!A40</f>
        <v>Croatia</v>
      </c>
      <c r="B40" s="93">
        <f t="shared" si="0"/>
        <v>0.18</v>
      </c>
      <c r="C40">
        <f>VLOOKUP(A40,$E$2:$F$175,2,FALSE)</f>
        <v>0.18</v>
      </c>
      <c r="E40" t="s">
        <v>441</v>
      </c>
      <c r="F40" s="47">
        <v>0.3</v>
      </c>
    </row>
    <row r="41" spans="1:6" ht="15.5">
      <c r="A41" s="46" t="str">
        <f>'Ratings worksheet'!A41</f>
        <v>Cuba</v>
      </c>
      <c r="B41" s="93">
        <f t="shared" si="0"/>
        <v>0.2853</v>
      </c>
      <c r="C41" s="35">
        <v>0.2853</v>
      </c>
      <c r="E41" t="s">
        <v>56</v>
      </c>
      <c r="F41" s="47">
        <v>0.3</v>
      </c>
    </row>
    <row r="42" spans="1:6" ht="15.5">
      <c r="A42" s="46" t="str">
        <f>'Ratings worksheet'!A42</f>
        <v>Curacao</v>
      </c>
      <c r="B42" s="93">
        <f t="shared" si="0"/>
        <v>0.22</v>
      </c>
      <c r="C42">
        <f t="shared" ref="C42:C60" si="3">VLOOKUP(A42,$E$2:$F$175,2,FALSE)</f>
        <v>0.22</v>
      </c>
      <c r="E42" t="s">
        <v>97</v>
      </c>
      <c r="F42" s="47">
        <v>0.18</v>
      </c>
    </row>
    <row r="43" spans="1:6" ht="15.5">
      <c r="A43" s="46" t="str">
        <f>'Ratings worksheet'!A43</f>
        <v>Cyprus</v>
      </c>
      <c r="B43" s="93">
        <f t="shared" si="0"/>
        <v>0.125</v>
      </c>
      <c r="C43">
        <f t="shared" si="3"/>
        <v>0.125</v>
      </c>
      <c r="E43" t="s">
        <v>214</v>
      </c>
      <c r="F43" s="47">
        <v>0.22</v>
      </c>
    </row>
    <row r="44" spans="1:6" ht="15.5">
      <c r="A44" s="46" t="str">
        <f>'Ratings worksheet'!A44</f>
        <v>Czech Republic</v>
      </c>
      <c r="B44" s="93">
        <f t="shared" si="0"/>
        <v>0.19</v>
      </c>
      <c r="C44">
        <f t="shared" si="3"/>
        <v>0.19</v>
      </c>
      <c r="E44" t="s">
        <v>175</v>
      </c>
      <c r="F44" s="47">
        <v>0.125</v>
      </c>
    </row>
    <row r="45" spans="1:6" ht="15.5">
      <c r="A45" s="46" t="str">
        <f>'Ratings worksheet'!A45</f>
        <v>Denmark</v>
      </c>
      <c r="B45" s="93">
        <f t="shared" si="0"/>
        <v>0.22</v>
      </c>
      <c r="C45">
        <f t="shared" si="3"/>
        <v>0.22</v>
      </c>
      <c r="E45" t="s">
        <v>100</v>
      </c>
      <c r="F45" s="47">
        <v>0.19</v>
      </c>
    </row>
    <row r="46" spans="1:6" ht="15.5">
      <c r="A46" s="46" t="str">
        <f>'Ratings worksheet'!A46</f>
        <v>Dominican Republic</v>
      </c>
      <c r="B46" s="93">
        <f t="shared" si="0"/>
        <v>0.27</v>
      </c>
      <c r="C46">
        <f t="shared" si="3"/>
        <v>0.27</v>
      </c>
      <c r="E46" t="s">
        <v>101</v>
      </c>
      <c r="F46" s="47">
        <v>0.22</v>
      </c>
    </row>
    <row r="47" spans="1:6" ht="15.5">
      <c r="A47" s="46" t="str">
        <f>'Ratings worksheet'!A47</f>
        <v>Ecuador</v>
      </c>
      <c r="B47" s="93">
        <f t="shared" si="0"/>
        <v>0.25</v>
      </c>
      <c r="C47">
        <f t="shared" si="3"/>
        <v>0.25</v>
      </c>
      <c r="E47" t="s">
        <v>389</v>
      </c>
      <c r="F47" s="47">
        <v>0.25</v>
      </c>
    </row>
    <row r="48" spans="1:6" ht="15.5">
      <c r="A48" s="46" t="str">
        <f>'Ratings worksheet'!A48</f>
        <v>Egypt</v>
      </c>
      <c r="B48" s="93">
        <f t="shared" si="0"/>
        <v>0.22500000000000001</v>
      </c>
      <c r="C48">
        <f t="shared" si="3"/>
        <v>0.22500000000000001</v>
      </c>
      <c r="E48" t="s">
        <v>403</v>
      </c>
      <c r="F48" s="47">
        <v>0.25</v>
      </c>
    </row>
    <row r="49" spans="1:6" ht="15.5">
      <c r="A49" s="46" t="str">
        <f>'Ratings worksheet'!A49</f>
        <v>El Salvador</v>
      </c>
      <c r="B49" s="93">
        <f t="shared" si="0"/>
        <v>0.3</v>
      </c>
      <c r="C49">
        <f t="shared" si="3"/>
        <v>0.3</v>
      </c>
      <c r="E49" t="s">
        <v>102</v>
      </c>
      <c r="F49" s="47">
        <v>0.27</v>
      </c>
    </row>
    <row r="50" spans="1:6" ht="15.5">
      <c r="A50" s="46" t="str">
        <f>'Ratings worksheet'!A50</f>
        <v>Estonia</v>
      </c>
      <c r="B50" s="93">
        <f t="shared" si="0"/>
        <v>0.2</v>
      </c>
      <c r="C50">
        <f t="shared" si="3"/>
        <v>0.2</v>
      </c>
      <c r="E50" t="s">
        <v>103</v>
      </c>
      <c r="F50" s="47">
        <v>0.25</v>
      </c>
    </row>
    <row r="51" spans="1:6" ht="15.5">
      <c r="A51" s="46" t="str">
        <f>'Ratings worksheet'!A51</f>
        <v>Ethiopia</v>
      </c>
      <c r="B51" s="93">
        <f t="shared" si="0"/>
        <v>0.3</v>
      </c>
      <c r="C51">
        <f t="shared" si="3"/>
        <v>0.3</v>
      </c>
      <c r="E51" t="s">
        <v>104</v>
      </c>
      <c r="F51" s="47">
        <v>0.22500000000000001</v>
      </c>
    </row>
    <row r="52" spans="1:6" ht="15.5">
      <c r="A52" s="46" t="str">
        <f>'Ratings worksheet'!A52</f>
        <v>Fiji</v>
      </c>
      <c r="B52" s="93">
        <f t="shared" si="0"/>
        <v>0.2</v>
      </c>
      <c r="C52">
        <f t="shared" si="3"/>
        <v>0.2</v>
      </c>
      <c r="E52" t="s">
        <v>31</v>
      </c>
      <c r="F52" s="47">
        <v>0.3</v>
      </c>
    </row>
    <row r="53" spans="1:6" ht="15.5">
      <c r="A53" s="46" t="str">
        <f>'Ratings worksheet'!A53</f>
        <v>Finland</v>
      </c>
      <c r="B53" s="93">
        <f t="shared" si="0"/>
        <v>0.2</v>
      </c>
      <c r="C53">
        <f t="shared" si="3"/>
        <v>0.2</v>
      </c>
      <c r="E53" t="s">
        <v>105</v>
      </c>
      <c r="F53" s="47">
        <v>0.2</v>
      </c>
    </row>
    <row r="54" spans="1:6" ht="15.5">
      <c r="A54" s="46" t="str">
        <f>'Ratings worksheet'!A54</f>
        <v>France</v>
      </c>
      <c r="B54" s="93">
        <f t="shared" si="0"/>
        <v>0.25</v>
      </c>
      <c r="C54">
        <f t="shared" si="3"/>
        <v>0.25</v>
      </c>
      <c r="E54" t="s">
        <v>280</v>
      </c>
      <c r="F54" s="47">
        <v>0.3</v>
      </c>
    </row>
    <row r="55" spans="1:6" ht="15.5">
      <c r="A55" s="46" t="str">
        <f>'Ratings worksheet'!A55</f>
        <v>Gabon</v>
      </c>
      <c r="B55" s="93">
        <f t="shared" si="0"/>
        <v>0.3</v>
      </c>
      <c r="C55">
        <f t="shared" si="3"/>
        <v>0.3</v>
      </c>
      <c r="E55" t="s">
        <v>216</v>
      </c>
      <c r="F55" s="47">
        <v>0.2</v>
      </c>
    </row>
    <row r="56" spans="1:6" ht="15.5">
      <c r="A56" s="46" t="str">
        <f>'Ratings worksheet'!A56</f>
        <v>Georgia</v>
      </c>
      <c r="B56" s="93">
        <f t="shared" si="0"/>
        <v>0.15</v>
      </c>
      <c r="C56">
        <f t="shared" si="3"/>
        <v>0.15</v>
      </c>
      <c r="E56" t="s">
        <v>176</v>
      </c>
      <c r="F56" s="47">
        <v>0.2</v>
      </c>
    </row>
    <row r="57" spans="1:6" ht="15.5">
      <c r="A57" s="46" t="str">
        <f>'Ratings worksheet'!A57</f>
        <v>Germany</v>
      </c>
      <c r="B57" s="93">
        <f t="shared" si="0"/>
        <v>0.3</v>
      </c>
      <c r="C57">
        <f t="shared" si="3"/>
        <v>0.3</v>
      </c>
      <c r="E57" t="s">
        <v>177</v>
      </c>
      <c r="F57" s="47">
        <v>0.25</v>
      </c>
    </row>
    <row r="58" spans="1:6" ht="15.5">
      <c r="A58" s="46" t="str">
        <f>'Ratings worksheet'!A58</f>
        <v>Ghana</v>
      </c>
      <c r="B58" s="93">
        <f t="shared" si="0"/>
        <v>0.25</v>
      </c>
      <c r="C58">
        <f t="shared" si="3"/>
        <v>0.25</v>
      </c>
      <c r="E58" t="s">
        <v>217</v>
      </c>
      <c r="F58" s="47">
        <v>0.3</v>
      </c>
    </row>
    <row r="59" spans="1:6" ht="15.5">
      <c r="A59" s="46" t="str">
        <f>'Ratings worksheet'!A59</f>
        <v>Greece</v>
      </c>
      <c r="B59" s="93">
        <f t="shared" si="0"/>
        <v>0.22</v>
      </c>
      <c r="C59">
        <f t="shared" si="3"/>
        <v>0.22</v>
      </c>
      <c r="E59" t="s">
        <v>329</v>
      </c>
      <c r="F59" s="47">
        <v>0.27</v>
      </c>
    </row>
    <row r="60" spans="1:6" ht="15.5">
      <c r="A60" s="46" t="str">
        <f>'Ratings worksheet'!A60</f>
        <v>Guatemala</v>
      </c>
      <c r="B60" s="93">
        <f t="shared" si="0"/>
        <v>0.25</v>
      </c>
      <c r="C60">
        <f t="shared" si="3"/>
        <v>0.25</v>
      </c>
      <c r="E60" t="s">
        <v>132</v>
      </c>
      <c r="F60" s="47">
        <v>0.15</v>
      </c>
    </row>
    <row r="61" spans="1:6" ht="15.5">
      <c r="A61" s="46" t="str">
        <f>'Ratings worksheet'!A61</f>
        <v>Guernsey (States of)</v>
      </c>
      <c r="B61" s="93">
        <f t="shared" si="0"/>
        <v>0</v>
      </c>
      <c r="C61">
        <v>0</v>
      </c>
      <c r="E61" t="s">
        <v>178</v>
      </c>
      <c r="F61" s="47">
        <v>0.3</v>
      </c>
    </row>
    <row r="62" spans="1:6" ht="15.5">
      <c r="A62" s="46" t="str">
        <f>'Ratings worksheet'!A62</f>
        <v>Honduras</v>
      </c>
      <c r="B62" s="93">
        <f t="shared" si="0"/>
        <v>0.25</v>
      </c>
      <c r="C62">
        <f>VLOOKUP(A62,$E$2:$F$175,2,FALSE)</f>
        <v>0.25</v>
      </c>
      <c r="E62" t="s">
        <v>218</v>
      </c>
      <c r="F62" s="47">
        <v>0.25</v>
      </c>
    </row>
    <row r="63" spans="1:6" ht="15.5">
      <c r="A63" s="46" t="str">
        <f>'Ratings worksheet'!A63</f>
        <v>Hong Kong</v>
      </c>
      <c r="B63" s="93">
        <f t="shared" si="0"/>
        <v>0.16500000000000001</v>
      </c>
      <c r="C63">
        <v>0.16500000000000001</v>
      </c>
      <c r="E63" t="s">
        <v>411</v>
      </c>
      <c r="F63" s="47">
        <v>0.1</v>
      </c>
    </row>
    <row r="64" spans="1:6" ht="15.5">
      <c r="A64" s="46" t="str">
        <f>'Ratings worksheet'!A64</f>
        <v>Hungary</v>
      </c>
      <c r="B64" s="93">
        <f t="shared" si="0"/>
        <v>0.09</v>
      </c>
      <c r="C64">
        <f t="shared" ref="C64:C74" si="4">VLOOKUP(A64,$E$2:$F$175,2,FALSE)</f>
        <v>0.09</v>
      </c>
      <c r="E64" t="s">
        <v>179</v>
      </c>
      <c r="F64" s="47">
        <v>0.22</v>
      </c>
    </row>
    <row r="65" spans="1:6" ht="15.5">
      <c r="A65" s="46" t="str">
        <f>'Ratings worksheet'!A65</f>
        <v>Iceland</v>
      </c>
      <c r="B65" s="93">
        <f t="shared" si="0"/>
        <v>0.2</v>
      </c>
      <c r="C65">
        <f t="shared" si="4"/>
        <v>0.2</v>
      </c>
      <c r="E65" t="s">
        <v>396</v>
      </c>
      <c r="F65" s="47">
        <v>0.28000000000000003</v>
      </c>
    </row>
    <row r="66" spans="1:6" ht="15.5">
      <c r="A66" s="46" t="str">
        <f>'Ratings worksheet'!A66</f>
        <v>India</v>
      </c>
      <c r="B66" s="93">
        <f t="shared" si="0"/>
        <v>0.3</v>
      </c>
      <c r="C66">
        <f t="shared" si="4"/>
        <v>0.3</v>
      </c>
      <c r="E66" t="s">
        <v>106</v>
      </c>
      <c r="F66" s="47">
        <v>0.25</v>
      </c>
    </row>
    <row r="67" spans="1:6" ht="15.5">
      <c r="A67" s="46" t="s">
        <v>111</v>
      </c>
      <c r="B67" s="93">
        <f t="shared" si="0"/>
        <v>0.22</v>
      </c>
      <c r="C67">
        <f t="shared" si="4"/>
        <v>0.22</v>
      </c>
      <c r="E67" t="s">
        <v>412</v>
      </c>
      <c r="F67" s="47">
        <v>0</v>
      </c>
    </row>
    <row r="68" spans="1:6" ht="15.5">
      <c r="A68" s="46" t="str">
        <f>'Ratings worksheet'!A68</f>
        <v>Iraq</v>
      </c>
      <c r="B68" s="93">
        <f t="shared" ref="B68:B131" si="5">C68</f>
        <v>0.15</v>
      </c>
      <c r="C68">
        <f t="shared" si="4"/>
        <v>0.15</v>
      </c>
      <c r="E68" t="s">
        <v>107</v>
      </c>
      <c r="F68" s="47">
        <v>0.25</v>
      </c>
    </row>
    <row r="69" spans="1:6" ht="15.5">
      <c r="A69" s="46" t="str">
        <f>'Ratings worksheet'!A69</f>
        <v>Ireland</v>
      </c>
      <c r="B69" s="93">
        <f t="shared" si="5"/>
        <v>0.125</v>
      </c>
      <c r="C69">
        <f t="shared" si="4"/>
        <v>0.125</v>
      </c>
      <c r="E69" t="s">
        <v>413</v>
      </c>
      <c r="F69" s="47">
        <v>0.16500000000000001</v>
      </c>
    </row>
    <row r="70" spans="1:6" ht="15.5">
      <c r="A70" s="46" t="str">
        <f>'Ratings worksheet'!A70</f>
        <v>Isle of Man</v>
      </c>
      <c r="B70" s="93">
        <f t="shared" si="5"/>
        <v>0</v>
      </c>
      <c r="C70">
        <f t="shared" si="4"/>
        <v>0</v>
      </c>
      <c r="E70" t="s">
        <v>108</v>
      </c>
      <c r="F70" s="47">
        <v>0.09</v>
      </c>
    </row>
    <row r="71" spans="1:6" ht="15.5">
      <c r="A71" s="46" t="str">
        <f>'Ratings worksheet'!A71</f>
        <v>Israel</v>
      </c>
      <c r="B71" s="93">
        <f t="shared" si="5"/>
        <v>0.23</v>
      </c>
      <c r="C71">
        <f t="shared" si="4"/>
        <v>0.23</v>
      </c>
      <c r="E71" t="s">
        <v>109</v>
      </c>
      <c r="F71" s="47">
        <v>0.2</v>
      </c>
    </row>
    <row r="72" spans="1:6" ht="15.5">
      <c r="A72" s="46" t="str">
        <f>'Ratings worksheet'!A72</f>
        <v>Italy</v>
      </c>
      <c r="B72" s="93">
        <f t="shared" si="5"/>
        <v>0.24</v>
      </c>
      <c r="C72">
        <f t="shared" si="4"/>
        <v>0.24</v>
      </c>
      <c r="E72" t="s">
        <v>110</v>
      </c>
      <c r="F72" s="47">
        <v>0.3</v>
      </c>
    </row>
    <row r="73" spans="1:6" ht="15.5">
      <c r="A73" s="46" t="str">
        <f>'Ratings worksheet'!A73</f>
        <v>Jamaica</v>
      </c>
      <c r="B73" s="93">
        <f t="shared" si="5"/>
        <v>0.25</v>
      </c>
      <c r="C73">
        <f t="shared" si="4"/>
        <v>0.25</v>
      </c>
      <c r="E73" t="s">
        <v>111</v>
      </c>
      <c r="F73" s="47">
        <v>0.22</v>
      </c>
    </row>
    <row r="74" spans="1:6" ht="15.5">
      <c r="A74" s="46" t="str">
        <f>'Ratings worksheet'!A74</f>
        <v>Japan</v>
      </c>
      <c r="B74" s="93">
        <f t="shared" si="5"/>
        <v>0.30620000000000003</v>
      </c>
      <c r="C74" s="154">
        <f t="shared" si="4"/>
        <v>0.30620000000000003</v>
      </c>
      <c r="E74" t="s">
        <v>326</v>
      </c>
      <c r="F74" s="47">
        <v>0.15</v>
      </c>
    </row>
    <row r="75" spans="1:6" ht="15.5">
      <c r="A75" s="46" t="str">
        <f>'Ratings worksheet'!A75</f>
        <v>Jersey (States of)</v>
      </c>
      <c r="B75" s="93">
        <f t="shared" si="5"/>
        <v>0</v>
      </c>
      <c r="C75">
        <v>0</v>
      </c>
      <c r="E75" t="s">
        <v>180</v>
      </c>
      <c r="F75" s="47">
        <v>0.125</v>
      </c>
    </row>
    <row r="76" spans="1:6" ht="15.5">
      <c r="A76" s="46" t="str">
        <f>'Ratings worksheet'!A76</f>
        <v>Jordan</v>
      </c>
      <c r="B76" s="93">
        <f t="shared" si="5"/>
        <v>0.2</v>
      </c>
      <c r="C76">
        <f>VLOOKUP(A76,$E$2:$F$175,2,FALSE)</f>
        <v>0.2</v>
      </c>
      <c r="E76" t="s">
        <v>112</v>
      </c>
      <c r="F76" s="47">
        <v>0</v>
      </c>
    </row>
    <row r="77" spans="1:6" ht="15.5">
      <c r="A77" s="46" t="str">
        <f>'Ratings worksheet'!A77</f>
        <v>Kazakhstan</v>
      </c>
      <c r="B77" s="93">
        <f t="shared" si="5"/>
        <v>0.2</v>
      </c>
      <c r="C77">
        <f>VLOOKUP(A77,$E$2:$F$175,2,FALSE)</f>
        <v>0.2</v>
      </c>
      <c r="E77" t="s">
        <v>113</v>
      </c>
      <c r="F77" s="47">
        <v>0.23</v>
      </c>
    </row>
    <row r="78" spans="1:6" ht="15.5">
      <c r="A78" s="46" t="str">
        <f>'Ratings worksheet'!A78</f>
        <v>Kenya</v>
      </c>
      <c r="B78" s="93">
        <f t="shared" si="5"/>
        <v>0.3</v>
      </c>
      <c r="C78">
        <f>VLOOKUP(A78,$E$2:$F$175,2,FALSE)</f>
        <v>0.3</v>
      </c>
      <c r="E78" t="s">
        <v>143</v>
      </c>
      <c r="F78" s="47">
        <v>0.24</v>
      </c>
    </row>
    <row r="79" spans="1:6" ht="15.5">
      <c r="A79" s="46" t="str">
        <f>'Ratings worksheet'!A79</f>
        <v>Korea</v>
      </c>
      <c r="B79" s="93">
        <f t="shared" si="5"/>
        <v>0.25</v>
      </c>
      <c r="C79">
        <v>0.25</v>
      </c>
      <c r="E79" t="s">
        <v>442</v>
      </c>
      <c r="F79" s="47">
        <v>0.25</v>
      </c>
    </row>
    <row r="80" spans="1:6" ht="15.5">
      <c r="A80" s="46" t="str">
        <f>'Ratings worksheet'!A80</f>
        <v>Kuwait</v>
      </c>
      <c r="B80" s="93">
        <f t="shared" si="5"/>
        <v>0.15</v>
      </c>
      <c r="C80">
        <f>VLOOKUP(A80,$E$2:$F$175,2,FALSE)</f>
        <v>0.15</v>
      </c>
      <c r="E80" t="s">
        <v>114</v>
      </c>
      <c r="F80" s="47">
        <v>0.25</v>
      </c>
    </row>
    <row r="81" spans="1:6" ht="15.5">
      <c r="A81" s="46" t="str">
        <f>'Ratings worksheet'!A81</f>
        <v>Kyrgyzstan</v>
      </c>
      <c r="B81" s="93">
        <f t="shared" si="5"/>
        <v>0.1</v>
      </c>
      <c r="C81">
        <f>VLOOKUP(A81,$E$2:$F$175,2,FALSE)</f>
        <v>0.1</v>
      </c>
      <c r="E81" t="s">
        <v>115</v>
      </c>
      <c r="F81" s="47">
        <v>0.30620000000000003</v>
      </c>
    </row>
    <row r="82" spans="1:6" ht="15.5">
      <c r="A82" s="46" t="s">
        <v>337</v>
      </c>
      <c r="B82" s="93">
        <f t="shared" si="5"/>
        <v>0.26860000000000001</v>
      </c>
      <c r="C82" s="35">
        <v>0.26860000000000001</v>
      </c>
      <c r="E82" t="s">
        <v>414</v>
      </c>
      <c r="F82" s="47">
        <v>0</v>
      </c>
    </row>
    <row r="83" spans="1:6" ht="15.5">
      <c r="A83" s="46" t="str">
        <f>'Ratings worksheet'!A83</f>
        <v>Latvia</v>
      </c>
      <c r="B83" s="93">
        <f t="shared" si="5"/>
        <v>0.2</v>
      </c>
      <c r="C83">
        <f>VLOOKUP(A83,$E$2:$F$175,2,FALSE)</f>
        <v>0.2</v>
      </c>
      <c r="E83" t="s">
        <v>116</v>
      </c>
      <c r="F83" s="47">
        <v>0.2</v>
      </c>
    </row>
    <row r="84" spans="1:6" ht="15.5">
      <c r="A84" s="46" t="str">
        <f>'Ratings worksheet'!A84</f>
        <v>Lebanon</v>
      </c>
      <c r="B84" s="93">
        <f t="shared" si="5"/>
        <v>0.17</v>
      </c>
      <c r="C84">
        <f>VLOOKUP(A84,$E$2:$F$175,2,FALSE)</f>
        <v>0.17</v>
      </c>
      <c r="E84" t="s">
        <v>117</v>
      </c>
      <c r="F84" s="47">
        <v>0.2</v>
      </c>
    </row>
    <row r="85" spans="1:6" ht="15.5">
      <c r="A85" s="46" t="str">
        <f>'Ratings worksheet'!A85</f>
        <v>Liechtenstein</v>
      </c>
      <c r="B85" s="93">
        <f t="shared" si="5"/>
        <v>0.125</v>
      </c>
      <c r="C85">
        <f>VLOOKUP(A85,$E$2:$F$175,2,FALSE)</f>
        <v>0.125</v>
      </c>
      <c r="E85" t="s">
        <v>181</v>
      </c>
      <c r="F85" s="47">
        <v>0.3</v>
      </c>
    </row>
    <row r="86" spans="1:6" ht="15.5">
      <c r="A86" s="46" t="str">
        <f>'Ratings worksheet'!A86</f>
        <v>Lithuania</v>
      </c>
      <c r="B86" s="93">
        <f t="shared" si="5"/>
        <v>0.15</v>
      </c>
      <c r="C86">
        <f>VLOOKUP(A86,$E$2:$F$175,2,FALSE)</f>
        <v>0.15</v>
      </c>
      <c r="E86" t="s">
        <v>415</v>
      </c>
      <c r="F86" s="47">
        <v>0.24</v>
      </c>
    </row>
    <row r="87" spans="1:6" ht="15.5">
      <c r="A87" s="46" t="str">
        <f>'Ratings worksheet'!A87</f>
        <v>Luxembourg</v>
      </c>
      <c r="B87" s="93">
        <f t="shared" si="5"/>
        <v>0.24940000000000001</v>
      </c>
      <c r="C87">
        <f>VLOOKUP(A87,$E$2:$F$175,2,FALSE)</f>
        <v>0.24940000000000001</v>
      </c>
      <c r="E87" t="s">
        <v>119</v>
      </c>
      <c r="F87" s="47">
        <v>0.15</v>
      </c>
    </row>
    <row r="88" spans="1:6" ht="15.5">
      <c r="A88" s="46" t="str">
        <f>'Ratings worksheet'!A88</f>
        <v>Macao</v>
      </c>
      <c r="B88" s="93">
        <f t="shared" si="5"/>
        <v>0.26860000000000001</v>
      </c>
      <c r="C88">
        <v>0.26860000000000001</v>
      </c>
      <c r="E88" t="s">
        <v>345</v>
      </c>
      <c r="F88" s="47">
        <v>0.1</v>
      </c>
    </row>
    <row r="89" spans="1:6" ht="15.5">
      <c r="A89" s="46" t="str">
        <f>'Ratings worksheet'!A89</f>
        <v>Macedonia</v>
      </c>
      <c r="B89" s="93">
        <f t="shared" si="5"/>
        <v>0.1</v>
      </c>
      <c r="C89">
        <f>VLOOKUP(A89,$E$2:$F$175,2,FALSE)</f>
        <v>0.1</v>
      </c>
      <c r="E89" t="s">
        <v>120</v>
      </c>
      <c r="F89" s="47">
        <v>0.2</v>
      </c>
    </row>
    <row r="90" spans="1:6" ht="15.5">
      <c r="A90" s="46" t="s">
        <v>14</v>
      </c>
      <c r="B90" s="93">
        <f t="shared" si="5"/>
        <v>0.24</v>
      </c>
      <c r="C90">
        <f>VLOOKUP(A90,$E$2:$F$175,2,FALSE)</f>
        <v>0.24</v>
      </c>
      <c r="E90" t="s">
        <v>121</v>
      </c>
      <c r="F90" s="47">
        <v>0.17</v>
      </c>
    </row>
    <row r="91" spans="1:6" ht="15.5">
      <c r="A91" s="46" t="str">
        <f>'Ratings worksheet'!A91</f>
        <v>Maldives</v>
      </c>
      <c r="B91" s="93">
        <f t="shared" si="5"/>
        <v>0.26860000000000001</v>
      </c>
      <c r="C91">
        <v>0.26860000000000001</v>
      </c>
      <c r="E91" t="s">
        <v>317</v>
      </c>
      <c r="F91" s="47">
        <v>0.24</v>
      </c>
    </row>
    <row r="92" spans="1:6" ht="15.5">
      <c r="A92" s="46" t="s">
        <v>320</v>
      </c>
      <c r="B92" s="93">
        <f t="shared" si="5"/>
        <v>0.26860000000000001</v>
      </c>
      <c r="C92" s="35">
        <v>0.26860000000000001</v>
      </c>
      <c r="E92" t="s">
        <v>220</v>
      </c>
      <c r="F92" s="47">
        <v>0.125</v>
      </c>
    </row>
    <row r="93" spans="1:6" ht="15.5">
      <c r="A93" s="46" t="s">
        <v>183</v>
      </c>
      <c r="B93" s="93">
        <f t="shared" si="5"/>
        <v>0.35</v>
      </c>
      <c r="C93">
        <f t="shared" ref="C93:C98" si="6">VLOOKUP(A93,$E$2:$F$175,2,FALSE)</f>
        <v>0.35</v>
      </c>
      <c r="E93" t="s">
        <v>13</v>
      </c>
      <c r="F93" s="47">
        <v>0.15</v>
      </c>
    </row>
    <row r="94" spans="1:6" ht="15.5">
      <c r="A94" s="46" t="str">
        <f>'Ratings worksheet'!A94</f>
        <v>Mauritius</v>
      </c>
      <c r="B94" s="93">
        <f t="shared" si="5"/>
        <v>0.15</v>
      </c>
      <c r="C94">
        <f t="shared" si="6"/>
        <v>0.15</v>
      </c>
      <c r="E94" t="s">
        <v>182</v>
      </c>
      <c r="F94" s="47">
        <v>0.24940000000000001</v>
      </c>
    </row>
    <row r="95" spans="1:6" ht="15.5">
      <c r="A95" s="46" t="str">
        <f>'Ratings worksheet'!A95</f>
        <v>Mexico</v>
      </c>
      <c r="B95" s="93">
        <f t="shared" si="5"/>
        <v>0.3</v>
      </c>
      <c r="C95">
        <f t="shared" si="6"/>
        <v>0.3</v>
      </c>
      <c r="E95" t="s">
        <v>347</v>
      </c>
      <c r="F95" s="47">
        <v>0.12</v>
      </c>
    </row>
    <row r="96" spans="1:6" ht="15.5">
      <c r="A96" s="46" t="str">
        <f>'Ratings worksheet'!A96</f>
        <v>Moldova</v>
      </c>
      <c r="B96" s="93">
        <f t="shared" si="5"/>
        <v>0.12</v>
      </c>
      <c r="C96">
        <f t="shared" si="6"/>
        <v>0.12</v>
      </c>
      <c r="E96" t="s">
        <v>144</v>
      </c>
      <c r="F96" s="47">
        <v>0.1</v>
      </c>
    </row>
    <row r="97" spans="1:6" ht="15.5">
      <c r="A97" s="46" t="str">
        <f>'Ratings worksheet'!A97</f>
        <v>Mongolia</v>
      </c>
      <c r="B97" s="93">
        <f t="shared" si="5"/>
        <v>0.25</v>
      </c>
      <c r="C97">
        <f t="shared" si="6"/>
        <v>0.25</v>
      </c>
      <c r="E97" t="s">
        <v>331</v>
      </c>
      <c r="F97" s="47">
        <v>0.2</v>
      </c>
    </row>
    <row r="98" spans="1:6" ht="15.5">
      <c r="A98" s="46" t="str">
        <f>'Ratings worksheet'!A98</f>
        <v>Montenegro</v>
      </c>
      <c r="B98" s="93">
        <f t="shared" si="5"/>
        <v>0.15</v>
      </c>
      <c r="C98">
        <f t="shared" si="6"/>
        <v>0.15</v>
      </c>
      <c r="E98" t="s">
        <v>322</v>
      </c>
      <c r="F98" s="47">
        <v>0.3</v>
      </c>
    </row>
    <row r="99" spans="1:6" ht="15.5">
      <c r="A99" s="46" t="str">
        <f>'Ratings worksheet'!A99</f>
        <v>Montserrat</v>
      </c>
      <c r="B99" s="93">
        <f t="shared" si="5"/>
        <v>0.2853</v>
      </c>
      <c r="C99" s="35">
        <v>0.2853</v>
      </c>
      <c r="E99" t="s">
        <v>14</v>
      </c>
      <c r="F99" s="47">
        <v>0.24</v>
      </c>
    </row>
    <row r="100" spans="1:6" ht="15.5">
      <c r="A100" s="46" t="str">
        <f>'Ratings worksheet'!A100</f>
        <v>Morocco</v>
      </c>
      <c r="B100" s="93">
        <f t="shared" si="5"/>
        <v>0.32</v>
      </c>
      <c r="C100">
        <f t="shared" ref="C100:C106" si="7">VLOOKUP(A100,$E$2:$F$175,2,FALSE)</f>
        <v>0.32</v>
      </c>
      <c r="E100" t="s">
        <v>183</v>
      </c>
      <c r="F100" s="47">
        <v>0.35</v>
      </c>
    </row>
    <row r="101" spans="1:6" ht="15.5">
      <c r="A101" s="46" t="str">
        <f>'Ratings worksheet'!A101</f>
        <v>Mozambique</v>
      </c>
      <c r="B101" s="93">
        <f t="shared" si="5"/>
        <v>0.32</v>
      </c>
      <c r="C101">
        <f t="shared" si="7"/>
        <v>0.32</v>
      </c>
      <c r="E101" t="s">
        <v>381</v>
      </c>
      <c r="F101" s="47">
        <v>0.25</v>
      </c>
    </row>
    <row r="102" spans="1:6" ht="15.5">
      <c r="A102" s="46" t="str">
        <f>'Ratings worksheet'!A102</f>
        <v>Namibia</v>
      </c>
      <c r="B102" s="93">
        <f t="shared" si="5"/>
        <v>0.32</v>
      </c>
      <c r="C102">
        <f t="shared" si="7"/>
        <v>0.32</v>
      </c>
      <c r="E102" t="s">
        <v>15</v>
      </c>
      <c r="F102" s="47">
        <v>0.15</v>
      </c>
    </row>
    <row r="103" spans="1:6" ht="15.5">
      <c r="A103" s="46" t="s">
        <v>373</v>
      </c>
      <c r="B103" s="93">
        <f t="shared" ref="B103" si="8">C103</f>
        <v>0.25</v>
      </c>
      <c r="C103">
        <f t="shared" si="7"/>
        <v>0.25</v>
      </c>
      <c r="E103" t="s">
        <v>16</v>
      </c>
      <c r="F103" s="47">
        <v>0.3</v>
      </c>
    </row>
    <row r="104" spans="1:6" ht="15.5">
      <c r="A104" s="46" t="str">
        <f>'Ratings worksheet'!A104</f>
        <v>Netherlands</v>
      </c>
      <c r="B104" s="93">
        <f t="shared" si="5"/>
        <v>0.25800000000000001</v>
      </c>
      <c r="C104">
        <f t="shared" si="7"/>
        <v>0.25800000000000001</v>
      </c>
      <c r="E104" t="s">
        <v>17</v>
      </c>
      <c r="F104" s="47">
        <v>0.12</v>
      </c>
    </row>
    <row r="105" spans="1:6" ht="15.5">
      <c r="A105" s="46" t="str">
        <f>'Ratings worksheet'!A105</f>
        <v>New Zealand</v>
      </c>
      <c r="B105" s="93">
        <f t="shared" si="5"/>
        <v>0.28000000000000003</v>
      </c>
      <c r="C105">
        <f t="shared" si="7"/>
        <v>0.28000000000000003</v>
      </c>
      <c r="E105" t="s">
        <v>431</v>
      </c>
      <c r="F105" s="47">
        <v>0.33</v>
      </c>
    </row>
    <row r="106" spans="1:6" ht="15.5">
      <c r="A106" s="46" t="str">
        <f>'Ratings worksheet'!A106</f>
        <v>Nicaragua</v>
      </c>
      <c r="B106" s="93">
        <f t="shared" si="5"/>
        <v>0.3</v>
      </c>
      <c r="C106">
        <f t="shared" si="7"/>
        <v>0.3</v>
      </c>
      <c r="E106" t="s">
        <v>63</v>
      </c>
      <c r="F106" s="47">
        <v>0.25</v>
      </c>
    </row>
    <row r="107" spans="1:6" ht="15.5">
      <c r="A107" s="46" t="s">
        <v>316</v>
      </c>
      <c r="B107" s="93">
        <f t="shared" si="5"/>
        <v>0.26860000000000001</v>
      </c>
      <c r="C107" s="35">
        <v>0.26860000000000001</v>
      </c>
      <c r="E107" t="s">
        <v>8</v>
      </c>
      <c r="F107" s="47">
        <v>0.15</v>
      </c>
    </row>
    <row r="108" spans="1:6" ht="15.5">
      <c r="A108" s="46" t="str">
        <f>'Ratings worksheet'!A108</f>
        <v>Nigeria</v>
      </c>
      <c r="B108" s="93">
        <f t="shared" si="5"/>
        <v>0.3</v>
      </c>
      <c r="C108">
        <f t="shared" ref="C108:C119" si="9">VLOOKUP(A108,$E$2:$F$175,2,FALSE)</f>
        <v>0.3</v>
      </c>
      <c r="E108" t="s">
        <v>18</v>
      </c>
      <c r="F108" s="47">
        <v>0.32</v>
      </c>
    </row>
    <row r="109" spans="1:6" ht="15.5">
      <c r="A109" s="46" t="str">
        <f>'Ratings worksheet'!A109</f>
        <v>Norway</v>
      </c>
      <c r="B109" s="93">
        <f t="shared" si="5"/>
        <v>0.22</v>
      </c>
      <c r="C109">
        <f t="shared" si="9"/>
        <v>0.22</v>
      </c>
      <c r="E109" t="s">
        <v>223</v>
      </c>
      <c r="F109" s="47">
        <v>0.32</v>
      </c>
    </row>
    <row r="110" spans="1:6" ht="15.5">
      <c r="A110" s="46" t="str">
        <f>'Ratings worksheet'!A110</f>
        <v>Oman</v>
      </c>
      <c r="B110" s="93">
        <f t="shared" si="5"/>
        <v>0.15</v>
      </c>
      <c r="C110">
        <f t="shared" si="9"/>
        <v>0.15</v>
      </c>
      <c r="E110" t="s">
        <v>330</v>
      </c>
      <c r="F110" s="47">
        <v>0.22</v>
      </c>
    </row>
    <row r="111" spans="1:6" ht="15.5">
      <c r="A111" s="46" t="str">
        <f>'Ratings worksheet'!A111</f>
        <v>Pakistan</v>
      </c>
      <c r="B111" s="93">
        <f t="shared" si="5"/>
        <v>0.28999999999999998</v>
      </c>
      <c r="C111">
        <f t="shared" si="9"/>
        <v>0.28999999999999998</v>
      </c>
      <c r="E111" t="s">
        <v>135</v>
      </c>
      <c r="F111" s="47">
        <v>0.32</v>
      </c>
    </row>
    <row r="112" spans="1:6" ht="15.5">
      <c r="A112" s="46" t="str">
        <f>'Ratings worksheet'!A112</f>
        <v>Panama</v>
      </c>
      <c r="B112" s="93">
        <f t="shared" si="5"/>
        <v>0.25</v>
      </c>
      <c r="C112">
        <f t="shared" si="9"/>
        <v>0.25</v>
      </c>
      <c r="E112" t="s">
        <v>373</v>
      </c>
      <c r="F112" s="47">
        <v>0.25</v>
      </c>
    </row>
    <row r="113" spans="1:6" ht="15.5">
      <c r="A113" s="46" t="str">
        <f>'Ratings worksheet'!A113</f>
        <v>Papua New Guinea</v>
      </c>
      <c r="B113" s="93">
        <f t="shared" si="5"/>
        <v>0.3</v>
      </c>
      <c r="C113">
        <f t="shared" si="9"/>
        <v>0.3</v>
      </c>
      <c r="E113" t="s">
        <v>184</v>
      </c>
      <c r="F113" s="47">
        <v>0.25800000000000001</v>
      </c>
    </row>
    <row r="114" spans="1:6" ht="15.5">
      <c r="A114" s="46" t="str">
        <f>'Ratings worksheet'!A114</f>
        <v>Paraguay</v>
      </c>
      <c r="B114" s="93">
        <f t="shared" si="5"/>
        <v>0.1</v>
      </c>
      <c r="C114">
        <f t="shared" si="9"/>
        <v>0.1</v>
      </c>
      <c r="E114" t="s">
        <v>21</v>
      </c>
      <c r="F114" s="47">
        <v>0.28000000000000003</v>
      </c>
    </row>
    <row r="115" spans="1:6" ht="15.5">
      <c r="A115" s="46" t="str">
        <f>'Ratings worksheet'!A115</f>
        <v>Peru</v>
      </c>
      <c r="B115" s="93">
        <f t="shared" si="5"/>
        <v>0.29499999999999998</v>
      </c>
      <c r="C115">
        <f t="shared" si="9"/>
        <v>0.29499999999999998</v>
      </c>
      <c r="E115" t="s">
        <v>22</v>
      </c>
      <c r="F115" s="47">
        <v>0.3</v>
      </c>
    </row>
    <row r="116" spans="1:6" ht="15.5">
      <c r="A116" s="46" t="str">
        <f>'Ratings worksheet'!A116</f>
        <v>Philippines</v>
      </c>
      <c r="B116" s="93">
        <f t="shared" si="5"/>
        <v>0.25</v>
      </c>
      <c r="C116">
        <f t="shared" si="9"/>
        <v>0.25</v>
      </c>
      <c r="E116" t="s">
        <v>185</v>
      </c>
      <c r="F116" s="47">
        <v>0.3</v>
      </c>
    </row>
    <row r="117" spans="1:6" ht="15.5">
      <c r="A117" s="46" t="str">
        <f>'Ratings worksheet'!A117</f>
        <v>Poland</v>
      </c>
      <c r="B117" s="93">
        <f t="shared" si="5"/>
        <v>0.19</v>
      </c>
      <c r="C117">
        <f t="shared" si="9"/>
        <v>0.19</v>
      </c>
      <c r="E117" t="s">
        <v>23</v>
      </c>
      <c r="F117" s="47">
        <v>0.22</v>
      </c>
    </row>
    <row r="118" spans="1:6" ht="15.5">
      <c r="A118" s="46" t="str">
        <f>'Ratings worksheet'!A118</f>
        <v>Portugal</v>
      </c>
      <c r="B118" s="93">
        <f t="shared" si="5"/>
        <v>0.21</v>
      </c>
      <c r="C118">
        <f t="shared" si="9"/>
        <v>0.21</v>
      </c>
      <c r="E118" t="s">
        <v>24</v>
      </c>
      <c r="F118" s="47">
        <v>0.15</v>
      </c>
    </row>
    <row r="119" spans="1:6" ht="15.5">
      <c r="A119" s="46" t="str">
        <f>'Ratings worksheet'!A119</f>
        <v>Qatar</v>
      </c>
      <c r="B119" s="93">
        <f t="shared" si="5"/>
        <v>0.1</v>
      </c>
      <c r="C119">
        <f t="shared" si="9"/>
        <v>0.1</v>
      </c>
      <c r="E119" t="s">
        <v>25</v>
      </c>
      <c r="F119" s="47">
        <v>0.28999999999999998</v>
      </c>
    </row>
    <row r="120" spans="1:6" ht="15.5">
      <c r="A120" s="46" t="str">
        <f>'Ratings worksheet'!A120</f>
        <v>Ras Al Khaimah (Emirate of)</v>
      </c>
      <c r="B120" s="93">
        <f t="shared" si="5"/>
        <v>0</v>
      </c>
      <c r="C120">
        <v>0</v>
      </c>
      <c r="E120" t="s">
        <v>443</v>
      </c>
      <c r="F120" s="47">
        <v>0.15</v>
      </c>
    </row>
    <row r="121" spans="1:6" ht="15.5">
      <c r="A121" s="46" t="str">
        <f>'Ratings worksheet'!A121</f>
        <v>Romania</v>
      </c>
      <c r="B121" s="93">
        <f t="shared" si="5"/>
        <v>0.16</v>
      </c>
      <c r="C121">
        <f t="shared" ref="C121:C126" si="10">VLOOKUP(A121,$E$2:$F$175,2,FALSE)</f>
        <v>0.16</v>
      </c>
      <c r="E121" t="s">
        <v>26</v>
      </c>
      <c r="F121" s="47">
        <v>0.25</v>
      </c>
    </row>
    <row r="122" spans="1:6" ht="15.5">
      <c r="A122" s="46" t="str">
        <f>'Ratings worksheet'!A122</f>
        <v>Russia</v>
      </c>
      <c r="B122" s="93">
        <f t="shared" si="5"/>
        <v>0.25</v>
      </c>
      <c r="C122">
        <v>0.25</v>
      </c>
      <c r="E122" t="s">
        <v>9</v>
      </c>
      <c r="F122" s="47">
        <v>0.3</v>
      </c>
    </row>
    <row r="123" spans="1:6" ht="15.5">
      <c r="A123" s="46" t="str">
        <f>'Ratings worksheet'!A123</f>
        <v>Rwanda</v>
      </c>
      <c r="B123" s="93">
        <f t="shared" si="5"/>
        <v>0.3</v>
      </c>
      <c r="C123">
        <f t="shared" si="10"/>
        <v>0.3</v>
      </c>
      <c r="E123" t="s">
        <v>27</v>
      </c>
      <c r="F123" s="47">
        <v>0.1</v>
      </c>
    </row>
    <row r="124" spans="1:6" ht="15.5">
      <c r="A124" s="46" t="str">
        <f>'Ratings worksheet'!A124</f>
        <v>Saudi Arabia</v>
      </c>
      <c r="B124" s="93">
        <f t="shared" si="5"/>
        <v>0.2</v>
      </c>
      <c r="C124">
        <f t="shared" si="10"/>
        <v>0.2</v>
      </c>
      <c r="E124" t="s">
        <v>28</v>
      </c>
      <c r="F124" s="47">
        <v>0.29499999999999998</v>
      </c>
    </row>
    <row r="125" spans="1:6" ht="15.5">
      <c r="A125" s="46" t="str">
        <f>'Ratings worksheet'!A125</f>
        <v>Senegal</v>
      </c>
      <c r="B125" s="93">
        <f t="shared" si="5"/>
        <v>0.3</v>
      </c>
      <c r="C125">
        <f t="shared" si="10"/>
        <v>0.3</v>
      </c>
      <c r="E125" t="s">
        <v>29</v>
      </c>
      <c r="F125" s="47">
        <v>0.25</v>
      </c>
    </row>
    <row r="126" spans="1:6" ht="15.5">
      <c r="A126" s="46" t="str">
        <f>'Ratings worksheet'!A126</f>
        <v>Serbia</v>
      </c>
      <c r="B126" s="93">
        <f t="shared" si="5"/>
        <v>0.15</v>
      </c>
      <c r="C126">
        <f t="shared" si="10"/>
        <v>0.15</v>
      </c>
      <c r="E126" t="s">
        <v>30</v>
      </c>
      <c r="F126" s="47">
        <v>0.19</v>
      </c>
    </row>
    <row r="127" spans="1:6" ht="15.5">
      <c r="A127" s="46" t="str">
        <f>'Ratings worksheet'!A127</f>
        <v>Sharjah</v>
      </c>
      <c r="B127" s="93">
        <f t="shared" si="5"/>
        <v>0</v>
      </c>
      <c r="C127">
        <v>0</v>
      </c>
      <c r="E127" t="s">
        <v>186</v>
      </c>
      <c r="F127" s="47">
        <v>0.21</v>
      </c>
    </row>
    <row r="128" spans="1:6" ht="15.5">
      <c r="A128" s="46" t="str">
        <f>'Ratings worksheet'!A128</f>
        <v>Singapore</v>
      </c>
      <c r="B128" s="93">
        <f t="shared" si="5"/>
        <v>0.17</v>
      </c>
      <c r="C128">
        <f t="shared" ref="C128:C134" si="11">VLOOKUP(A128,$E$2:$F$175,2,FALSE)</f>
        <v>0.17</v>
      </c>
      <c r="E128" t="s">
        <v>73</v>
      </c>
      <c r="F128" s="47">
        <v>0.1</v>
      </c>
    </row>
    <row r="129" spans="1:6" ht="15.5">
      <c r="A129" s="46" t="str">
        <f>'Ratings worksheet'!A129</f>
        <v>Slovakia</v>
      </c>
      <c r="B129" s="93">
        <f t="shared" si="5"/>
        <v>0.21</v>
      </c>
      <c r="C129">
        <f t="shared" si="11"/>
        <v>0.21</v>
      </c>
      <c r="E129" t="s">
        <v>0</v>
      </c>
      <c r="F129" s="47">
        <v>0.16</v>
      </c>
    </row>
    <row r="130" spans="1:6" ht="15.5">
      <c r="A130" s="46" t="s">
        <v>187</v>
      </c>
      <c r="B130" s="93">
        <f t="shared" si="5"/>
        <v>0.19</v>
      </c>
      <c r="C130">
        <f t="shared" si="11"/>
        <v>0.19</v>
      </c>
      <c r="E130" t="s">
        <v>1</v>
      </c>
      <c r="F130" s="47">
        <v>0.2</v>
      </c>
    </row>
    <row r="131" spans="1:6" ht="15.5">
      <c r="A131" s="46" t="str">
        <f>'Ratings worksheet'!A131</f>
        <v>Solomon Islands</v>
      </c>
      <c r="B131" s="93">
        <f t="shared" si="5"/>
        <v>0.3</v>
      </c>
      <c r="C131">
        <f t="shared" si="11"/>
        <v>0.3</v>
      </c>
      <c r="E131" t="s">
        <v>224</v>
      </c>
      <c r="F131" s="47">
        <v>0.3</v>
      </c>
    </row>
    <row r="132" spans="1:6" ht="15.5">
      <c r="A132" s="46" t="str">
        <f>'Ratings worksheet'!A132</f>
        <v>South Africa</v>
      </c>
      <c r="B132" s="93">
        <f t="shared" ref="B132:B159" si="12">C132</f>
        <v>0.27</v>
      </c>
      <c r="C132">
        <f t="shared" si="11"/>
        <v>0.27</v>
      </c>
      <c r="E132" t="s">
        <v>444</v>
      </c>
      <c r="F132" s="47">
        <v>0.33</v>
      </c>
    </row>
    <row r="133" spans="1:6" ht="15.5">
      <c r="A133" s="46" t="str">
        <f>'Ratings worksheet'!A133</f>
        <v>Spain</v>
      </c>
      <c r="B133" s="93">
        <f t="shared" si="12"/>
        <v>0.25</v>
      </c>
      <c r="C133">
        <f t="shared" si="11"/>
        <v>0.25</v>
      </c>
      <c r="E133" t="s">
        <v>445</v>
      </c>
      <c r="F133" s="47">
        <v>0.3</v>
      </c>
    </row>
    <row r="134" spans="1:6" ht="15.5">
      <c r="A134" s="46" t="str">
        <f>'Ratings worksheet'!A134</f>
        <v>Sri Lanka</v>
      </c>
      <c r="B134" s="93">
        <f t="shared" si="12"/>
        <v>0.24</v>
      </c>
      <c r="C134">
        <f t="shared" si="11"/>
        <v>0.24</v>
      </c>
      <c r="E134" t="s">
        <v>446</v>
      </c>
      <c r="F134" s="47">
        <v>0.3</v>
      </c>
    </row>
    <row r="135" spans="1:6" ht="15.5">
      <c r="A135" s="46" t="str">
        <f>'Ratings worksheet'!A135</f>
        <v>St. Maarten</v>
      </c>
      <c r="B135" s="93">
        <f t="shared" si="12"/>
        <v>0.2853</v>
      </c>
      <c r="C135" s="35">
        <v>0.2853</v>
      </c>
      <c r="E135" t="s">
        <v>399</v>
      </c>
      <c r="F135" s="47">
        <v>0.27</v>
      </c>
    </row>
    <row r="136" spans="1:6" ht="15.5">
      <c r="A136" s="46" t="str">
        <f>'Ratings worksheet'!A136</f>
        <v>St. Vincent &amp; the Grenadines</v>
      </c>
      <c r="B136" s="93">
        <f t="shared" si="12"/>
        <v>0.2853</v>
      </c>
      <c r="C136" s="35">
        <v>0.2853</v>
      </c>
      <c r="E136" t="s">
        <v>2</v>
      </c>
      <c r="F136" s="47">
        <v>0.2</v>
      </c>
    </row>
    <row r="137" spans="1:6" ht="15.5">
      <c r="A137" s="46" t="s">
        <v>33</v>
      </c>
      <c r="B137" s="93">
        <f t="shared" si="12"/>
        <v>0.36</v>
      </c>
      <c r="C137">
        <f t="shared" ref="C137:C144" si="13">VLOOKUP(A137,$E$2:$F$175,2,FALSE)</f>
        <v>0.36</v>
      </c>
      <c r="E137" t="s">
        <v>134</v>
      </c>
      <c r="F137" s="47">
        <v>0.3</v>
      </c>
    </row>
    <row r="138" spans="1:6" ht="15.5">
      <c r="A138" s="46" t="str">
        <f>'Ratings worksheet'!A138</f>
        <v>Swaziland</v>
      </c>
      <c r="B138" s="93">
        <f t="shared" si="12"/>
        <v>0.27500000000000002</v>
      </c>
      <c r="C138">
        <f t="shared" si="13"/>
        <v>0.27500000000000002</v>
      </c>
      <c r="E138" t="s">
        <v>145</v>
      </c>
      <c r="F138" s="47">
        <v>0.15</v>
      </c>
    </row>
    <row r="139" spans="1:6" ht="15.5">
      <c r="A139" s="46" t="str">
        <f>'Ratings worksheet'!A139</f>
        <v>Sweden</v>
      </c>
      <c r="B139" s="93">
        <f t="shared" si="12"/>
        <v>0.20600000000000002</v>
      </c>
      <c r="C139">
        <f t="shared" si="13"/>
        <v>0.20600000000000002</v>
      </c>
      <c r="E139" t="s">
        <v>324</v>
      </c>
      <c r="F139" s="47">
        <v>0.25</v>
      </c>
    </row>
    <row r="140" spans="1:6" ht="15.5">
      <c r="A140" s="46" t="str">
        <f>'Ratings worksheet'!A140</f>
        <v>Switzerland</v>
      </c>
      <c r="B140" s="93">
        <f t="shared" si="12"/>
        <v>0.14599999999999999</v>
      </c>
      <c r="C140">
        <f t="shared" si="13"/>
        <v>0.14599999999999999</v>
      </c>
      <c r="E140" t="s">
        <v>3</v>
      </c>
      <c r="F140" s="47">
        <v>0.17</v>
      </c>
    </row>
    <row r="141" spans="1:6" ht="15.5">
      <c r="A141" s="46" t="s">
        <v>64</v>
      </c>
      <c r="B141" s="93">
        <f t="shared" si="12"/>
        <v>0.2</v>
      </c>
      <c r="C141">
        <f t="shared" si="13"/>
        <v>0.2</v>
      </c>
      <c r="E141" t="s">
        <v>416</v>
      </c>
      <c r="F141" s="47">
        <v>0.35</v>
      </c>
    </row>
    <row r="142" spans="1:6" ht="15.5">
      <c r="A142" s="46" t="s">
        <v>379</v>
      </c>
      <c r="B142" s="93">
        <f t="shared" si="12"/>
        <v>0.18</v>
      </c>
      <c r="C142">
        <f t="shared" si="13"/>
        <v>0.18</v>
      </c>
      <c r="E142" t="s">
        <v>61</v>
      </c>
      <c r="F142" s="47">
        <v>0.21</v>
      </c>
    </row>
    <row r="143" spans="1:6" ht="15.5">
      <c r="A143" s="46" t="str">
        <f>'Ratings worksheet'!A143</f>
        <v>Tanzania</v>
      </c>
      <c r="B143" s="93">
        <f t="shared" si="12"/>
        <v>0.3</v>
      </c>
      <c r="C143">
        <f t="shared" si="13"/>
        <v>0.3</v>
      </c>
      <c r="E143" t="s">
        <v>187</v>
      </c>
      <c r="F143" s="47">
        <v>0.19</v>
      </c>
    </row>
    <row r="144" spans="1:6" ht="15.5">
      <c r="A144" s="46" t="str">
        <f>'Ratings worksheet'!A144</f>
        <v>Thailand</v>
      </c>
      <c r="B144" s="93">
        <f t="shared" si="12"/>
        <v>0.2</v>
      </c>
      <c r="C144">
        <f t="shared" si="13"/>
        <v>0.2</v>
      </c>
      <c r="E144" t="s">
        <v>395</v>
      </c>
      <c r="F144" s="47">
        <v>0.3</v>
      </c>
    </row>
    <row r="145" spans="1:6" ht="15.5">
      <c r="A145" s="46" t="s">
        <v>319</v>
      </c>
      <c r="B145" s="93">
        <f t="shared" si="12"/>
        <v>0.26860000000000001</v>
      </c>
      <c r="C145" s="35">
        <v>0.26860000000000001</v>
      </c>
      <c r="E145" t="s">
        <v>75</v>
      </c>
      <c r="F145" s="47">
        <v>0.27</v>
      </c>
    </row>
    <row r="146" spans="1:6" ht="15.5">
      <c r="A146" s="46" t="str">
        <f>'Ratings worksheet'!A146</f>
        <v>Trinidad and Tobago</v>
      </c>
      <c r="B146" s="93">
        <f t="shared" si="12"/>
        <v>0.3</v>
      </c>
      <c r="C146">
        <f t="shared" ref="C146:C159" si="14">VLOOKUP(A146,$E$2:$F$176,2,FALSE)</f>
        <v>0.3</v>
      </c>
      <c r="E146" t="s">
        <v>137</v>
      </c>
      <c r="F146" s="47">
        <v>0.25</v>
      </c>
    </row>
    <row r="147" spans="1:6" ht="15.5">
      <c r="A147" s="46" t="str">
        <f>'Ratings worksheet'!A147</f>
        <v>Tunisia</v>
      </c>
      <c r="B147" s="93">
        <f t="shared" si="12"/>
        <v>0.15</v>
      </c>
      <c r="C147">
        <f t="shared" si="14"/>
        <v>0.15</v>
      </c>
      <c r="E147" t="s">
        <v>133</v>
      </c>
      <c r="F147" s="47">
        <v>0.24</v>
      </c>
    </row>
    <row r="148" spans="1:6" ht="15.5">
      <c r="A148" s="46" t="str">
        <f>'Ratings worksheet'!A148</f>
        <v>Turkey</v>
      </c>
      <c r="B148" s="93">
        <f t="shared" si="12"/>
        <v>0.25</v>
      </c>
      <c r="C148">
        <f t="shared" si="14"/>
        <v>0.25</v>
      </c>
      <c r="E148" t="s">
        <v>417</v>
      </c>
      <c r="F148" s="47">
        <v>0.35</v>
      </c>
    </row>
    <row r="149" spans="1:6" ht="15.5">
      <c r="A149" s="46" t="str">
        <f>'Ratings worksheet'!A149</f>
        <v>Turks and Caicos Islands</v>
      </c>
      <c r="B149" s="93">
        <f t="shared" si="12"/>
        <v>0</v>
      </c>
      <c r="C149">
        <f t="shared" si="14"/>
        <v>0</v>
      </c>
      <c r="E149" t="s">
        <v>314</v>
      </c>
      <c r="F149" s="47">
        <v>0.35</v>
      </c>
    </row>
    <row r="150" spans="1:6" ht="15.5">
      <c r="A150" s="46" t="str">
        <f>'Ratings worksheet'!A150</f>
        <v>Uganda</v>
      </c>
      <c r="B150" s="93">
        <f t="shared" si="12"/>
        <v>0.3</v>
      </c>
      <c r="C150">
        <f t="shared" si="14"/>
        <v>0.3</v>
      </c>
      <c r="E150" t="s">
        <v>33</v>
      </c>
      <c r="F150" s="47">
        <v>0.36</v>
      </c>
    </row>
    <row r="151" spans="1:6" ht="15.5">
      <c r="A151" s="46" t="str">
        <f>'Ratings worksheet'!A151</f>
        <v>Ukraine</v>
      </c>
      <c r="B151" s="93">
        <f t="shared" si="12"/>
        <v>0.18</v>
      </c>
      <c r="C151">
        <f t="shared" si="14"/>
        <v>0.18</v>
      </c>
      <c r="E151" t="s">
        <v>382</v>
      </c>
      <c r="F151" s="47">
        <v>0.27500000000000002</v>
      </c>
    </row>
    <row r="152" spans="1:6" ht="15.5">
      <c r="A152" s="46" t="str">
        <f>'Ratings worksheet'!A152</f>
        <v>United Arab Emirates</v>
      </c>
      <c r="B152" s="93">
        <f t="shared" si="12"/>
        <v>0.25</v>
      </c>
      <c r="C152">
        <f t="shared" si="14"/>
        <v>0.25</v>
      </c>
      <c r="E152" t="s">
        <v>34</v>
      </c>
      <c r="F152" s="47">
        <v>0.20600000000000002</v>
      </c>
    </row>
    <row r="153" spans="1:6" ht="15.5">
      <c r="A153" s="46" t="str">
        <f>'Ratings worksheet'!A153</f>
        <v>United Kingdom</v>
      </c>
      <c r="B153" s="93">
        <f t="shared" si="12"/>
        <v>0.25</v>
      </c>
      <c r="C153">
        <f t="shared" si="14"/>
        <v>0.25</v>
      </c>
      <c r="E153" t="s">
        <v>35</v>
      </c>
      <c r="F153" s="47">
        <v>0.14599999999999999</v>
      </c>
    </row>
    <row r="154" spans="1:6" ht="15.5">
      <c r="A154" s="46" t="str">
        <f>'Ratings worksheet'!A154</f>
        <v>United States</v>
      </c>
      <c r="B154" s="93">
        <f t="shared" si="12"/>
        <v>0.25</v>
      </c>
      <c r="C154">
        <f t="shared" si="14"/>
        <v>0.25</v>
      </c>
      <c r="E154" t="s">
        <v>311</v>
      </c>
      <c r="F154" s="47">
        <v>0.28000000000000003</v>
      </c>
    </row>
    <row r="155" spans="1:6" ht="15.5">
      <c r="A155" s="46" t="str">
        <f>'Ratings worksheet'!A155</f>
        <v>Uruguay</v>
      </c>
      <c r="B155" s="93">
        <f t="shared" si="12"/>
        <v>0.25</v>
      </c>
      <c r="C155">
        <f t="shared" si="14"/>
        <v>0.25</v>
      </c>
      <c r="E155" t="s">
        <v>64</v>
      </c>
      <c r="F155" s="47">
        <v>0.2</v>
      </c>
    </row>
    <row r="156" spans="1:6" ht="15.5">
      <c r="A156" s="135" t="s">
        <v>371</v>
      </c>
      <c r="B156" s="93">
        <f t="shared" si="12"/>
        <v>0.15</v>
      </c>
      <c r="C156">
        <f t="shared" si="14"/>
        <v>0.15</v>
      </c>
      <c r="E156" s="137" t="s">
        <v>379</v>
      </c>
      <c r="F156" s="47">
        <v>0.18</v>
      </c>
    </row>
    <row r="157" spans="1:6" ht="15.5">
      <c r="A157" s="46" t="str">
        <f>'Ratings worksheet'!A157</f>
        <v>Venezuela</v>
      </c>
      <c r="B157" s="93">
        <f t="shared" si="12"/>
        <v>0.34</v>
      </c>
      <c r="C157">
        <f t="shared" si="14"/>
        <v>0.34</v>
      </c>
      <c r="E157" t="s">
        <v>327</v>
      </c>
      <c r="F157" s="47">
        <v>0.3</v>
      </c>
    </row>
    <row r="158" spans="1:6" ht="15.5">
      <c r="A158" s="46" t="s">
        <v>71</v>
      </c>
      <c r="B158" s="93">
        <f t="shared" si="12"/>
        <v>0.2</v>
      </c>
      <c r="C158">
        <f t="shared" si="14"/>
        <v>0.2</v>
      </c>
      <c r="E158" t="s">
        <v>65</v>
      </c>
      <c r="F158" s="47">
        <v>0.2</v>
      </c>
    </row>
    <row r="159" spans="1:6">
      <c r="A159" s="15" t="s">
        <v>189</v>
      </c>
      <c r="B159" s="93">
        <f t="shared" si="12"/>
        <v>0.35</v>
      </c>
      <c r="C159">
        <f t="shared" si="14"/>
        <v>0.35</v>
      </c>
      <c r="E159" t="s">
        <v>11</v>
      </c>
      <c r="F159" s="47">
        <v>0.3</v>
      </c>
    </row>
    <row r="160" spans="1:6">
      <c r="E160" t="s">
        <v>76</v>
      </c>
      <c r="F160" s="47">
        <v>0.15</v>
      </c>
    </row>
    <row r="161" spans="5:6">
      <c r="E161" t="s">
        <v>66</v>
      </c>
      <c r="F161" s="47">
        <v>0.25</v>
      </c>
    </row>
    <row r="162" spans="5:6">
      <c r="E162" t="s">
        <v>67</v>
      </c>
      <c r="F162" s="47">
        <v>0.2</v>
      </c>
    </row>
    <row r="163" spans="5:6">
      <c r="E163" t="s">
        <v>288</v>
      </c>
      <c r="F163" s="47">
        <v>0</v>
      </c>
    </row>
    <row r="164" spans="5:6">
      <c r="E164" t="s">
        <v>225</v>
      </c>
      <c r="F164" s="47">
        <v>0.3</v>
      </c>
    </row>
    <row r="165" spans="5:6">
      <c r="E165" t="s">
        <v>68</v>
      </c>
      <c r="F165" s="47">
        <v>0.18</v>
      </c>
    </row>
    <row r="166" spans="5:6">
      <c r="E166" t="s">
        <v>60</v>
      </c>
      <c r="F166" s="47">
        <v>0.25</v>
      </c>
    </row>
    <row r="167" spans="5:6">
      <c r="E167" t="s">
        <v>57</v>
      </c>
      <c r="F167" s="47">
        <v>0.25</v>
      </c>
    </row>
    <row r="168" spans="5:6">
      <c r="E168" t="s">
        <v>348</v>
      </c>
      <c r="F168" s="47">
        <v>0.25</v>
      </c>
    </row>
    <row r="169" spans="5:6">
      <c r="E169" t="s">
        <v>69</v>
      </c>
      <c r="F169" s="47">
        <v>0.25</v>
      </c>
    </row>
    <row r="170" spans="5:6">
      <c r="E170" t="s">
        <v>371</v>
      </c>
      <c r="F170" s="47">
        <v>0.15</v>
      </c>
    </row>
    <row r="171" spans="5:6">
      <c r="E171" t="s">
        <v>400</v>
      </c>
      <c r="F171" s="47">
        <v>0</v>
      </c>
    </row>
    <row r="172" spans="5:6">
      <c r="E172" t="s">
        <v>70</v>
      </c>
      <c r="F172" s="47">
        <v>0.34</v>
      </c>
    </row>
    <row r="173" spans="5:6">
      <c r="E173" t="s">
        <v>71</v>
      </c>
      <c r="F173" s="47">
        <v>0.2</v>
      </c>
    </row>
    <row r="174" spans="5:6">
      <c r="E174" t="s">
        <v>418</v>
      </c>
      <c r="F174" s="47">
        <v>0.2</v>
      </c>
    </row>
    <row r="175" spans="5:6">
      <c r="E175" t="s">
        <v>189</v>
      </c>
      <c r="F175" s="47">
        <v>0.35</v>
      </c>
    </row>
    <row r="176" spans="5:6">
      <c r="E176" t="s">
        <v>315</v>
      </c>
      <c r="F176" s="47">
        <v>0.2472</v>
      </c>
    </row>
  </sheetData>
  <pageMargins left="0.75" right="0.75" top="1" bottom="1" header="0.3" footer="0.3"/>
  <pageSetup orientation="portrait" horizontalDpi="0" verticalDpi="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183"/>
  <sheetViews>
    <sheetView topLeftCell="A131" workbookViewId="0">
      <selection activeCell="F181" sqref="F181"/>
    </sheetView>
  </sheetViews>
  <sheetFormatPr defaultColWidth="11.19921875" defaultRowHeight="15.5"/>
  <cols>
    <col min="1" max="1" width="26.796875" style="85" bestFit="1" customWidth="1"/>
    <col min="2" max="2" width="14.296875" style="129" customWidth="1"/>
    <col min="3" max="3" width="22.19921875" style="203" customWidth="1"/>
    <col min="4" max="4" width="22.19921875" style="20" customWidth="1"/>
    <col min="5" max="6" width="20.796875" style="25" customWidth="1"/>
    <col min="7" max="7" width="20.796875" style="48" customWidth="1"/>
    <col min="10" max="10" width="18.5" customWidth="1"/>
    <col min="22" max="22" width="22.69921875" customWidth="1"/>
  </cols>
  <sheetData>
    <row r="1" spans="1:15" s="2" customFormat="1" ht="16" customHeight="1">
      <c r="A1" s="96" t="s">
        <v>74</v>
      </c>
      <c r="B1" s="126" t="s">
        <v>341</v>
      </c>
      <c r="C1" s="252" t="s">
        <v>139</v>
      </c>
      <c r="D1" s="96" t="s">
        <v>138</v>
      </c>
      <c r="E1" s="138" t="s">
        <v>342</v>
      </c>
      <c r="F1" s="138" t="s">
        <v>349</v>
      </c>
      <c r="G1" s="138" t="s">
        <v>367</v>
      </c>
      <c r="H1" s="139"/>
      <c r="I1" s="271" t="s">
        <v>341</v>
      </c>
      <c r="J1" s="271"/>
      <c r="K1" s="207"/>
      <c r="N1" t="s">
        <v>74</v>
      </c>
      <c r="O1" t="s">
        <v>605</v>
      </c>
    </row>
    <row r="2" spans="1:15">
      <c r="A2" s="46" t="str">
        <f>'ERPs by country'!A8</f>
        <v>Abu Dhabi</v>
      </c>
      <c r="B2" s="127" t="e">
        <f>VLOOKUP(A2,$N$2:$O$142,2,FALSE)</f>
        <v>#N/A</v>
      </c>
      <c r="C2" s="24">
        <f>VLOOKUP(A2,Table1[[Country]:[Country Risk Premium]],5)</f>
        <v>4.8188978427969251E-2</v>
      </c>
      <c r="D2" s="24">
        <f>VLOOKUP(A2,Table1[[Country]:[Country Risk Premium]],4)</f>
        <v>4.8889784279692525E-3</v>
      </c>
      <c r="E2" s="24">
        <f>C2</f>
        <v>4.8188978427969251E-2</v>
      </c>
      <c r="F2" s="57">
        <f>VLOOKUP(A2,'Country Tax Rates'!$A$2:$B$159,2)</f>
        <v>0.15</v>
      </c>
      <c r="G2" s="57">
        <f>VLOOKUP(A2,Table1[[Country]:[Country Risk Premium]],6)</f>
        <v>4.8889784279692525E-3</v>
      </c>
      <c r="I2" s="15" t="s">
        <v>339</v>
      </c>
      <c r="J2" s="15" t="s">
        <v>340</v>
      </c>
      <c r="K2" s="15" t="s">
        <v>307</v>
      </c>
      <c r="L2" s="15" t="s">
        <v>308</v>
      </c>
      <c r="M2" s="15" t="s">
        <v>39</v>
      </c>
      <c r="N2" s="163" t="s">
        <v>4</v>
      </c>
      <c r="O2" s="75">
        <v>74</v>
      </c>
    </row>
    <row r="3" spans="1:15" ht="16" customHeight="1">
      <c r="A3" s="46" t="str">
        <f>'ERPs by country'!A9</f>
        <v>Albania</v>
      </c>
      <c r="B3" s="127">
        <f>VLOOKUP(A3,$N$2:$O$142,2,FALSE)</f>
        <v>74</v>
      </c>
      <c r="C3" s="24">
        <f>VLOOKUP(A3,Table1[[Country]:[Country Risk Premium]],5)</f>
        <v>7.8919699975204552E-2</v>
      </c>
      <c r="D3" s="24">
        <f>VLOOKUP(A3,Table1[[Country]:[Country Risk Premium]],4)</f>
        <v>3.5619699975204554E-2</v>
      </c>
      <c r="E3" s="24">
        <f t="shared" ref="E3:E66" si="0">C3</f>
        <v>7.8919699975204552E-2</v>
      </c>
      <c r="F3" s="57">
        <f>VLOOKUP(A3,'Country Tax Rates'!$A$2:$B$159,2)</f>
        <v>0.15</v>
      </c>
      <c r="G3" s="57">
        <f>VLOOKUP(A3,Table1[[Country]:[Country Risk Premium]],6)</f>
        <v>3.5619699975204554E-2</v>
      </c>
      <c r="H3" s="75"/>
      <c r="I3" s="15">
        <v>0</v>
      </c>
      <c r="J3" s="97">
        <v>50</v>
      </c>
      <c r="K3" s="93">
        <f>$K$18+L3*'Relative Equity Volatility'!$D$7</f>
        <v>0.27911212497392057</v>
      </c>
      <c r="L3" s="93">
        <f>J41</f>
        <v>0.17499999999999999</v>
      </c>
      <c r="M3" s="15" t="s">
        <v>428</v>
      </c>
      <c r="N3" s="163" t="s">
        <v>332</v>
      </c>
      <c r="O3" s="75">
        <v>69.25</v>
      </c>
    </row>
    <row r="4" spans="1:15">
      <c r="A4" s="46" t="str">
        <f>'ERPs by country'!A10</f>
        <v>Andorra (Principality of)</v>
      </c>
      <c r="B4" s="127" t="e">
        <f t="shared" ref="B4:B67" si="1">VLOOKUP(A4,$N$2:$O$142,2,FALSE)</f>
        <v>#N/A</v>
      </c>
      <c r="C4" s="24">
        <f>VLOOKUP(A4,Table1[[Country]:[Country Risk Premium]],5)</f>
        <v>5.9130977766757575E-2</v>
      </c>
      <c r="D4" s="24">
        <f>VLOOKUP(A4,Table1[[Country]:[Country Risk Premium]],4)</f>
        <v>1.5830977766757577E-2</v>
      </c>
      <c r="E4" s="24">
        <f t="shared" si="0"/>
        <v>5.9130977766757575E-2</v>
      </c>
      <c r="F4" s="57">
        <f>VLOOKUP(A4,'Country Tax Rates'!$A$2:$B$159,2)</f>
        <v>0.1898</v>
      </c>
      <c r="G4" s="57">
        <f>VLOOKUP(A4,Table1[[Country]:[Country Risk Premium]],6)</f>
        <v>1.5830977766757577E-2</v>
      </c>
      <c r="H4" s="75"/>
      <c r="I4" s="97">
        <v>50.000999999999998</v>
      </c>
      <c r="J4" s="97">
        <v>55</v>
      </c>
      <c r="K4" s="93">
        <f>$K$18+L4*'Relative Equity Volatility'!$D$7</f>
        <v>0.20344841908628034</v>
      </c>
      <c r="L4" s="93">
        <f>J40</f>
        <v>0.11884873749896685</v>
      </c>
      <c r="M4" s="208" t="s">
        <v>427</v>
      </c>
      <c r="N4" s="163" t="s">
        <v>130</v>
      </c>
      <c r="O4" s="75">
        <v>64.25</v>
      </c>
    </row>
    <row r="5" spans="1:15">
      <c r="A5" s="46" t="str">
        <f>'ERPs by country'!A11</f>
        <v>Angola</v>
      </c>
      <c r="B5" s="127">
        <f t="shared" si="1"/>
        <v>64.25</v>
      </c>
      <c r="C5" s="24">
        <f>VLOOKUP(A5,Table1[[Country]:[Country Risk Premium]],5)</f>
        <v>0.10767154930159514</v>
      </c>
      <c r="D5" s="24">
        <f>VLOOKUP(A5,Table1[[Country]:[Country Risk Premium]],4)</f>
        <v>6.4371549301595152E-2</v>
      </c>
      <c r="E5" s="24">
        <f t="shared" si="0"/>
        <v>0.10767154930159514</v>
      </c>
      <c r="F5" s="57">
        <f>VLOOKUP(A5,'Country Tax Rates'!$A$2:$B$159,2)</f>
        <v>0.25</v>
      </c>
      <c r="G5" s="57">
        <f>VLOOKUP(A5,Table1[[Country]:[Country Risk Premium]],6)</f>
        <v>6.4371549301595152E-2</v>
      </c>
      <c r="H5" s="75"/>
      <c r="I5" s="97">
        <v>55.000999999999998</v>
      </c>
      <c r="J5" s="97">
        <v>57</v>
      </c>
      <c r="K5" s="93">
        <f>$K$18+L5*'Relative Equity Volatility'!$D$7</f>
        <v>0.17678315831775177</v>
      </c>
      <c r="L5" s="93">
        <f>J39</f>
        <v>9.9060015290519873E-2</v>
      </c>
      <c r="M5" s="15" t="s">
        <v>62</v>
      </c>
      <c r="N5" s="163" t="s">
        <v>83</v>
      </c>
      <c r="O5" s="75">
        <v>65.25</v>
      </c>
    </row>
    <row r="6" spans="1:15">
      <c r="A6" s="46" t="str">
        <f>'ERPs by country'!A12</f>
        <v>Argentina</v>
      </c>
      <c r="B6" s="127">
        <f t="shared" si="1"/>
        <v>65.25</v>
      </c>
      <c r="C6" s="24">
        <f>VLOOKUP(A6,Table1[[Country]:[Country Risk Premium]],5)</f>
        <v>0.16214873749896686</v>
      </c>
      <c r="D6" s="24">
        <f>VLOOKUP(A6,Table1[[Country]:[Country Risk Premium]],4)</f>
        <v>0.11884873749896685</v>
      </c>
      <c r="E6" s="24">
        <f t="shared" si="0"/>
        <v>0.16214873749896686</v>
      </c>
      <c r="F6" s="57">
        <f>VLOOKUP(A6,'Country Tax Rates'!$A$2:$B$159,2)</f>
        <v>0.35</v>
      </c>
      <c r="G6" s="57">
        <f>VLOOKUP(A6,Table1[[Country]:[Country Risk Premium]],6)</f>
        <v>0.11884873749896685</v>
      </c>
      <c r="H6" s="75"/>
      <c r="I6" s="97">
        <v>57.000999999999998</v>
      </c>
      <c r="J6" s="97">
        <v>60</v>
      </c>
      <c r="K6" s="93">
        <f>$K$18+L6*'Relative Equity Volatility'!$D$7</f>
        <v>0.16345052793348747</v>
      </c>
      <c r="L6" s="93">
        <f>J38</f>
        <v>8.9165654186296364E-2</v>
      </c>
      <c r="M6" s="15" t="s">
        <v>58</v>
      </c>
      <c r="N6" s="163" t="s">
        <v>19</v>
      </c>
      <c r="O6" s="75">
        <v>66.25</v>
      </c>
    </row>
    <row r="7" spans="1:15">
      <c r="A7" s="46" t="str">
        <f>'ERPs by country'!A13</f>
        <v>Armenia</v>
      </c>
      <c r="B7" s="127">
        <f t="shared" si="1"/>
        <v>66.25</v>
      </c>
      <c r="C7" s="24">
        <f>VLOOKUP(A7,Table1[[Country]:[Country Risk Premium]],5)</f>
        <v>7.8919699975204552E-2</v>
      </c>
      <c r="D7" s="24">
        <f>VLOOKUP(A7,Table1[[Country]:[Country Risk Premium]],4)</f>
        <v>3.5619699975204554E-2</v>
      </c>
      <c r="E7" s="24">
        <f t="shared" si="0"/>
        <v>7.8919699975204552E-2</v>
      </c>
      <c r="F7" s="57">
        <f>VLOOKUP(A7,'Country Tax Rates'!$A$2:$B$159,2)</f>
        <v>0.18</v>
      </c>
      <c r="G7" s="57">
        <f>VLOOKUP(A7,Table1[[Country]:[Country Risk Premium]],6)</f>
        <v>3.5619699975204554E-2</v>
      </c>
      <c r="H7" s="75"/>
      <c r="I7" s="97">
        <v>60.000999999999998</v>
      </c>
      <c r="J7" s="97">
        <v>62</v>
      </c>
      <c r="K7" s="93">
        <f>$K$18+L7*'Relative Equity Volatility'!$D$7</f>
        <v>0.14337315511953655</v>
      </c>
      <c r="L7" s="93">
        <f>J37</f>
        <v>7.4265910405818647E-2</v>
      </c>
      <c r="M7" s="15" t="s">
        <v>99</v>
      </c>
      <c r="N7" s="163" t="s">
        <v>84</v>
      </c>
      <c r="O7" s="75">
        <v>80.75</v>
      </c>
    </row>
    <row r="8" spans="1:15">
      <c r="A8" s="46" t="str">
        <f>'ERPs by country'!A14</f>
        <v>Aruba</v>
      </c>
      <c r="B8" s="127" t="e">
        <f t="shared" si="1"/>
        <v>#N/A</v>
      </c>
      <c r="C8" s="24">
        <f>VLOOKUP(A8,Table1[[Country]:[Country Risk Premium]],5)</f>
        <v>6.5067594429291678E-2</v>
      </c>
      <c r="D8" s="24">
        <f>VLOOKUP(A8,Table1[[Country]:[Country Risk Premium]],4)</f>
        <v>2.1767594429291676E-2</v>
      </c>
      <c r="E8" s="24">
        <f t="shared" si="0"/>
        <v>6.5067594429291678E-2</v>
      </c>
      <c r="F8" s="57">
        <f>VLOOKUP(A8,'Country Tax Rates'!$A$2:$B$159,2)</f>
        <v>0.25</v>
      </c>
      <c r="G8" s="57">
        <f>VLOOKUP(A8,Table1[[Country]:[Country Risk Premium]],6)</f>
        <v>2.1767594429291676E-2</v>
      </c>
      <c r="H8" s="75"/>
      <c r="I8" s="97">
        <v>62.000999999999998</v>
      </c>
      <c r="J8" s="97">
        <v>64</v>
      </c>
      <c r="K8" s="93">
        <f>$K$18+L8*'Relative Equity Volatility'!$D$7</f>
        <v>0.13004052473527228</v>
      </c>
      <c r="L8" s="93">
        <f>J36</f>
        <v>6.4371549301595152E-2</v>
      </c>
      <c r="M8" s="15" t="s">
        <v>77</v>
      </c>
      <c r="N8" s="163" t="s">
        <v>173</v>
      </c>
      <c r="O8" s="75">
        <v>78.5</v>
      </c>
    </row>
    <row r="9" spans="1:15">
      <c r="A9" s="46" t="str">
        <f>'ERPs by country'!A15</f>
        <v>Australia</v>
      </c>
      <c r="B9" s="127">
        <f t="shared" si="1"/>
        <v>80.75</v>
      </c>
      <c r="C9" s="24">
        <f>VLOOKUP(A9,Table1[[Country]:[Country Risk Premium]],5)</f>
        <v>4.3299999999999998E-2</v>
      </c>
      <c r="D9" s="24">
        <f>VLOOKUP(A9,Table1[[Country]:[Country Risk Premium]],4)</f>
        <v>0</v>
      </c>
      <c r="E9" s="24">
        <f t="shared" si="0"/>
        <v>4.3299999999999998E-2</v>
      </c>
      <c r="F9" s="57">
        <f>VLOOKUP(A9,'Country Tax Rates'!$A$2:$B$159,2)</f>
        <v>0.3</v>
      </c>
      <c r="G9" s="57">
        <f>VLOOKUP(A9,Table1[[Country]:[Country Risk Premium]],6)</f>
        <v>0</v>
      </c>
      <c r="H9" s="75"/>
      <c r="I9" s="97">
        <v>64.001000000000005</v>
      </c>
      <c r="J9" s="97">
        <v>66</v>
      </c>
      <c r="K9" s="93">
        <f>$K$18+L9*'Relative Equity Volatility'!$D$7</f>
        <v>0.11670789435100801</v>
      </c>
      <c r="L9" s="93">
        <f>J35</f>
        <v>5.4477188197371677E-2</v>
      </c>
      <c r="M9" s="15" t="s">
        <v>49</v>
      </c>
      <c r="N9" s="163" t="s">
        <v>20</v>
      </c>
      <c r="O9" s="75">
        <v>73.5</v>
      </c>
    </row>
    <row r="10" spans="1:15">
      <c r="A10" s="46" t="str">
        <f>'ERPs by country'!A16</f>
        <v>Austria</v>
      </c>
      <c r="B10" s="127">
        <f t="shared" si="1"/>
        <v>78.5</v>
      </c>
      <c r="C10" s="24">
        <f>VLOOKUP(A10,Table1[[Country]:[Country Risk Premium]],5)</f>
        <v>4.7257744441689391E-2</v>
      </c>
      <c r="D10" s="24">
        <f>VLOOKUP(A10,Table1[[Country]:[Country Risk Premium]],4)</f>
        <v>3.9577444416893943E-3</v>
      </c>
      <c r="E10" s="24">
        <f t="shared" si="0"/>
        <v>4.7257744441689391E-2</v>
      </c>
      <c r="F10" s="57">
        <f>VLOOKUP(A10,'Country Tax Rates'!$A$2:$B$159,2)</f>
        <v>0.24</v>
      </c>
      <c r="G10" s="57">
        <f>VLOOKUP(A10,Table1[[Country]:[Country Risk Premium]],6)</f>
        <v>3.9577444416893943E-3</v>
      </c>
      <c r="H10" s="75"/>
      <c r="I10" s="97">
        <v>66.001000000000005</v>
      </c>
      <c r="J10" s="97">
        <v>68</v>
      </c>
      <c r="K10" s="93">
        <f>$K$18+L10*'Relative Equity Volatility'!$D$7</f>
        <v>0.10337526396674374</v>
      </c>
      <c r="L10" s="93">
        <f>J34</f>
        <v>4.4582827093148182E-2</v>
      </c>
      <c r="M10" s="15" t="s">
        <v>48</v>
      </c>
      <c r="N10" s="163" t="s">
        <v>85</v>
      </c>
      <c r="O10" s="75">
        <v>77.25</v>
      </c>
    </row>
    <row r="11" spans="1:15">
      <c r="A11" s="46" t="str">
        <f>'ERPs by country'!A17</f>
        <v>Azerbaijan</v>
      </c>
      <c r="B11" s="127">
        <f t="shared" si="1"/>
        <v>73.5</v>
      </c>
      <c r="C11" s="24">
        <f>VLOOKUP(A11,Table1[[Country]:[Country Risk Premium]],5)</f>
        <v>6.8094104884701218E-2</v>
      </c>
      <c r="D11" s="24">
        <f>VLOOKUP(A11,Table1[[Country]:[Country Risk Premium]],4)</f>
        <v>2.4794104884701216E-2</v>
      </c>
      <c r="E11" s="24">
        <f t="shared" si="0"/>
        <v>6.8094104884701218E-2</v>
      </c>
      <c r="F11" s="57">
        <f>VLOOKUP(A11,'Country Tax Rates'!$A$2:$B$159,2)</f>
        <v>0.2</v>
      </c>
      <c r="G11" s="57">
        <f>VLOOKUP(A11,Table1[[Country]:[Country Risk Premium]],6)</f>
        <v>2.4794104884701216E-2</v>
      </c>
      <c r="H11" s="75"/>
      <c r="I11" s="97">
        <v>68.001000000000005</v>
      </c>
      <c r="J11" s="97">
        <v>69</v>
      </c>
      <c r="K11" s="93">
        <f>$K$18+L11*'Relative Equity Volatility'!$D$7</f>
        <v>9.1297469383351385E-2</v>
      </c>
      <c r="L11" s="93">
        <f>J33</f>
        <v>3.5619699975204554E-2</v>
      </c>
      <c r="M11" s="15" t="s">
        <v>80</v>
      </c>
      <c r="N11" s="163" t="s">
        <v>86</v>
      </c>
      <c r="O11" s="75">
        <v>72.75</v>
      </c>
    </row>
    <row r="12" spans="1:15">
      <c r="A12" s="46" t="str">
        <f>'ERPs by country'!A18</f>
        <v>Bahamas</v>
      </c>
      <c r="B12" s="127">
        <f t="shared" si="1"/>
        <v>77.25</v>
      </c>
      <c r="C12" s="24">
        <f>VLOOKUP(A12,Table1[[Country]:[Country Risk Premium]],5)</f>
        <v>8.788282709314818E-2</v>
      </c>
      <c r="D12" s="24">
        <f>VLOOKUP(A12,Table1[[Country]:[Country Risk Premium]],4)</f>
        <v>4.4582827093148182E-2</v>
      </c>
      <c r="E12" s="24">
        <f t="shared" si="0"/>
        <v>8.788282709314818E-2</v>
      </c>
      <c r="F12" s="57">
        <f>VLOOKUP(A12,'Country Tax Rates'!$A$2:$B$159,2)</f>
        <v>0</v>
      </c>
      <c r="G12" s="57">
        <f>VLOOKUP(A12,Table1[[Country]:[Country Risk Premium]],6)</f>
        <v>4.4582827093148182E-2</v>
      </c>
      <c r="H12" s="75"/>
      <c r="I12" s="97">
        <v>69.001000000000005</v>
      </c>
      <c r="J12" s="97">
        <v>72</v>
      </c>
      <c r="K12" s="93">
        <f>$K$18+L12*'Relative Equity Volatility'!$D$7</f>
        <v>8.3454745627901811E-2</v>
      </c>
      <c r="L12" s="93">
        <f>J32</f>
        <v>2.9799487560955448E-2</v>
      </c>
      <c r="M12" s="15" t="s">
        <v>79</v>
      </c>
      <c r="N12" s="163" t="s">
        <v>131</v>
      </c>
      <c r="O12" s="75">
        <v>64.5</v>
      </c>
    </row>
    <row r="13" spans="1:15">
      <c r="A13" s="46" t="str">
        <f>'ERPs by country'!A19</f>
        <v>Bahrain</v>
      </c>
      <c r="B13" s="127">
        <f t="shared" si="1"/>
        <v>72.75</v>
      </c>
      <c r="C13" s="24">
        <f>VLOOKUP(A13,Table1[[Country]:[Country Risk Premium]],5)</f>
        <v>9.7777188197371676E-2</v>
      </c>
      <c r="D13" s="24">
        <f>VLOOKUP(A13,Table1[[Country]:[Country Risk Premium]],4)</f>
        <v>5.4477188197371677E-2</v>
      </c>
      <c r="E13" s="24">
        <f t="shared" si="0"/>
        <v>9.7777188197371676E-2</v>
      </c>
      <c r="F13" s="57">
        <f>VLOOKUP(A13,'Country Tax Rates'!$A$2:$B$159,2)</f>
        <v>0</v>
      </c>
      <c r="G13" s="57">
        <f>VLOOKUP(A13,Table1[[Country]:[Country Risk Premium]],6)</f>
        <v>5.4477188197371677E-2</v>
      </c>
      <c r="H13" s="75"/>
      <c r="I13" s="97">
        <v>72.001000000000005</v>
      </c>
      <c r="J13" s="97">
        <v>74</v>
      </c>
      <c r="K13" s="93">
        <f>$K$18+L13*'Relative Equity Volatility'!$D$7</f>
        <v>6.8710424967656614E-2</v>
      </c>
      <c r="L13" s="93">
        <f>J29</f>
        <v>1.885748822216712E-2</v>
      </c>
      <c r="M13" s="15" t="s">
        <v>82</v>
      </c>
      <c r="N13" s="163" t="s">
        <v>5</v>
      </c>
      <c r="O13" s="75">
        <v>65.25</v>
      </c>
    </row>
    <row r="14" spans="1:15">
      <c r="A14" s="46" t="str">
        <f>'ERPs by country'!A20</f>
        <v>Bangladesh</v>
      </c>
      <c r="B14" s="127">
        <f t="shared" si="1"/>
        <v>64.5</v>
      </c>
      <c r="C14" s="24">
        <f>VLOOKUP(A14,Table1[[Country]:[Country Risk Premium]],5)</f>
        <v>9.7777188197371676E-2</v>
      </c>
      <c r="D14" s="24">
        <f>VLOOKUP(A14,Table1[[Country]:[Country Risk Premium]],4)</f>
        <v>5.4477188197371677E-2</v>
      </c>
      <c r="E14" s="24">
        <f t="shared" si="0"/>
        <v>9.7777188197371676E-2</v>
      </c>
      <c r="F14" s="57">
        <f>VLOOKUP(A14,'Country Tax Rates'!$A$2:$B$159,2)</f>
        <v>0.3</v>
      </c>
      <c r="G14" s="57">
        <f>VLOOKUP(A14,Table1[[Country]:[Country Risk Premium]],6)</f>
        <v>5.4477188197371677E-2</v>
      </c>
      <c r="H14" s="75"/>
      <c r="I14" s="97">
        <v>74.001000000000005</v>
      </c>
      <c r="J14" s="97">
        <v>76</v>
      </c>
      <c r="K14" s="93">
        <f>$K$18+L14*'Relative Equity Volatility'!$D$7</f>
        <v>6.4632208614822828E-2</v>
      </c>
      <c r="L14" s="93">
        <f>J28</f>
        <v>1.5830977766757577E-2</v>
      </c>
      <c r="M14" s="15" t="s">
        <v>81</v>
      </c>
      <c r="N14" s="163" t="s">
        <v>174</v>
      </c>
      <c r="O14" s="75">
        <v>75.25</v>
      </c>
    </row>
    <row r="15" spans="1:15">
      <c r="A15" s="46" t="str">
        <f>'ERPs by country'!A21</f>
        <v>Barbados</v>
      </c>
      <c r="B15" s="127" t="e">
        <f t="shared" si="1"/>
        <v>#N/A</v>
      </c>
      <c r="C15" s="24">
        <f>VLOOKUP(A15,Table1[[Country]:[Country Risk Premium]],5)</f>
        <v>0.10767154930159514</v>
      </c>
      <c r="D15" s="24">
        <f>VLOOKUP(A15,Table1[[Country]:[Country Risk Premium]],4)</f>
        <v>6.4371549301595152E-2</v>
      </c>
      <c r="E15" s="24">
        <f t="shared" si="0"/>
        <v>0.10767154930159514</v>
      </c>
      <c r="F15" s="57">
        <f>VLOOKUP(A15,'Country Tax Rates'!$A$2:$B$159,2)</f>
        <v>5.5E-2</v>
      </c>
      <c r="G15" s="57">
        <f>VLOOKUP(A15,Table1[[Country]:[Country Risk Premium]],6)</f>
        <v>6.4371549301595152E-2</v>
      </c>
      <c r="H15" s="75"/>
      <c r="I15" s="97">
        <v>76.001000000000005</v>
      </c>
      <c r="J15" s="97">
        <v>80</v>
      </c>
      <c r="K15" s="93">
        <f>$K$18+L15*'Relative Equity Volatility'!$D$7</f>
        <v>5.4593522207847384E-2</v>
      </c>
      <c r="L15" s="93">
        <f>J26</f>
        <v>8.3811058765187203E-3</v>
      </c>
      <c r="M15" s="15" t="s">
        <v>42</v>
      </c>
      <c r="N15" s="163" t="s">
        <v>90</v>
      </c>
      <c r="O15" s="75">
        <v>64</v>
      </c>
    </row>
    <row r="16" spans="1:15">
      <c r="A16" s="46" t="str">
        <f>'ERPs by country'!A22</f>
        <v>Belarus</v>
      </c>
      <c r="B16" s="127">
        <f t="shared" si="1"/>
        <v>65.25</v>
      </c>
      <c r="C16" s="24">
        <f>VLOOKUP(A16,Table1[[Country]:[Country Risk Premium]],5)</f>
        <v>0.21829999999999999</v>
      </c>
      <c r="D16" s="24">
        <f>VLOOKUP(A16,Table1[[Country]:[Country Risk Premium]],4)</f>
        <v>0.17499999999999999</v>
      </c>
      <c r="E16" s="24">
        <f t="shared" si="0"/>
        <v>0.21829999999999999</v>
      </c>
      <c r="F16" s="57">
        <f>VLOOKUP(A16,'Country Tax Rates'!$A$2:$B$159,2)</f>
        <v>0.18</v>
      </c>
      <c r="G16" s="57">
        <f>VLOOKUP(A16,Table1[[Country]:[Country Risk Premium]],6)</f>
        <v>0.17499999999999999</v>
      </c>
      <c r="H16" s="75"/>
      <c r="I16" s="97">
        <v>80.001000000000005</v>
      </c>
      <c r="J16" s="97">
        <v>82.5</v>
      </c>
      <c r="K16" s="93">
        <f>$K$18+L16*'Relative Equity Volatility'!$D$7</f>
        <v>5.1299578230558564E-2</v>
      </c>
      <c r="L16" s="93">
        <f>J24</f>
        <v>5.9366166625340932E-3</v>
      </c>
      <c r="M16" s="15" t="s">
        <v>46</v>
      </c>
      <c r="N16" s="163" t="s">
        <v>122</v>
      </c>
      <c r="O16" s="75">
        <v>79.5</v>
      </c>
    </row>
    <row r="17" spans="1:15">
      <c r="A17" s="46" t="str">
        <f>'ERPs by country'!A23</f>
        <v>Belgium</v>
      </c>
      <c r="B17" s="127">
        <f t="shared" si="1"/>
        <v>75.25</v>
      </c>
      <c r="C17" s="24">
        <f>VLOOKUP(A17,Table1[[Country]:[Country Risk Premium]],5)</f>
        <v>4.9236616662534094E-2</v>
      </c>
      <c r="D17" s="24">
        <f>VLOOKUP(A17,Table1[[Country]:[Country Risk Premium]],4)</f>
        <v>5.9366166625340932E-3</v>
      </c>
      <c r="E17" s="24">
        <f t="shared" si="0"/>
        <v>4.9236616662534094E-2</v>
      </c>
      <c r="F17" s="57">
        <f>VLOOKUP(A17,'Country Tax Rates'!$A$2:$B$159,2)</f>
        <v>0.25</v>
      </c>
      <c r="G17" s="57">
        <f>VLOOKUP(A17,Table1[[Country]:[Country Risk Premium]],6)</f>
        <v>5.9366166625340932E-3</v>
      </c>
      <c r="H17" s="75"/>
      <c r="I17" s="97">
        <v>82.501000000000005</v>
      </c>
      <c r="J17" s="97">
        <v>85</v>
      </c>
      <c r="K17" s="93">
        <f>$K$18+L17*'Relative Equity Volatility'!$D$7</f>
        <v>4.8633052153705711E-2</v>
      </c>
      <c r="L17" s="93">
        <f>J22</f>
        <v>3.9577444416893943E-3</v>
      </c>
      <c r="M17" s="15" t="s">
        <v>44</v>
      </c>
      <c r="N17" s="163" t="s">
        <v>91</v>
      </c>
      <c r="O17" s="75">
        <v>69.25</v>
      </c>
    </row>
    <row r="18" spans="1:15">
      <c r="A18" s="46" t="str">
        <f>'ERPs by country'!A24</f>
        <v>Belize</v>
      </c>
      <c r="B18" s="127" t="e">
        <f t="shared" si="1"/>
        <v>#N/A</v>
      </c>
      <c r="C18" s="24">
        <f>VLOOKUP(A18,Table1[[Country]:[Country Risk Premium]],5)</f>
        <v>0.11756591040581865</v>
      </c>
      <c r="D18" s="24">
        <f>VLOOKUP(A18,Table1[[Country]:[Country Risk Premium]],4)</f>
        <v>7.4265910405818647E-2</v>
      </c>
      <c r="E18" s="24">
        <f t="shared" si="0"/>
        <v>0.11756591040581865</v>
      </c>
      <c r="F18" s="57">
        <f>VLOOKUP(A18,'Country Tax Rates'!$A$2:$B$159,2)</f>
        <v>0.2853</v>
      </c>
      <c r="G18" s="57">
        <f>VLOOKUP(A18,Table1[[Country]:[Country Risk Premium]],6)</f>
        <v>7.4265910405818647E-2</v>
      </c>
      <c r="H18" s="75"/>
      <c r="I18" s="97">
        <v>85.001000000000005</v>
      </c>
      <c r="J18" s="97">
        <v>90.000100000000003</v>
      </c>
      <c r="K18" s="93">
        <f>'ERPs by country'!E3</f>
        <v>4.3299999999999998E-2</v>
      </c>
      <c r="L18" s="93">
        <f>J21</f>
        <v>0</v>
      </c>
      <c r="M18" s="15" t="s">
        <v>47</v>
      </c>
      <c r="N18" s="163" t="s">
        <v>333</v>
      </c>
      <c r="O18" s="75">
        <v>81.75</v>
      </c>
    </row>
    <row r="19" spans="1:15">
      <c r="A19" s="46" t="str">
        <f>'ERPs by country'!A25</f>
        <v>Benin</v>
      </c>
      <c r="B19" s="127" t="e">
        <f t="shared" si="1"/>
        <v>#N/A</v>
      </c>
      <c r="C19" s="24">
        <f>VLOOKUP(A19,Table1[[Country]:[Country Risk Premium]],5)</f>
        <v>8.788282709314818E-2</v>
      </c>
      <c r="D19" s="24">
        <f>VLOOKUP(A19,Table1[[Country]:[Country Risk Premium]],4)</f>
        <v>4.4582827093148182E-2</v>
      </c>
      <c r="E19" s="24">
        <f t="shared" si="0"/>
        <v>8.788282709314818E-2</v>
      </c>
      <c r="F19" s="57">
        <f>VLOOKUP(A19,'Country Tax Rates'!$A$2:$B$159,2)</f>
        <v>0.3</v>
      </c>
      <c r="G19" s="57">
        <f>VLOOKUP(A19,Table1[[Country]:[Country Risk Premium]],6)</f>
        <v>4.4582827093148182E-2</v>
      </c>
      <c r="H19" s="75"/>
      <c r="N19" s="163" t="s">
        <v>93</v>
      </c>
      <c r="O19" s="75">
        <v>72</v>
      </c>
    </row>
    <row r="20" spans="1:15">
      <c r="A20" s="46" t="str">
        <f>'ERPs by country'!A26</f>
        <v>Bermuda</v>
      </c>
      <c r="B20" s="127" t="e">
        <f t="shared" si="1"/>
        <v>#N/A</v>
      </c>
      <c r="C20" s="24">
        <f>VLOOKUP(A20,Table1[[Country]:[Country Risk Premium]],5)</f>
        <v>5.1681105876518717E-2</v>
      </c>
      <c r="D20" s="24">
        <f>VLOOKUP(A20,Table1[[Country]:[Country Risk Premium]],4)</f>
        <v>8.3811058765187203E-3</v>
      </c>
      <c r="E20" s="24">
        <f t="shared" si="0"/>
        <v>5.1681105876518717E-2</v>
      </c>
      <c r="F20" s="57">
        <f>VLOOKUP(A20,'Country Tax Rates'!$A$2:$B$159,2)</f>
        <v>0</v>
      </c>
      <c r="G20" s="57">
        <f>VLOOKUP(A20,Table1[[Country]:[Country Risk Premium]],6)</f>
        <v>8.3811058765187203E-3</v>
      </c>
      <c r="H20" s="75"/>
      <c r="I20" s="17" t="s">
        <v>39</v>
      </c>
      <c r="J20" s="15" t="s">
        <v>604</v>
      </c>
      <c r="N20" s="163" t="s">
        <v>208</v>
      </c>
      <c r="O20" s="75">
        <v>58.75</v>
      </c>
    </row>
    <row r="21" spans="1:15">
      <c r="A21" s="46" t="str">
        <f>'ERPs by country'!A27</f>
        <v>Bolivia</v>
      </c>
      <c r="B21" s="127">
        <f t="shared" si="1"/>
        <v>64</v>
      </c>
      <c r="C21" s="24">
        <f>VLOOKUP(A21,Table1[[Country]:[Country Risk Premium]],5)</f>
        <v>0.14236001529051986</v>
      </c>
      <c r="D21" s="24">
        <f>VLOOKUP(A21,Table1[[Country]:[Country Risk Premium]],4)</f>
        <v>9.9060015290519873E-2</v>
      </c>
      <c r="E21" s="24">
        <f t="shared" si="0"/>
        <v>0.14236001529051986</v>
      </c>
      <c r="F21" s="57">
        <f>VLOOKUP(A21,'Country Tax Rates'!$A$2:$B$159,2)</f>
        <v>0.25</v>
      </c>
      <c r="G21" s="57">
        <f>VLOOKUP(A21,Table1[[Country]:[Country Risk Premium]],6)</f>
        <v>9.9060015290519873E-2</v>
      </c>
      <c r="H21" s="75"/>
      <c r="I21" s="4" t="s">
        <v>47</v>
      </c>
      <c r="J21" s="93">
        <f>'Default Spreads for Ratings'!C8/10000</f>
        <v>0</v>
      </c>
      <c r="K21" s="78"/>
      <c r="N21" s="163" t="s">
        <v>209</v>
      </c>
      <c r="O21" s="75">
        <v>61.75</v>
      </c>
    </row>
    <row r="22" spans="1:15">
      <c r="A22" s="46" t="str">
        <f>'ERPs by country'!A28</f>
        <v>Bosnia and Herzegovina</v>
      </c>
      <c r="B22" s="127" t="e">
        <f t="shared" si="1"/>
        <v>#N/A</v>
      </c>
      <c r="C22" s="24">
        <f>VLOOKUP(A22,Table1[[Country]:[Country Risk Premium]],5)</f>
        <v>0.10767154930159514</v>
      </c>
      <c r="D22" s="24">
        <f>VLOOKUP(A22,Table1[[Country]:[Country Risk Premium]],4)</f>
        <v>6.4371549301595152E-2</v>
      </c>
      <c r="E22" s="24">
        <f t="shared" si="0"/>
        <v>0.10767154930159514</v>
      </c>
      <c r="F22" s="57">
        <f>VLOOKUP(A22,'Country Tax Rates'!$A$2:$B$159,2)</f>
        <v>0.1</v>
      </c>
      <c r="G22" s="57">
        <f>VLOOKUP(A22,Table1[[Country]:[Country Risk Premium]],6)</f>
        <v>6.4371549301595152E-2</v>
      </c>
      <c r="H22" s="75"/>
      <c r="I22" s="4" t="s">
        <v>44</v>
      </c>
      <c r="J22" s="93">
        <f>'Default Spreads for Ratings'!C5/10000</f>
        <v>3.9577444416893943E-3</v>
      </c>
      <c r="K22" s="78"/>
      <c r="N22" s="163" t="s">
        <v>94</v>
      </c>
      <c r="O22" s="75">
        <v>81</v>
      </c>
    </row>
    <row r="23" spans="1:15">
      <c r="A23" s="46" t="str">
        <f>'ERPs by country'!A29</f>
        <v>Botswana</v>
      </c>
      <c r="B23" s="127">
        <f t="shared" si="1"/>
        <v>79.5</v>
      </c>
      <c r="C23" s="24">
        <f>VLOOKUP(A23,Table1[[Country]:[Country Risk Premium]],5)</f>
        <v>5.5173233325068183E-2</v>
      </c>
      <c r="D23" s="24">
        <f>VLOOKUP(A23,Table1[[Country]:[Country Risk Premium]],4)</f>
        <v>1.1873233325068186E-2</v>
      </c>
      <c r="E23" s="24">
        <f t="shared" si="0"/>
        <v>5.5173233325068183E-2</v>
      </c>
      <c r="F23" s="57">
        <f>VLOOKUP(A23,'Country Tax Rates'!$A$2:$B$159,2)</f>
        <v>0.22</v>
      </c>
      <c r="G23" s="57">
        <f>VLOOKUP(A23,Table1[[Country]:[Country Risk Premium]],6)</f>
        <v>1.1873233325068186E-2</v>
      </c>
      <c r="H23" s="75"/>
      <c r="I23" s="4" t="s">
        <v>45</v>
      </c>
      <c r="J23" s="93">
        <f>'Default Spreads for Ratings'!C6/10000</f>
        <v>4.8889784279692525E-3</v>
      </c>
      <c r="K23" s="78"/>
      <c r="N23" s="163" t="s">
        <v>95</v>
      </c>
      <c r="O23" s="75">
        <v>74.25</v>
      </c>
    </row>
    <row r="24" spans="1:15">
      <c r="A24" s="46" t="str">
        <f>'ERPs by country'!A30</f>
        <v>Brazil</v>
      </c>
      <c r="B24" s="127">
        <f t="shared" si="1"/>
        <v>69.25</v>
      </c>
      <c r="C24" s="24">
        <f>VLOOKUP(A24,Table1[[Country]:[Country Risk Premium]],5)</f>
        <v>6.8094104884701218E-2</v>
      </c>
      <c r="D24" s="24">
        <f>VLOOKUP(A24,Table1[[Country]:[Country Risk Premium]],4)</f>
        <v>2.4794104884701216E-2</v>
      </c>
      <c r="E24" s="24">
        <f t="shared" si="0"/>
        <v>6.8094104884701218E-2</v>
      </c>
      <c r="F24" s="57">
        <f>VLOOKUP(A24,'Country Tax Rates'!$A$2:$B$159,2)</f>
        <v>0.34</v>
      </c>
      <c r="G24" s="57">
        <f>VLOOKUP(A24,Table1[[Country]:[Country Risk Premium]],6)</f>
        <v>2.4794104884701216E-2</v>
      </c>
      <c r="H24" s="75"/>
      <c r="I24" s="4" t="s">
        <v>46</v>
      </c>
      <c r="J24" s="93">
        <f>'Default Spreads for Ratings'!C7/10000</f>
        <v>5.9366166625340932E-3</v>
      </c>
      <c r="K24" s="78"/>
      <c r="N24" s="163" t="s">
        <v>511</v>
      </c>
      <c r="O24" s="75">
        <v>70.75</v>
      </c>
    </row>
    <row r="25" spans="1:15">
      <c r="A25" s="46" t="str">
        <f>'ERPs by country'!A31</f>
        <v>Bulgaria</v>
      </c>
      <c r="B25" s="127">
        <f t="shared" si="1"/>
        <v>72</v>
      </c>
      <c r="C25" s="24">
        <f>VLOOKUP(A25,Table1[[Country]:[Country Risk Premium]],5)</f>
        <v>5.9130977766757575E-2</v>
      </c>
      <c r="D25" s="24">
        <f>VLOOKUP(A25,Table1[[Country]:[Country Risk Premium]],4)</f>
        <v>1.5830977766757577E-2</v>
      </c>
      <c r="E25" s="24">
        <f t="shared" si="0"/>
        <v>5.9130977766757575E-2</v>
      </c>
      <c r="F25" s="57">
        <f>VLOOKUP(A25,'Country Tax Rates'!$A$2:$B$159,2)</f>
        <v>0.1</v>
      </c>
      <c r="G25" s="57">
        <f>VLOOKUP(A25,Table1[[Country]:[Country Risk Premium]],6)</f>
        <v>1.5830977766757577E-2</v>
      </c>
      <c r="H25" s="75"/>
      <c r="I25" s="4" t="s">
        <v>41</v>
      </c>
      <c r="J25" s="93">
        <f>'Default Spreads for Ratings'!C2/10000</f>
        <v>6.9842548970989338E-3</v>
      </c>
      <c r="K25" s="78"/>
      <c r="N25" s="163" t="s">
        <v>50</v>
      </c>
      <c r="O25" s="75">
        <v>63.5</v>
      </c>
    </row>
    <row r="26" spans="1:15">
      <c r="A26" s="46" t="str">
        <f>'ERPs by country'!A32</f>
        <v>Burkina Faso</v>
      </c>
      <c r="B26" s="127">
        <f t="shared" si="1"/>
        <v>58.75</v>
      </c>
      <c r="C26" s="24">
        <f>VLOOKUP(A26,Table1[[Country]:[Country Risk Premium]],5)</f>
        <v>0.11756591040581865</v>
      </c>
      <c r="D26" s="24">
        <f>VLOOKUP(A26,Table1[[Country]:[Country Risk Premium]],4)</f>
        <v>7.4265910405818647E-2</v>
      </c>
      <c r="E26" s="24">
        <f t="shared" si="0"/>
        <v>0.11756591040581865</v>
      </c>
      <c r="F26" s="57">
        <f>VLOOKUP(A26,'Country Tax Rates'!$A$2:$B$159,2)</f>
        <v>0.28000000000000003</v>
      </c>
      <c r="G26" s="57">
        <f>VLOOKUP(A26,Table1[[Country]:[Country Risk Premium]],6)</f>
        <v>7.4265910405818647E-2</v>
      </c>
      <c r="H26" s="75"/>
      <c r="I26" s="4" t="s">
        <v>42</v>
      </c>
      <c r="J26" s="93">
        <f>'Default Spreads for Ratings'!C3/10000</f>
        <v>8.3811058765187203E-3</v>
      </c>
      <c r="K26" s="78"/>
      <c r="N26" s="163" t="s">
        <v>556</v>
      </c>
      <c r="O26" s="75">
        <v>56.75</v>
      </c>
    </row>
    <row r="27" spans="1:15">
      <c r="A27" s="46" t="str">
        <f>'ERPs by country'!A33</f>
        <v>Cambodia</v>
      </c>
      <c r="B27" s="127" t="e">
        <f t="shared" si="1"/>
        <v>#N/A</v>
      </c>
      <c r="C27" s="24">
        <f>VLOOKUP(A27,Table1[[Country]:[Country Risk Premium]],5)</f>
        <v>9.7777188197371676E-2</v>
      </c>
      <c r="D27" s="24">
        <f>VLOOKUP(A27,Table1[[Country]:[Country Risk Premium]],4)</f>
        <v>5.4477188197371677E-2</v>
      </c>
      <c r="E27" s="24">
        <f t="shared" si="0"/>
        <v>9.7777188197371676E-2</v>
      </c>
      <c r="F27" s="57">
        <f>VLOOKUP(A27,'Country Tax Rates'!$A$2:$B$159,2)</f>
        <v>0.2</v>
      </c>
      <c r="G27" s="57">
        <f>VLOOKUP(A27,Table1[[Country]:[Country Risk Premium]],6)</f>
        <v>5.4477188197371677E-2</v>
      </c>
      <c r="H27" s="75"/>
      <c r="I27" s="4" t="s">
        <v>43</v>
      </c>
      <c r="J27" s="93">
        <f>'Default Spreads for Ratings'!C4/10000</f>
        <v>1.1873233325068186E-2</v>
      </c>
      <c r="K27" s="78"/>
      <c r="N27" s="163" t="s">
        <v>557</v>
      </c>
      <c r="O27" s="75">
        <v>66.25</v>
      </c>
    </row>
    <row r="28" spans="1:15">
      <c r="A28" s="46" t="str">
        <f>'ERPs by country'!A34</f>
        <v>Cameroon</v>
      </c>
      <c r="B28" s="127">
        <f t="shared" si="1"/>
        <v>61.75</v>
      </c>
      <c r="C28" s="24">
        <f>VLOOKUP(A28,Table1[[Country]:[Country Risk Premium]],5)</f>
        <v>0.11756591040581865</v>
      </c>
      <c r="D28" s="24">
        <f>VLOOKUP(A28,Table1[[Country]:[Country Risk Premium]],4)</f>
        <v>7.4265910405818647E-2</v>
      </c>
      <c r="E28" s="24">
        <f t="shared" si="0"/>
        <v>0.11756591040581865</v>
      </c>
      <c r="F28" s="57">
        <f>VLOOKUP(A28,'Country Tax Rates'!$A$2:$B$159,2)</f>
        <v>0.33</v>
      </c>
      <c r="G28" s="57">
        <f>VLOOKUP(A28,Table1[[Country]:[Country Risk Premium]],6)</f>
        <v>7.4265910405818647E-2</v>
      </c>
      <c r="H28" s="75"/>
      <c r="I28" s="4" t="s">
        <v>81</v>
      </c>
      <c r="J28" s="93">
        <f>'Default Spreads for Ratings'!C15/10000</f>
        <v>1.5830977766757577E-2</v>
      </c>
      <c r="K28" s="78"/>
      <c r="N28" s="163" t="s">
        <v>56</v>
      </c>
      <c r="O28" s="75">
        <v>76</v>
      </c>
    </row>
    <row r="29" spans="1:15">
      <c r="A29" s="46" t="str">
        <f>'ERPs by country'!A35</f>
        <v>Canada</v>
      </c>
      <c r="B29" s="127">
        <f t="shared" si="1"/>
        <v>81</v>
      </c>
      <c r="C29" s="24">
        <f>VLOOKUP(A29,Table1[[Country]:[Country Risk Premium]],5)</f>
        <v>4.3299999999999998E-2</v>
      </c>
      <c r="D29" s="24">
        <f>VLOOKUP(A29,Table1[[Country]:[Country Risk Premium]],4)</f>
        <v>0</v>
      </c>
      <c r="E29" s="24">
        <f t="shared" si="0"/>
        <v>4.3299999999999998E-2</v>
      </c>
      <c r="F29" s="57">
        <f>VLOOKUP(A29,'Country Tax Rates'!$A$2:$B$159,2)</f>
        <v>0.26500000000000001</v>
      </c>
      <c r="G29" s="57">
        <f>VLOOKUP(A29,Table1[[Country]:[Country Risk Premium]],6)</f>
        <v>0</v>
      </c>
      <c r="H29" s="75"/>
      <c r="I29" s="4" t="s">
        <v>82</v>
      </c>
      <c r="J29" s="93">
        <f>'Default Spreads for Ratings'!C16/10000</f>
        <v>1.885748822216712E-2</v>
      </c>
      <c r="K29" s="78"/>
      <c r="N29" s="163" t="s">
        <v>361</v>
      </c>
      <c r="O29" s="75">
        <v>65.25</v>
      </c>
    </row>
    <row r="30" spans="1:15">
      <c r="A30" s="46" t="str">
        <f>'ERPs by country'!A36</f>
        <v>Cape Verde</v>
      </c>
      <c r="B30" s="127" t="e">
        <f t="shared" si="1"/>
        <v>#N/A</v>
      </c>
      <c r="C30" s="24">
        <f>VLOOKUP(A30,Table1[[Country]:[Country Risk Premium]],5)</f>
        <v>9.7777188197371676E-2</v>
      </c>
      <c r="D30" s="24">
        <f>VLOOKUP(A30,Table1[[Country]:[Country Risk Premium]],4)</f>
        <v>5.4477188197371677E-2</v>
      </c>
      <c r="E30" s="24">
        <f t="shared" si="0"/>
        <v>9.7777188197371676E-2</v>
      </c>
      <c r="F30" s="57">
        <f>VLOOKUP(A30,'Country Tax Rates'!$A$2:$B$159,2)</f>
        <v>0</v>
      </c>
      <c r="G30" s="57">
        <f>VLOOKUP(A30,Table1[[Country]:[Country Risk Premium]],6)</f>
        <v>5.4477188197371677E-2</v>
      </c>
      <c r="H30" s="75"/>
      <c r="I30" s="4" t="s">
        <v>123</v>
      </c>
      <c r="J30" s="93">
        <f>'Default Spreads for Ratings'!C17/10000</f>
        <v>2.1767594429291676E-2</v>
      </c>
      <c r="K30" s="78"/>
      <c r="N30" s="163" t="s">
        <v>97</v>
      </c>
      <c r="O30" s="75">
        <v>74.5</v>
      </c>
    </row>
    <row r="31" spans="1:15">
      <c r="A31" s="46" t="str">
        <f>'ERPs by country'!A37</f>
        <v>Cayman Islands</v>
      </c>
      <c r="B31" s="127" t="e">
        <f t="shared" si="1"/>
        <v>#N/A</v>
      </c>
      <c r="C31" s="24">
        <f>VLOOKUP(A31,Table1[[Country]:[Country Risk Premium]],5)</f>
        <v>4.9236616662534094E-2</v>
      </c>
      <c r="D31" s="24">
        <f>VLOOKUP(A31,Table1[[Country]:[Country Risk Premium]],4)</f>
        <v>5.9366166625340932E-3</v>
      </c>
      <c r="E31" s="24">
        <f t="shared" si="0"/>
        <v>4.9236616662534094E-2</v>
      </c>
      <c r="F31" s="57">
        <f>VLOOKUP(A31,'Country Tax Rates'!$A$2:$B$159,2)</f>
        <v>0</v>
      </c>
      <c r="G31" s="57">
        <f>VLOOKUP(A31,Table1[[Country]:[Country Risk Premium]],6)</f>
        <v>5.9366166625340932E-3</v>
      </c>
      <c r="H31" s="75"/>
      <c r="I31" s="4" t="s">
        <v>78</v>
      </c>
      <c r="J31" s="93">
        <f>'Default Spreads for Ratings'!C12/10000</f>
        <v>2.4794104884701216E-2</v>
      </c>
      <c r="K31" s="78"/>
      <c r="N31" s="163" t="s">
        <v>98</v>
      </c>
      <c r="O31" s="75">
        <v>59.5</v>
      </c>
    </row>
    <row r="32" spans="1:15">
      <c r="A32" s="46" t="str">
        <f>'ERPs by country'!A38</f>
        <v>Chile</v>
      </c>
      <c r="B32" s="127">
        <f t="shared" si="1"/>
        <v>74.25</v>
      </c>
      <c r="C32" s="24">
        <f>VLOOKUP(A32,Table1[[Country]:[Country Risk Premium]],5)</f>
        <v>5.1681105876518717E-2</v>
      </c>
      <c r="D32" s="24">
        <f>VLOOKUP(A32,Table1[[Country]:[Country Risk Premium]],4)</f>
        <v>8.3811058765187203E-3</v>
      </c>
      <c r="E32" s="24">
        <f t="shared" si="0"/>
        <v>5.1681105876518717E-2</v>
      </c>
      <c r="F32" s="57">
        <f>VLOOKUP(A32,'Country Tax Rates'!$A$2:$B$159,2)</f>
        <v>0.27</v>
      </c>
      <c r="G32" s="57">
        <f>VLOOKUP(A32,Table1[[Country]:[Country Risk Premium]],6)</f>
        <v>8.3811058765187203E-3</v>
      </c>
      <c r="H32" s="75"/>
      <c r="I32" s="4" t="s">
        <v>79</v>
      </c>
      <c r="J32" s="93">
        <f>'Default Spreads for Ratings'!C13/10000</f>
        <v>2.9799487560955448E-2</v>
      </c>
      <c r="K32" s="78"/>
      <c r="N32" s="163" t="s">
        <v>175</v>
      </c>
      <c r="O32" s="75">
        <v>71.5</v>
      </c>
    </row>
    <row r="33" spans="1:15">
      <c r="A33" s="46" t="str">
        <f>'ERPs by country'!A39</f>
        <v>China</v>
      </c>
      <c r="B33" s="127" t="e">
        <f t="shared" si="1"/>
        <v>#N/A</v>
      </c>
      <c r="C33" s="24">
        <f>VLOOKUP(A33,Table1[[Country]:[Country Risk Premium]],5)</f>
        <v>5.028425489709893E-2</v>
      </c>
      <c r="D33" s="24">
        <f>VLOOKUP(A33,Table1[[Country]:[Country Risk Premium]],4)</f>
        <v>6.9842548970989338E-3</v>
      </c>
      <c r="E33" s="24">
        <f t="shared" si="0"/>
        <v>5.028425489709893E-2</v>
      </c>
      <c r="F33" s="57">
        <f>VLOOKUP(A33,'Country Tax Rates'!$A$2:$B$159,2)</f>
        <v>0.25</v>
      </c>
      <c r="G33" s="57">
        <f>VLOOKUP(A33,Table1[[Country]:[Country Risk Premium]],6)</f>
        <v>6.9842548970989338E-3</v>
      </c>
      <c r="H33" s="75"/>
      <c r="I33" s="4" t="s">
        <v>80</v>
      </c>
      <c r="J33" s="93">
        <f>'Default Spreads for Ratings'!C14/10000</f>
        <v>3.5619699975204554E-2</v>
      </c>
      <c r="K33" s="78"/>
      <c r="N33" s="163" t="s">
        <v>100</v>
      </c>
      <c r="O33" s="75">
        <v>78.75</v>
      </c>
    </row>
    <row r="34" spans="1:15">
      <c r="A34" s="46" t="str">
        <f>'ERPs by country'!A40</f>
        <v>Colombia</v>
      </c>
      <c r="B34" s="127">
        <f t="shared" si="1"/>
        <v>63.5</v>
      </c>
      <c r="C34" s="24">
        <f>VLOOKUP(A34,Table1[[Country]:[Country Risk Premium]],5)</f>
        <v>6.2157488222167115E-2</v>
      </c>
      <c r="D34" s="24">
        <f>VLOOKUP(A34,Table1[[Country]:[Country Risk Premium]],4)</f>
        <v>1.885748822216712E-2</v>
      </c>
      <c r="E34" s="24">
        <f t="shared" si="0"/>
        <v>6.2157488222167115E-2</v>
      </c>
      <c r="F34" s="57">
        <f>VLOOKUP(A34,'Country Tax Rates'!$A$2:$B$159,2)</f>
        <v>0.35</v>
      </c>
      <c r="G34" s="57">
        <f>VLOOKUP(A34,Table1[[Country]:[Country Risk Premium]],6)</f>
        <v>1.885748822216712E-2</v>
      </c>
      <c r="H34" s="75"/>
      <c r="I34" s="4" t="s">
        <v>48</v>
      </c>
      <c r="J34" s="93">
        <f>'Default Spreads for Ratings'!C9/10000</f>
        <v>4.4582827093148182E-2</v>
      </c>
      <c r="K34" s="78"/>
      <c r="N34" s="163" t="s">
        <v>101</v>
      </c>
      <c r="O34" s="75">
        <v>85.5</v>
      </c>
    </row>
    <row r="35" spans="1:15">
      <c r="A35" s="46" t="str">
        <f>'ERPs by country'!A41</f>
        <v>Congo (Democratic Republic of)</v>
      </c>
      <c r="B35" s="127" t="e">
        <f t="shared" si="1"/>
        <v>#N/A</v>
      </c>
      <c r="C35" s="24">
        <f>VLOOKUP(A35,Table1[[Country]:[Country Risk Premium]],5)</f>
        <v>0.10767154930159514</v>
      </c>
      <c r="D35" s="24">
        <f>VLOOKUP(A35,Table1[[Country]:[Country Risk Premium]],4)</f>
        <v>6.4371549301595152E-2</v>
      </c>
      <c r="E35" s="24">
        <f t="shared" si="0"/>
        <v>0.10767154930159514</v>
      </c>
      <c r="F35" s="57">
        <f>VLOOKUP(A35,'Country Tax Rates'!$A$2:$B$159,2)</f>
        <v>0.3</v>
      </c>
      <c r="G35" s="57">
        <f>VLOOKUP(A35,Table1[[Country]:[Country Risk Premium]],6)</f>
        <v>6.4371549301595152E-2</v>
      </c>
      <c r="H35" s="75"/>
      <c r="I35" s="4" t="s">
        <v>49</v>
      </c>
      <c r="J35" s="93">
        <f>'Default Spreads for Ratings'!C10/10000</f>
        <v>5.4477188197371677E-2</v>
      </c>
      <c r="K35" s="78"/>
      <c r="N35" s="163" t="s">
        <v>102</v>
      </c>
      <c r="O35" s="75">
        <v>72</v>
      </c>
    </row>
    <row r="36" spans="1:15">
      <c r="A36" s="46" t="str">
        <f>'ERPs by country'!A42</f>
        <v>Congo (Republic of)</v>
      </c>
      <c r="B36" s="127" t="e">
        <f t="shared" si="1"/>
        <v>#N/A</v>
      </c>
      <c r="C36" s="24">
        <f>VLOOKUP(A36,Table1[[Country]:[Country Risk Premium]],5)</f>
        <v>0.13246565418629636</v>
      </c>
      <c r="D36" s="24">
        <f>VLOOKUP(A36,Table1[[Country]:[Country Risk Premium]],4)</f>
        <v>8.9165654186296364E-2</v>
      </c>
      <c r="E36" s="24">
        <f t="shared" si="0"/>
        <v>0.13246565418629636</v>
      </c>
      <c r="F36" s="57">
        <f>VLOOKUP(A36,'Country Tax Rates'!$A$2:$B$159,2)</f>
        <v>0.28000000000000003</v>
      </c>
      <c r="G36" s="57">
        <f>VLOOKUP(A36,Table1[[Country]:[Country Risk Premium]],6)</f>
        <v>8.9165654186296364E-2</v>
      </c>
      <c r="H36" s="75"/>
      <c r="I36" s="4" t="s">
        <v>77</v>
      </c>
      <c r="J36" s="93">
        <f>'Default Spreads for Ratings'!C11/10000</f>
        <v>6.4371549301595152E-2</v>
      </c>
      <c r="K36" s="78"/>
      <c r="N36" s="163" t="s">
        <v>103</v>
      </c>
      <c r="O36" s="75">
        <v>65.75</v>
      </c>
    </row>
    <row r="37" spans="1:15">
      <c r="A37" s="46" t="str">
        <f>'ERPs by country'!A43</f>
        <v>Cook Islands</v>
      </c>
      <c r="B37" s="127" t="e">
        <f t="shared" si="1"/>
        <v>#N/A</v>
      </c>
      <c r="C37" s="24">
        <f>VLOOKUP(A37,Table1[[Country]:[Country Risk Premium]],5)</f>
        <v>8.788282709314818E-2</v>
      </c>
      <c r="D37" s="24">
        <f>VLOOKUP(A37,Table1[[Country]:[Country Risk Premium]],4)</f>
        <v>4.4582827093148182E-2</v>
      </c>
      <c r="E37" s="24">
        <f t="shared" si="0"/>
        <v>8.788282709314818E-2</v>
      </c>
      <c r="F37" s="57">
        <f>VLOOKUP(A37,'Country Tax Rates'!$A$2:$B$159,2)</f>
        <v>0.2974</v>
      </c>
      <c r="G37" s="57">
        <f>VLOOKUP(A37,Table1[[Country]:[Country Risk Premium]],6)</f>
        <v>4.4582827093148182E-2</v>
      </c>
      <c r="H37" s="75"/>
      <c r="I37" s="4" t="s">
        <v>99</v>
      </c>
      <c r="J37" s="93">
        <f>'Default Spreads for Ratings'!C19/10000</f>
        <v>7.4265910405818647E-2</v>
      </c>
      <c r="K37" s="78"/>
      <c r="N37" s="163" t="s">
        <v>104</v>
      </c>
      <c r="O37" s="75">
        <v>56</v>
      </c>
    </row>
    <row r="38" spans="1:15">
      <c r="A38" s="46" t="str">
        <f>'ERPs by country'!A44</f>
        <v>Costa Rica</v>
      </c>
      <c r="B38" s="127">
        <f t="shared" si="1"/>
        <v>76</v>
      </c>
      <c r="C38" s="24">
        <f>VLOOKUP(A38,Table1[[Country]:[Country Risk Premium]],5)</f>
        <v>7.8919699975204552E-2</v>
      </c>
      <c r="D38" s="24">
        <f>VLOOKUP(A38,Table1[[Country]:[Country Risk Premium]],4)</f>
        <v>3.5619699975204554E-2</v>
      </c>
      <c r="E38" s="24">
        <f t="shared" si="0"/>
        <v>7.8919699975204552E-2</v>
      </c>
      <c r="F38" s="57">
        <f>VLOOKUP(A38,'Country Tax Rates'!$A$2:$B$159,2)</f>
        <v>0.3</v>
      </c>
      <c r="G38" s="57">
        <f>VLOOKUP(A38,Table1[[Country]:[Country Risk Premium]],6)</f>
        <v>3.5619699975204554E-2</v>
      </c>
      <c r="H38" s="75"/>
      <c r="I38" s="4" t="s">
        <v>58</v>
      </c>
      <c r="J38" s="93">
        <f>'Default Spreads for Ratings'!C20/10000</f>
        <v>8.9165654186296364E-2</v>
      </c>
      <c r="K38" s="78"/>
      <c r="N38" s="163" t="s">
        <v>31</v>
      </c>
      <c r="O38" s="75">
        <v>70.75</v>
      </c>
    </row>
    <row r="39" spans="1:15">
      <c r="A39" s="46" t="str">
        <f>'ERPs by country'!A45</f>
        <v>Côte d'Ivoire</v>
      </c>
      <c r="B39" s="127" t="e">
        <f t="shared" si="1"/>
        <v>#N/A</v>
      </c>
      <c r="C39" s="24">
        <f>VLOOKUP(A39,Table1[[Country]:[Country Risk Premium]],5)</f>
        <v>7.309948756095544E-2</v>
      </c>
      <c r="D39" s="24">
        <f>VLOOKUP(A39,Table1[[Country]:[Country Risk Premium]],4)</f>
        <v>2.9799487560955448E-2</v>
      </c>
      <c r="E39" s="24">
        <f t="shared" si="0"/>
        <v>7.309948756095544E-2</v>
      </c>
      <c r="F39" s="57">
        <f>VLOOKUP(A39,'Country Tax Rates'!$A$2:$B$159,2)</f>
        <v>0.25</v>
      </c>
      <c r="G39" s="57">
        <f>VLOOKUP(A39,Table1[[Country]:[Country Risk Premium]],6)</f>
        <v>2.9799487560955448E-2</v>
      </c>
      <c r="H39" s="75"/>
      <c r="I39" s="4" t="s">
        <v>62</v>
      </c>
      <c r="J39" s="93">
        <f>'Default Spreads for Ratings'!C21/10000</f>
        <v>9.9060015290519873E-2</v>
      </c>
      <c r="K39" s="78"/>
      <c r="N39" s="163" t="s">
        <v>105</v>
      </c>
      <c r="O39" s="75">
        <v>71.5</v>
      </c>
    </row>
    <row r="40" spans="1:15">
      <c r="A40" s="46" t="str">
        <f>'ERPs by country'!A46</f>
        <v>Croatia</v>
      </c>
      <c r="B40" s="127">
        <f t="shared" si="1"/>
        <v>74.5</v>
      </c>
      <c r="C40" s="24">
        <f>VLOOKUP(A40,Table1[[Country]:[Country Risk Premium]],5)</f>
        <v>5.5173233325068183E-2</v>
      </c>
      <c r="D40" s="24">
        <f>VLOOKUP(A40,Table1[[Country]:[Country Risk Premium]],4)</f>
        <v>1.1873233325068186E-2</v>
      </c>
      <c r="E40" s="24">
        <f t="shared" si="0"/>
        <v>5.5173233325068183E-2</v>
      </c>
      <c r="F40" s="57">
        <f>VLOOKUP(A40,'Country Tax Rates'!$A$2:$B$159,2)</f>
        <v>0.18</v>
      </c>
      <c r="G40" s="57">
        <f>VLOOKUP(A40,Table1[[Country]:[Country Risk Premium]],6)</f>
        <v>1.1873233325068186E-2</v>
      </c>
      <c r="H40" s="75"/>
      <c r="I40" s="4" t="s">
        <v>338</v>
      </c>
      <c r="J40" s="93">
        <f>'Default Spreads for Ratings'!C18/10000</f>
        <v>0.11884873749896685</v>
      </c>
      <c r="K40" s="78"/>
      <c r="N40" s="163" t="s">
        <v>280</v>
      </c>
      <c r="O40" s="75">
        <v>54.25</v>
      </c>
    </row>
    <row r="41" spans="1:15">
      <c r="A41" s="46" t="str">
        <f>'ERPs by country'!A47</f>
        <v>Cuba</v>
      </c>
      <c r="B41" s="127">
        <f t="shared" si="1"/>
        <v>59.5</v>
      </c>
      <c r="C41" s="24">
        <f>VLOOKUP(A41,Table1[[Country]:[Country Risk Premium]],5)</f>
        <v>0.16214873749896686</v>
      </c>
      <c r="D41" s="24">
        <f>VLOOKUP(A41,Table1[[Country]:[Country Risk Premium]],4)</f>
        <v>0.11884873749896685</v>
      </c>
      <c r="E41" s="24">
        <f t="shared" si="0"/>
        <v>0.16214873749896686</v>
      </c>
      <c r="F41" s="57">
        <f>VLOOKUP(A41,'Country Tax Rates'!$A$2:$B$159,2)</f>
        <v>0.2853</v>
      </c>
      <c r="G41" s="57">
        <f>VLOOKUP(A41,Table1[[Country]:[Country Risk Premium]],6)</f>
        <v>0.11884873749896685</v>
      </c>
      <c r="H41" s="75"/>
      <c r="I41" s="4" t="s">
        <v>136</v>
      </c>
      <c r="J41" s="93">
        <f>'ERPs by country'!C206/10000</f>
        <v>0.17499999999999999</v>
      </c>
      <c r="K41" s="83"/>
      <c r="N41" s="163" t="s">
        <v>176</v>
      </c>
      <c r="O41" s="75">
        <v>78</v>
      </c>
    </row>
    <row r="42" spans="1:15">
      <c r="A42" s="46" t="str">
        <f>'ERPs by country'!A48</f>
        <v>Curacao</v>
      </c>
      <c r="B42" s="127" t="e">
        <f t="shared" si="1"/>
        <v>#N/A</v>
      </c>
      <c r="C42" s="24">
        <f>VLOOKUP(A42,Table1[[Country]:[Country Risk Premium]],5)</f>
        <v>6.5067594429291678E-2</v>
      </c>
      <c r="D42" s="24">
        <f>VLOOKUP(A42,Table1[[Country]:[Country Risk Premium]],4)</f>
        <v>2.1767594429291676E-2</v>
      </c>
      <c r="E42" s="24">
        <f t="shared" si="0"/>
        <v>6.5067594429291678E-2</v>
      </c>
      <c r="F42" s="57">
        <f>VLOOKUP(A42,'Country Tax Rates'!$A$2:$B$159,2)</f>
        <v>0.22</v>
      </c>
      <c r="G42" s="57">
        <f>VLOOKUP(A42,Table1[[Country]:[Country Risk Premium]],6)</f>
        <v>2.1767594429291676E-2</v>
      </c>
      <c r="H42" s="75"/>
      <c r="N42" s="163" t="s">
        <v>177</v>
      </c>
      <c r="O42" s="75">
        <v>72.25</v>
      </c>
    </row>
    <row r="43" spans="1:15">
      <c r="A43" s="46" t="str">
        <f>'ERPs by country'!A49</f>
        <v>Cyprus</v>
      </c>
      <c r="B43" s="127">
        <f t="shared" si="1"/>
        <v>71.5</v>
      </c>
      <c r="C43" s="24">
        <f>VLOOKUP(A43,Table1[[Country]:[Country Risk Premium]],5)</f>
        <v>5.5173233325068183E-2</v>
      </c>
      <c r="D43" s="24">
        <f>VLOOKUP(A43,Table1[[Country]:[Country Risk Premium]],4)</f>
        <v>1.1873233325068186E-2</v>
      </c>
      <c r="E43" s="24">
        <f t="shared" si="0"/>
        <v>5.5173233325068183E-2</v>
      </c>
      <c r="F43" s="57">
        <f>VLOOKUP(A43,'Country Tax Rates'!$A$2:$B$159,2)</f>
        <v>0.125</v>
      </c>
      <c r="G43" s="57">
        <f>VLOOKUP(A43,Table1[[Country]:[Country Risk Premium]],6)</f>
        <v>1.1873233325068186E-2</v>
      </c>
      <c r="H43" s="75"/>
      <c r="N43" s="163" t="s">
        <v>217</v>
      </c>
      <c r="O43" s="75">
        <v>68.5</v>
      </c>
    </row>
    <row r="44" spans="1:15">
      <c r="A44" s="46" t="str">
        <f>'ERPs by country'!A50</f>
        <v>Czech Republic</v>
      </c>
      <c r="B44" s="127">
        <f t="shared" si="1"/>
        <v>78.75</v>
      </c>
      <c r="C44" s="24">
        <f>VLOOKUP(A44,Table1[[Country]:[Country Risk Premium]],5)</f>
        <v>4.9236616662534094E-2</v>
      </c>
      <c r="D44" s="24">
        <f>VLOOKUP(A44,Table1[[Country]:[Country Risk Premium]],4)</f>
        <v>5.9366166625340932E-3</v>
      </c>
      <c r="E44" s="24">
        <f t="shared" si="0"/>
        <v>4.9236616662534094E-2</v>
      </c>
      <c r="F44" s="57">
        <f>VLOOKUP(A44,'Country Tax Rates'!$A$2:$B$159,2)</f>
        <v>0.19</v>
      </c>
      <c r="G44" s="57">
        <f>VLOOKUP(A44,Table1[[Country]:[Country Risk Premium]],6)</f>
        <v>5.9366166625340932E-3</v>
      </c>
      <c r="H44" s="75"/>
      <c r="N44" s="163" t="s">
        <v>329</v>
      </c>
      <c r="O44" s="75">
        <v>67.5</v>
      </c>
    </row>
    <row r="45" spans="1:15">
      <c r="A45" s="46" t="str">
        <f>'ERPs by country'!A51</f>
        <v>Denmark</v>
      </c>
      <c r="B45" s="127">
        <f t="shared" si="1"/>
        <v>85.5</v>
      </c>
      <c r="C45" s="24">
        <f>VLOOKUP(A45,Table1[[Country]:[Country Risk Premium]],5)</f>
        <v>4.3299999999999998E-2</v>
      </c>
      <c r="D45" s="24">
        <f>VLOOKUP(A45,Table1[[Country]:[Country Risk Premium]],4)</f>
        <v>0</v>
      </c>
      <c r="E45" s="24">
        <f t="shared" si="0"/>
        <v>4.3299999999999998E-2</v>
      </c>
      <c r="F45" s="57">
        <f>VLOOKUP(A45,'Country Tax Rates'!$A$2:$B$159,2)</f>
        <v>0.22</v>
      </c>
      <c r="G45" s="57">
        <f>VLOOKUP(A45,Table1[[Country]:[Country Risk Premium]],6)</f>
        <v>0</v>
      </c>
      <c r="H45" s="75"/>
      <c r="N45" s="163" t="s">
        <v>178</v>
      </c>
      <c r="O45" s="75">
        <v>80</v>
      </c>
    </row>
    <row r="46" spans="1:15">
      <c r="A46" s="46" t="str">
        <f>'ERPs by country'!A52</f>
        <v>Dominican Republic</v>
      </c>
      <c r="B46" s="127">
        <f t="shared" si="1"/>
        <v>72</v>
      </c>
      <c r="C46" s="24">
        <f>VLOOKUP(A46,Table1[[Country]:[Country Risk Premium]],5)</f>
        <v>7.8919699975204552E-2</v>
      </c>
      <c r="D46" s="24">
        <f>VLOOKUP(A46,Table1[[Country]:[Country Risk Premium]],4)</f>
        <v>3.5619699975204554E-2</v>
      </c>
      <c r="E46" s="24">
        <f t="shared" si="0"/>
        <v>7.8919699975204552E-2</v>
      </c>
      <c r="F46" s="57">
        <f>VLOOKUP(A46,'Country Tax Rates'!$A$2:$B$159,2)</f>
        <v>0.27</v>
      </c>
      <c r="G46" s="57">
        <f>VLOOKUP(A46,Table1[[Country]:[Country Risk Premium]],6)</f>
        <v>3.5619699975204554E-2</v>
      </c>
      <c r="H46" s="75"/>
      <c r="N46" s="163" t="s">
        <v>218</v>
      </c>
      <c r="O46" s="75">
        <v>64.5</v>
      </c>
    </row>
    <row r="47" spans="1:15">
      <c r="A47" s="46" t="str">
        <f>'ERPs by country'!A53</f>
        <v>Ecuador</v>
      </c>
      <c r="B47" s="127">
        <f t="shared" si="1"/>
        <v>65.75</v>
      </c>
      <c r="C47" s="24">
        <f>VLOOKUP(A47,Table1[[Country]:[Country Risk Premium]],5)</f>
        <v>0.14236001529051986</v>
      </c>
      <c r="D47" s="24">
        <f>VLOOKUP(A47,Table1[[Country]:[Country Risk Premium]],4)</f>
        <v>9.9060015290519873E-2</v>
      </c>
      <c r="E47" s="24">
        <f t="shared" si="0"/>
        <v>0.14236001529051986</v>
      </c>
      <c r="F47" s="57">
        <f>VLOOKUP(A47,'Country Tax Rates'!$A$2:$B$159,2)</f>
        <v>0.25</v>
      </c>
      <c r="G47" s="57">
        <f>VLOOKUP(A47,Table1[[Country]:[Country Risk Premium]],6)</f>
        <v>9.9060015290519873E-2</v>
      </c>
      <c r="H47" s="75"/>
      <c r="N47" s="163" t="s">
        <v>179</v>
      </c>
      <c r="O47" s="75">
        <v>69.5</v>
      </c>
    </row>
    <row r="48" spans="1:15">
      <c r="A48" s="46" t="str">
        <f>'ERPs by country'!A54</f>
        <v>Egypt</v>
      </c>
      <c r="B48" s="127">
        <f t="shared" si="1"/>
        <v>56</v>
      </c>
      <c r="C48" s="24">
        <f>VLOOKUP(A48,Table1[[Country]:[Country Risk Premium]],5)</f>
        <v>0.11756591040581865</v>
      </c>
      <c r="D48" s="24">
        <f>VLOOKUP(A48,Table1[[Country]:[Country Risk Premium]],4)</f>
        <v>7.4265910405818647E-2</v>
      </c>
      <c r="E48" s="24">
        <f t="shared" si="0"/>
        <v>0.11756591040581865</v>
      </c>
      <c r="F48" s="57">
        <f>VLOOKUP(A48,'Country Tax Rates'!$A$2:$B$159,2)</f>
        <v>0.22500000000000001</v>
      </c>
      <c r="G48" s="57">
        <f>VLOOKUP(A48,Table1[[Country]:[Country Risk Premium]],6)</f>
        <v>7.4265910405818647E-2</v>
      </c>
      <c r="H48" s="75"/>
      <c r="N48" s="163" t="s">
        <v>106</v>
      </c>
      <c r="O48" s="75">
        <v>72.5</v>
      </c>
    </row>
    <row r="49" spans="1:15">
      <c r="A49" s="46" t="str">
        <f>'ERPs by country'!A55</f>
        <v>El Salvador</v>
      </c>
      <c r="B49" s="127">
        <f t="shared" si="1"/>
        <v>70.75</v>
      </c>
      <c r="C49" s="24">
        <f>VLOOKUP(A49,Table1[[Country]:[Country Risk Premium]],5)</f>
        <v>0.10767154930159514</v>
      </c>
      <c r="D49" s="24">
        <f>VLOOKUP(A49,Table1[[Country]:[Country Risk Premium]],4)</f>
        <v>6.4371549301595152E-2</v>
      </c>
      <c r="E49" s="24">
        <f t="shared" si="0"/>
        <v>0.10767154930159514</v>
      </c>
      <c r="F49" s="57">
        <f>VLOOKUP(A49,'Country Tax Rates'!$A$2:$B$159,2)</f>
        <v>0.3</v>
      </c>
      <c r="G49" s="57">
        <f>VLOOKUP(A49,Table1[[Country]:[Country Risk Premium]],6)</f>
        <v>6.4371549301595152E-2</v>
      </c>
      <c r="H49" s="75"/>
      <c r="N49" s="163" t="s">
        <v>312</v>
      </c>
      <c r="O49" s="75">
        <v>57.75</v>
      </c>
    </row>
    <row r="50" spans="1:15">
      <c r="A50" s="46" t="str">
        <f>'ERPs by country'!A56</f>
        <v>Estonia</v>
      </c>
      <c r="B50" s="127">
        <f t="shared" si="1"/>
        <v>71.5</v>
      </c>
      <c r="C50" s="24">
        <f>VLOOKUP(A50,Table1[[Country]:[Country Risk Premium]],5)</f>
        <v>5.028425489709893E-2</v>
      </c>
      <c r="D50" s="24">
        <f>VLOOKUP(A50,Table1[[Country]:[Country Risk Premium]],4)</f>
        <v>6.9842548970989338E-3</v>
      </c>
      <c r="E50" s="24">
        <f t="shared" si="0"/>
        <v>5.028425489709893E-2</v>
      </c>
      <c r="F50" s="57">
        <f>VLOOKUP(A50,'Country Tax Rates'!$A$2:$B$159,2)</f>
        <v>0.2</v>
      </c>
      <c r="G50" s="57">
        <f>VLOOKUP(A50,Table1[[Country]:[Country Risk Premium]],6)</f>
        <v>6.9842548970989338E-3</v>
      </c>
      <c r="H50" s="75"/>
      <c r="N50" s="163" t="s">
        <v>328</v>
      </c>
      <c r="O50" s="75">
        <v>63.25</v>
      </c>
    </row>
    <row r="51" spans="1:15">
      <c r="A51" s="46" t="str">
        <f>'ERPs by country'!A57</f>
        <v>Ethiopia</v>
      </c>
      <c r="B51" s="127">
        <f t="shared" si="1"/>
        <v>54.25</v>
      </c>
      <c r="C51" s="24">
        <f>VLOOKUP(A51,Table1[[Country]:[Country Risk Premium]],5)</f>
        <v>0.13246565418629636</v>
      </c>
      <c r="D51" s="24">
        <f>VLOOKUP(A51,Table1[[Country]:[Country Risk Premium]],4)</f>
        <v>8.9165654186296364E-2</v>
      </c>
      <c r="E51" s="24">
        <f t="shared" si="0"/>
        <v>0.13246565418629636</v>
      </c>
      <c r="F51" s="57">
        <f>VLOOKUP(A51,'Country Tax Rates'!$A$2:$B$159,2)</f>
        <v>0.3</v>
      </c>
      <c r="G51" s="57">
        <f>VLOOKUP(A51,Table1[[Country]:[Country Risk Premium]],6)</f>
        <v>8.9165654186296364E-2</v>
      </c>
      <c r="H51" s="75"/>
      <c r="N51" s="163" t="s">
        <v>325</v>
      </c>
      <c r="O51" s="75">
        <v>75.75</v>
      </c>
    </row>
    <row r="52" spans="1:15">
      <c r="A52" s="46" t="str">
        <f>'ERPs by country'!A58</f>
        <v>Fiji</v>
      </c>
      <c r="B52" s="127" t="e">
        <f t="shared" si="1"/>
        <v>#N/A</v>
      </c>
      <c r="C52" s="24">
        <f>VLOOKUP(A52,Table1[[Country]:[Country Risk Premium]],5)</f>
        <v>8.788282709314818E-2</v>
      </c>
      <c r="D52" s="24">
        <f>VLOOKUP(A52,Table1[[Country]:[Country Risk Premium]],4)</f>
        <v>4.4582827093148182E-2</v>
      </c>
      <c r="E52" s="24">
        <f t="shared" si="0"/>
        <v>8.788282709314818E-2</v>
      </c>
      <c r="F52" s="57">
        <f>VLOOKUP(A52,'Country Tax Rates'!$A$2:$B$159,2)</f>
        <v>0.2</v>
      </c>
      <c r="G52" s="57">
        <f>VLOOKUP(A52,Table1[[Country]:[Country Risk Premium]],6)</f>
        <v>4.4582827093148182E-2</v>
      </c>
      <c r="H52" s="75"/>
      <c r="N52" s="163" t="s">
        <v>321</v>
      </c>
      <c r="O52" s="75">
        <v>54.75</v>
      </c>
    </row>
    <row r="53" spans="1:15">
      <c r="A53" s="46" t="str">
        <f>'ERPs by country'!A59</f>
        <v>Finland</v>
      </c>
      <c r="B53" s="127">
        <f t="shared" si="1"/>
        <v>78</v>
      </c>
      <c r="C53" s="24">
        <f>VLOOKUP(A53,Table1[[Country]:[Country Risk Premium]],5)</f>
        <v>4.7257744441689391E-2</v>
      </c>
      <c r="D53" s="24">
        <f>VLOOKUP(A53,Table1[[Country]:[Country Risk Premium]],4)</f>
        <v>3.9577444416893943E-3</v>
      </c>
      <c r="E53" s="24">
        <f t="shared" si="0"/>
        <v>4.7257744441689391E-2</v>
      </c>
      <c r="F53" s="57">
        <f>VLOOKUP(A53,'Country Tax Rates'!$A$2:$B$159,2)</f>
        <v>0.2</v>
      </c>
      <c r="G53" s="57">
        <f>VLOOKUP(A53,Table1[[Country]:[Country Risk Premium]],6)</f>
        <v>3.9577444416893943E-3</v>
      </c>
      <c r="H53" s="75"/>
      <c r="N53" s="163" t="s">
        <v>107</v>
      </c>
      <c r="O53" s="75">
        <v>66.5</v>
      </c>
    </row>
    <row r="54" spans="1:15">
      <c r="A54" s="46" t="str">
        <f>'ERPs by country'!A60</f>
        <v>France</v>
      </c>
      <c r="B54" s="127">
        <f t="shared" si="1"/>
        <v>72.25</v>
      </c>
      <c r="C54" s="24">
        <f>VLOOKUP(A54,Table1[[Country]:[Country Risk Premium]],5)</f>
        <v>4.9236616662534094E-2</v>
      </c>
      <c r="D54" s="24">
        <f>VLOOKUP(A54,Table1[[Country]:[Country Risk Premium]],4)</f>
        <v>5.9366166625340932E-3</v>
      </c>
      <c r="E54" s="24">
        <f t="shared" si="0"/>
        <v>4.9236616662534094E-2</v>
      </c>
      <c r="F54" s="57">
        <f>VLOOKUP(A54,'Country Tax Rates'!$A$2:$B$159,2)</f>
        <v>0.25</v>
      </c>
      <c r="G54" s="57">
        <f>VLOOKUP(A54,Table1[[Country]:[Country Risk Premium]],6)</f>
        <v>5.9366166625340932E-3</v>
      </c>
      <c r="H54" s="75"/>
      <c r="N54" s="163" t="s">
        <v>59</v>
      </c>
      <c r="O54" s="75">
        <v>77.25</v>
      </c>
    </row>
    <row r="55" spans="1:15">
      <c r="A55" s="46" t="str">
        <f>'ERPs by country'!A61</f>
        <v>Gabon</v>
      </c>
      <c r="B55" s="127">
        <f t="shared" si="1"/>
        <v>68.5</v>
      </c>
      <c r="C55" s="24">
        <f>VLOOKUP(A55,Table1[[Country]:[Country Risk Premium]],5)</f>
        <v>0.13246565418629636</v>
      </c>
      <c r="D55" s="24">
        <f>VLOOKUP(A55,Table1[[Country]:[Country Risk Premium]],4)</f>
        <v>8.9165654186296364E-2</v>
      </c>
      <c r="E55" s="24">
        <f t="shared" si="0"/>
        <v>0.13246565418629636</v>
      </c>
      <c r="F55" s="57">
        <f>VLOOKUP(A55,'Country Tax Rates'!$A$2:$B$159,2)</f>
        <v>0.3</v>
      </c>
      <c r="G55" s="57">
        <f>VLOOKUP(A55,Table1[[Country]:[Country Risk Premium]],6)</f>
        <v>8.9165654186296364E-2</v>
      </c>
      <c r="H55" s="75"/>
      <c r="N55" s="163" t="s">
        <v>108</v>
      </c>
      <c r="O55" s="75">
        <v>72.75</v>
      </c>
    </row>
    <row r="56" spans="1:15">
      <c r="A56" s="46" t="str">
        <f>'ERPs by country'!A62</f>
        <v>Georgia</v>
      </c>
      <c r="B56" s="127" t="e">
        <f t="shared" si="1"/>
        <v>#N/A</v>
      </c>
      <c r="C56" s="24">
        <f>VLOOKUP(A56,Table1[[Country]:[Country Risk Premium]],5)</f>
        <v>7.309948756095544E-2</v>
      </c>
      <c r="D56" s="24">
        <f>VLOOKUP(A56,Table1[[Country]:[Country Risk Premium]],4)</f>
        <v>2.9799487560955448E-2</v>
      </c>
      <c r="E56" s="24">
        <f t="shared" si="0"/>
        <v>7.309948756095544E-2</v>
      </c>
      <c r="F56" s="57">
        <f>VLOOKUP(A56,'Country Tax Rates'!$A$2:$B$159,2)</f>
        <v>0.15</v>
      </c>
      <c r="G56" s="57">
        <f>VLOOKUP(A56,Table1[[Country]:[Country Risk Premium]],6)</f>
        <v>2.9799487560955448E-2</v>
      </c>
      <c r="H56" s="75"/>
      <c r="N56" s="163" t="s">
        <v>109</v>
      </c>
      <c r="O56" s="75">
        <v>81.25</v>
      </c>
    </row>
    <row r="57" spans="1:15">
      <c r="A57" s="46" t="str">
        <f>'ERPs by country'!A63</f>
        <v>Germany</v>
      </c>
      <c r="B57" s="127">
        <f t="shared" si="1"/>
        <v>80</v>
      </c>
      <c r="C57" s="24">
        <f>VLOOKUP(A57,Table1[[Country]:[Country Risk Premium]],5)</f>
        <v>4.3299999999999998E-2</v>
      </c>
      <c r="D57" s="24">
        <f>VLOOKUP(A57,Table1[[Country]:[Country Risk Premium]],4)</f>
        <v>0</v>
      </c>
      <c r="E57" s="24">
        <f t="shared" si="0"/>
        <v>4.3299999999999998E-2</v>
      </c>
      <c r="F57" s="57">
        <f>VLOOKUP(A57,'Country Tax Rates'!$A$2:$B$159,2)</f>
        <v>0.3</v>
      </c>
      <c r="G57" s="57">
        <f>VLOOKUP(A57,Table1[[Country]:[Country Risk Premium]],6)</f>
        <v>0</v>
      </c>
      <c r="H57" s="75"/>
      <c r="N57" s="163" t="s">
        <v>110</v>
      </c>
      <c r="O57" s="75">
        <v>73</v>
      </c>
    </row>
    <row r="58" spans="1:15">
      <c r="A58" s="46" t="str">
        <f>'ERPs by country'!A64</f>
        <v>Ghana</v>
      </c>
      <c r="B58" s="127">
        <f t="shared" si="1"/>
        <v>64.5</v>
      </c>
      <c r="C58" s="24">
        <f>VLOOKUP(A58,Table1[[Country]:[Country Risk Premium]],5)</f>
        <v>0.13246565418629636</v>
      </c>
      <c r="D58" s="24">
        <f>VLOOKUP(A58,Table1[[Country]:[Country Risk Premium]],4)</f>
        <v>8.9165654186296364E-2</v>
      </c>
      <c r="E58" s="24">
        <f t="shared" si="0"/>
        <v>0.13246565418629636</v>
      </c>
      <c r="F58" s="57">
        <f>VLOOKUP(A58,'Country Tax Rates'!$A$2:$B$159,2)</f>
        <v>0.25</v>
      </c>
      <c r="G58" s="57">
        <f>VLOOKUP(A58,Table1[[Country]:[Country Risk Premium]],6)</f>
        <v>8.9165654186296364E-2</v>
      </c>
      <c r="H58" s="75"/>
      <c r="N58" s="163" t="s">
        <v>111</v>
      </c>
      <c r="O58" s="75">
        <v>70</v>
      </c>
    </row>
    <row r="59" spans="1:15">
      <c r="A59" s="46" t="str">
        <f>'ERPs by country'!A65</f>
        <v>Greece</v>
      </c>
      <c r="B59" s="127">
        <f t="shared" si="1"/>
        <v>69.5</v>
      </c>
      <c r="C59" s="24">
        <f>VLOOKUP(A59,Table1[[Country]:[Country Risk Premium]],5)</f>
        <v>6.8094104884701218E-2</v>
      </c>
      <c r="D59" s="24">
        <f>VLOOKUP(A59,Table1[[Country]:[Country Risk Premium]],4)</f>
        <v>2.4794104884701216E-2</v>
      </c>
      <c r="E59" s="24">
        <f t="shared" si="0"/>
        <v>6.8094104884701218E-2</v>
      </c>
      <c r="F59" s="57">
        <f>VLOOKUP(A59,'Country Tax Rates'!$A$2:$B$159,2)</f>
        <v>0.22</v>
      </c>
      <c r="G59" s="57">
        <f>VLOOKUP(A59,Table1[[Country]:[Country Risk Premium]],6)</f>
        <v>2.4794104884701216E-2</v>
      </c>
      <c r="H59" s="75"/>
      <c r="N59" s="163" t="s">
        <v>323</v>
      </c>
      <c r="O59" s="75">
        <v>63.75</v>
      </c>
    </row>
    <row r="60" spans="1:15">
      <c r="A60" s="46" t="str">
        <f>'ERPs by country'!A66</f>
        <v>Guatemala</v>
      </c>
      <c r="B60" s="127">
        <f t="shared" si="1"/>
        <v>72.5</v>
      </c>
      <c r="C60" s="24">
        <f>VLOOKUP(A60,Table1[[Country]:[Country Risk Premium]],5)</f>
        <v>6.8094104884701218E-2</v>
      </c>
      <c r="D60" s="24">
        <f>VLOOKUP(A60,Table1[[Country]:[Country Risk Premium]],4)</f>
        <v>2.4794104884701216E-2</v>
      </c>
      <c r="E60" s="24">
        <f t="shared" si="0"/>
        <v>6.8094104884701218E-2</v>
      </c>
      <c r="F60" s="57">
        <f>VLOOKUP(A60,'Country Tax Rates'!$A$2:$B$159,2)</f>
        <v>0.25</v>
      </c>
      <c r="G60" s="57">
        <f>VLOOKUP(A60,Table1[[Country]:[Country Risk Premium]],6)</f>
        <v>2.4794104884701216E-2</v>
      </c>
      <c r="H60" s="75"/>
      <c r="N60" s="163" t="s">
        <v>326</v>
      </c>
      <c r="O60" s="75">
        <v>60</v>
      </c>
    </row>
    <row r="61" spans="1:15">
      <c r="A61" s="46" t="str">
        <f>'ERPs by country'!A67</f>
        <v>Guernsey (States of)</v>
      </c>
      <c r="B61" s="127" t="e">
        <f t="shared" si="1"/>
        <v>#N/A</v>
      </c>
      <c r="C61" s="24">
        <f>VLOOKUP(A61,Table1[[Country]:[Country Risk Premium]],5)</f>
        <v>5.028425489709893E-2</v>
      </c>
      <c r="D61" s="24">
        <f>VLOOKUP(A61,Table1[[Country]:[Country Risk Premium]],4)</f>
        <v>6.9842548970989338E-3</v>
      </c>
      <c r="E61" s="24">
        <f t="shared" si="0"/>
        <v>5.028425489709893E-2</v>
      </c>
      <c r="F61" s="57">
        <f>VLOOKUP(A61,'Country Tax Rates'!$A$2:$B$159,2)</f>
        <v>0</v>
      </c>
      <c r="G61" s="57">
        <f>VLOOKUP(A61,Table1[[Country]:[Country Risk Premium]],6)</f>
        <v>6.9842548970989338E-3</v>
      </c>
      <c r="H61" s="75"/>
      <c r="N61" s="163" t="s">
        <v>180</v>
      </c>
      <c r="O61" s="75">
        <v>84.25</v>
      </c>
    </row>
    <row r="62" spans="1:15">
      <c r="A62" s="46" t="str">
        <f>'ERPs by country'!A68</f>
        <v>Honduras</v>
      </c>
      <c r="B62" s="127">
        <f t="shared" si="1"/>
        <v>66.5</v>
      </c>
      <c r="C62" s="24">
        <f>VLOOKUP(A62,Table1[[Country]:[Country Risk Premium]],5)</f>
        <v>8.788282709314818E-2</v>
      </c>
      <c r="D62" s="24">
        <f>VLOOKUP(A62,Table1[[Country]:[Country Risk Premium]],4)</f>
        <v>4.4582827093148182E-2</v>
      </c>
      <c r="E62" s="24">
        <f t="shared" si="0"/>
        <v>8.788282709314818E-2</v>
      </c>
      <c r="F62" s="57">
        <f>VLOOKUP(A62,'Country Tax Rates'!$A$2:$B$159,2)</f>
        <v>0.25</v>
      </c>
      <c r="G62" s="57">
        <f>VLOOKUP(A62,Table1[[Country]:[Country Risk Premium]],6)</f>
        <v>4.4582827093148182E-2</v>
      </c>
      <c r="H62" s="75"/>
      <c r="N62" s="163" t="s">
        <v>113</v>
      </c>
      <c r="O62" s="75">
        <v>72</v>
      </c>
    </row>
    <row r="63" spans="1:15">
      <c r="A63" s="46" t="str">
        <f>'ERPs by country'!A69</f>
        <v>Hong Kong</v>
      </c>
      <c r="B63" s="127">
        <f t="shared" si="1"/>
        <v>77.25</v>
      </c>
      <c r="C63" s="24">
        <f>VLOOKUP(A63,Table1[[Country]:[Country Risk Premium]],5)</f>
        <v>4.9236616662534094E-2</v>
      </c>
      <c r="D63" s="24">
        <f>VLOOKUP(A63,Table1[[Country]:[Country Risk Premium]],4)</f>
        <v>5.9366166625340932E-3</v>
      </c>
      <c r="E63" s="24">
        <f t="shared" si="0"/>
        <v>4.9236616662534094E-2</v>
      </c>
      <c r="F63" s="57">
        <f>VLOOKUP(A63,'Country Tax Rates'!$A$2:$B$159,2)</f>
        <v>0.16500000000000001</v>
      </c>
      <c r="G63" s="57">
        <f>VLOOKUP(A63,Table1[[Country]:[Country Risk Premium]],6)</f>
        <v>5.9366166625340932E-3</v>
      </c>
      <c r="H63" s="75"/>
      <c r="N63" s="163" t="s">
        <v>143</v>
      </c>
      <c r="O63" s="75">
        <v>76.25</v>
      </c>
    </row>
    <row r="64" spans="1:15">
      <c r="A64" s="46" t="str">
        <f>'ERPs by country'!A70</f>
        <v>Hungary</v>
      </c>
      <c r="B64" s="127">
        <f t="shared" si="1"/>
        <v>72.75</v>
      </c>
      <c r="C64" s="24">
        <f>VLOOKUP(A64,Table1[[Country]:[Country Risk Premium]],5)</f>
        <v>6.2157488222167115E-2</v>
      </c>
      <c r="D64" s="24">
        <f>VLOOKUP(A64,Table1[[Country]:[Country Risk Premium]],4)</f>
        <v>1.885748822216712E-2</v>
      </c>
      <c r="E64" s="24">
        <f t="shared" si="0"/>
        <v>6.2157488222167115E-2</v>
      </c>
      <c r="F64" s="57">
        <f>VLOOKUP(A64,'Country Tax Rates'!$A$2:$B$159,2)</f>
        <v>0.09</v>
      </c>
      <c r="G64" s="57">
        <f>VLOOKUP(A64,Table1[[Country]:[Country Risk Premium]],6)</f>
        <v>1.885748822216712E-2</v>
      </c>
      <c r="H64" s="75"/>
      <c r="N64" s="163" t="s">
        <v>114</v>
      </c>
      <c r="O64" s="75">
        <v>74.75</v>
      </c>
    </row>
    <row r="65" spans="1:15">
      <c r="A65" s="46" t="str">
        <f>'ERPs by country'!A71</f>
        <v>Iceland</v>
      </c>
      <c r="B65" s="127">
        <f t="shared" si="1"/>
        <v>81.25</v>
      </c>
      <c r="C65" s="24">
        <f>VLOOKUP(A65,Table1[[Country]:[Country Risk Premium]],5)</f>
        <v>5.028425489709893E-2</v>
      </c>
      <c r="D65" s="24">
        <f>VLOOKUP(A65,Table1[[Country]:[Country Risk Premium]],4)</f>
        <v>6.9842548970989338E-3</v>
      </c>
      <c r="E65" s="24">
        <f t="shared" si="0"/>
        <v>5.028425489709893E-2</v>
      </c>
      <c r="F65" s="57">
        <f>VLOOKUP(A65,'Country Tax Rates'!$A$2:$B$159,2)</f>
        <v>0.2</v>
      </c>
      <c r="G65" s="57">
        <f>VLOOKUP(A65,Table1[[Country]:[Country Risk Premium]],6)</f>
        <v>6.9842548970989338E-3</v>
      </c>
      <c r="H65" s="75"/>
      <c r="N65" s="163" t="s">
        <v>115</v>
      </c>
      <c r="O65" s="75">
        <v>77.75</v>
      </c>
    </row>
    <row r="66" spans="1:15">
      <c r="A66" s="46" t="str">
        <f>'ERPs by country'!A72</f>
        <v>India</v>
      </c>
      <c r="B66" s="127">
        <f t="shared" si="1"/>
        <v>73</v>
      </c>
      <c r="C66" s="24">
        <f>VLOOKUP(A66,Table1[[Country]:[Country Risk Premium]],5)</f>
        <v>6.5067594429291678E-2</v>
      </c>
      <c r="D66" s="24">
        <f>VLOOKUP(A66,Table1[[Country]:[Country Risk Premium]],4)</f>
        <v>2.1767594429291676E-2</v>
      </c>
      <c r="E66" s="24">
        <f t="shared" si="0"/>
        <v>6.5067594429291678E-2</v>
      </c>
      <c r="F66" s="57">
        <f>VLOOKUP(A66,'Country Tax Rates'!$A$2:$B$159,2)</f>
        <v>0.3</v>
      </c>
      <c r="G66" s="57">
        <f>VLOOKUP(A66,Table1[[Country]:[Country Risk Premium]],6)</f>
        <v>2.1767594429291676E-2</v>
      </c>
      <c r="H66" s="75"/>
      <c r="N66" s="163" t="s">
        <v>116</v>
      </c>
      <c r="O66" s="75">
        <v>63</v>
      </c>
    </row>
    <row r="67" spans="1:15">
      <c r="A67" s="46" t="str">
        <f>'ERPs by country'!A73</f>
        <v>Indonesia</v>
      </c>
      <c r="B67" s="127">
        <f t="shared" si="1"/>
        <v>70</v>
      </c>
      <c r="C67" s="24">
        <f>VLOOKUP(A67,Table1[[Country]:[Country Risk Premium]],5)</f>
        <v>6.2157488222167115E-2</v>
      </c>
      <c r="D67" s="24">
        <f>VLOOKUP(A67,Table1[[Country]:[Country Risk Premium]],4)</f>
        <v>1.885748822216712E-2</v>
      </c>
      <c r="E67" s="24">
        <f t="shared" ref="E67:E130" si="2">C67</f>
        <v>6.2157488222167115E-2</v>
      </c>
      <c r="F67" s="57">
        <f>VLOOKUP(A67,'Country Tax Rates'!$A$2:$B$159,2)</f>
        <v>0.22</v>
      </c>
      <c r="G67" s="57">
        <f>VLOOKUP(A67,Table1[[Country]:[Country Risk Premium]],6)</f>
        <v>1.885748822216712E-2</v>
      </c>
      <c r="H67" s="75"/>
      <c r="N67" s="163" t="s">
        <v>117</v>
      </c>
      <c r="O67" s="75">
        <v>73.75</v>
      </c>
    </row>
    <row r="68" spans="1:15">
      <c r="A68" s="46" t="str">
        <f>'ERPs by country'!A74</f>
        <v>Iraq</v>
      </c>
      <c r="B68" s="127">
        <f t="shared" ref="B68:B132" si="3">VLOOKUP(A68,$N$2:$O$142,2,FALSE)</f>
        <v>60</v>
      </c>
      <c r="C68" s="24">
        <f>VLOOKUP(A68,Table1[[Country]:[Country Risk Premium]],5)</f>
        <v>0.11756591040581865</v>
      </c>
      <c r="D68" s="24">
        <f>VLOOKUP(A68,Table1[[Country]:[Country Risk Premium]],4)</f>
        <v>7.4265910405818647E-2</v>
      </c>
      <c r="E68" s="24">
        <f t="shared" si="2"/>
        <v>0.11756591040581865</v>
      </c>
      <c r="F68" s="57">
        <f>VLOOKUP(A68,'Country Tax Rates'!$A$2:$B$159,2)</f>
        <v>0.15</v>
      </c>
      <c r="G68" s="57">
        <f>VLOOKUP(A68,Table1[[Country]:[Country Risk Premium]],6)</f>
        <v>7.4265910405818647E-2</v>
      </c>
      <c r="H68" s="75"/>
      <c r="N68" s="163" t="s">
        <v>181</v>
      </c>
      <c r="O68" s="75">
        <v>61</v>
      </c>
    </row>
    <row r="69" spans="1:15">
      <c r="A69" s="46" t="str">
        <f>'ERPs by country'!A75</f>
        <v>Ireland</v>
      </c>
      <c r="B69" s="127">
        <f t="shared" si="3"/>
        <v>84.25</v>
      </c>
      <c r="C69" s="24">
        <f>VLOOKUP(A69,Table1[[Country]:[Country Risk Premium]],5)</f>
        <v>4.9236616662534094E-2</v>
      </c>
      <c r="D69" s="24">
        <f>VLOOKUP(A69,Table1[[Country]:[Country Risk Premium]],4)</f>
        <v>5.9366166625340932E-3</v>
      </c>
      <c r="E69" s="24">
        <f t="shared" si="2"/>
        <v>4.9236616662534094E-2</v>
      </c>
      <c r="F69" s="57">
        <f>VLOOKUP(A69,'Country Tax Rates'!$A$2:$B$159,2)</f>
        <v>0.125</v>
      </c>
      <c r="G69" s="57">
        <f>VLOOKUP(A69,Table1[[Country]:[Country Risk Premium]],6)</f>
        <v>5.9366166625340932E-3</v>
      </c>
      <c r="H69" s="75"/>
      <c r="N69" s="163" t="s">
        <v>362</v>
      </c>
      <c r="O69" s="75">
        <v>51</v>
      </c>
    </row>
    <row r="70" spans="1:15">
      <c r="A70" s="46" t="str">
        <f>'ERPs by country'!A76</f>
        <v>Isle of Man</v>
      </c>
      <c r="B70" s="127" t="e">
        <f t="shared" si="3"/>
        <v>#N/A</v>
      </c>
      <c r="C70" s="24">
        <f>VLOOKUP(A70,Table1[[Country]:[Country Risk Premium]],5)</f>
        <v>4.9236616662534094E-2</v>
      </c>
      <c r="D70" s="24">
        <f>VLOOKUP(A70,Table1[[Country]:[Country Risk Premium]],4)</f>
        <v>5.9366166625340932E-3</v>
      </c>
      <c r="E70" s="24">
        <f t="shared" si="2"/>
        <v>4.9236616662534094E-2</v>
      </c>
      <c r="F70" s="57">
        <f>VLOOKUP(A70,'Country Tax Rates'!$A$2:$B$159,2)</f>
        <v>0</v>
      </c>
      <c r="G70" s="57">
        <f>VLOOKUP(A70,Table1[[Country]:[Country Risk Premium]],6)</f>
        <v>5.9366166625340932E-3</v>
      </c>
      <c r="H70" s="75"/>
      <c r="N70" s="163" t="s">
        <v>459</v>
      </c>
      <c r="O70" s="75">
        <v>79.75</v>
      </c>
    </row>
    <row r="71" spans="1:15">
      <c r="A71" s="46" t="str">
        <f>'ERPs by country'!A77</f>
        <v>Israel</v>
      </c>
      <c r="B71" s="127">
        <f t="shared" si="3"/>
        <v>72</v>
      </c>
      <c r="C71" s="24">
        <f>VLOOKUP(A71,Table1[[Country]:[Country Risk Premium]],5)</f>
        <v>5.9130977766757575E-2</v>
      </c>
      <c r="D71" s="24">
        <f>VLOOKUP(A71,Table1[[Country]:[Country Risk Premium]],4)</f>
        <v>1.5830977766757577E-2</v>
      </c>
      <c r="E71" s="24">
        <f t="shared" si="2"/>
        <v>5.9130977766757575E-2</v>
      </c>
      <c r="F71" s="57">
        <f>VLOOKUP(A71,'Country Tax Rates'!$A$2:$B$159,2)</f>
        <v>0.23</v>
      </c>
      <c r="G71" s="57">
        <f>VLOOKUP(A71,Table1[[Country]:[Country Risk Premium]],6)</f>
        <v>1.5830977766757577E-2</v>
      </c>
      <c r="H71" s="75"/>
      <c r="N71" s="163" t="s">
        <v>119</v>
      </c>
      <c r="O71" s="75">
        <v>78</v>
      </c>
    </row>
    <row r="72" spans="1:15">
      <c r="A72" s="46" t="str">
        <f>'ERPs by country'!A78</f>
        <v>Italy</v>
      </c>
      <c r="B72" s="127">
        <f t="shared" si="3"/>
        <v>76.25</v>
      </c>
      <c r="C72" s="24">
        <f>VLOOKUP(A72,Table1[[Country]:[Country Risk Premium]],5)</f>
        <v>6.5067594429291678E-2</v>
      </c>
      <c r="D72" s="24">
        <f>VLOOKUP(A72,Table1[[Country]:[Country Risk Premium]],4)</f>
        <v>2.1767594429291676E-2</v>
      </c>
      <c r="E72" s="24">
        <f t="shared" si="2"/>
        <v>6.5067594429291678E-2</v>
      </c>
      <c r="F72" s="57">
        <f>VLOOKUP(A72,'Country Tax Rates'!$A$2:$B$159,2)</f>
        <v>0.24</v>
      </c>
      <c r="G72" s="57">
        <f>VLOOKUP(A72,Table1[[Country]:[Country Risk Premium]],6)</f>
        <v>2.1767594429291676E-2</v>
      </c>
      <c r="H72" s="75"/>
      <c r="N72" s="163" t="s">
        <v>120</v>
      </c>
      <c r="O72" s="75">
        <v>71.75</v>
      </c>
    </row>
    <row r="73" spans="1:15">
      <c r="A73" s="46" t="str">
        <f>'ERPs by country'!A79</f>
        <v>Jamaica</v>
      </c>
      <c r="B73" s="127">
        <f t="shared" si="3"/>
        <v>74.75</v>
      </c>
      <c r="C73" s="24">
        <f>VLOOKUP(A73,Table1[[Country]:[Country Risk Premium]],5)</f>
        <v>8.788282709314818E-2</v>
      </c>
      <c r="D73" s="24">
        <f>VLOOKUP(A73,Table1[[Country]:[Country Risk Premium]],4)</f>
        <v>4.4582827093148182E-2</v>
      </c>
      <c r="E73" s="24">
        <f t="shared" si="2"/>
        <v>8.788282709314818E-2</v>
      </c>
      <c r="F73" s="57">
        <f>VLOOKUP(A73,'Country Tax Rates'!$A$2:$B$159,2)</f>
        <v>0.25</v>
      </c>
      <c r="G73" s="57">
        <f>VLOOKUP(A73,Table1[[Country]:[Country Risk Premium]],6)</f>
        <v>4.4582827093148182E-2</v>
      </c>
      <c r="H73" s="75"/>
      <c r="N73" s="163" t="s">
        <v>121</v>
      </c>
      <c r="O73" s="75">
        <v>38.5</v>
      </c>
    </row>
    <row r="74" spans="1:15">
      <c r="A74" s="46" t="str">
        <f>'ERPs by country'!A80</f>
        <v>Japan</v>
      </c>
      <c r="B74" s="127">
        <f t="shared" si="3"/>
        <v>77.75</v>
      </c>
      <c r="C74" s="24">
        <f>VLOOKUP(A74,Table1[[Country]:[Country Risk Premium]],5)</f>
        <v>5.028425489709893E-2</v>
      </c>
      <c r="D74" s="24">
        <f>VLOOKUP(A74,Table1[[Country]:[Country Risk Premium]],4)</f>
        <v>6.9842548970989338E-3</v>
      </c>
      <c r="E74" s="24">
        <f t="shared" si="2"/>
        <v>5.028425489709893E-2</v>
      </c>
      <c r="F74" s="57">
        <f>VLOOKUP(A74,'Country Tax Rates'!$A$2:$B$159,2)</f>
        <v>0.30620000000000003</v>
      </c>
      <c r="G74" s="57">
        <f>VLOOKUP(A74,Table1[[Country]:[Country Risk Premium]],6)</f>
        <v>6.9842548970989338E-3</v>
      </c>
      <c r="H74" s="75"/>
      <c r="N74" s="163" t="s">
        <v>313</v>
      </c>
      <c r="O74" s="75">
        <v>58.25</v>
      </c>
    </row>
    <row r="75" spans="1:15">
      <c r="A75" s="46" t="str">
        <f>'ERPs by country'!A81</f>
        <v>Jersey (States of)</v>
      </c>
      <c r="B75" s="127" t="e">
        <f t="shared" si="3"/>
        <v>#N/A</v>
      </c>
      <c r="C75" s="24">
        <f>VLOOKUP(A75,Table1[[Country]:[Country Risk Premium]],5)</f>
        <v>4.8188978427969251E-2</v>
      </c>
      <c r="D75" s="24">
        <f>VLOOKUP(A75,Table1[[Country]:[Country Risk Premium]],4)</f>
        <v>4.8889784279692525E-3</v>
      </c>
      <c r="E75" s="24">
        <f t="shared" si="2"/>
        <v>4.8188978427969251E-2</v>
      </c>
      <c r="F75" s="57">
        <f>VLOOKUP(A75,'Country Tax Rates'!$A$2:$B$159,2)</f>
        <v>0</v>
      </c>
      <c r="G75" s="57">
        <f>VLOOKUP(A75,Table1[[Country]:[Country Risk Premium]],6)</f>
        <v>4.8889784279692525E-3</v>
      </c>
      <c r="H75" s="75"/>
      <c r="N75" s="163" t="s">
        <v>317</v>
      </c>
      <c r="O75" s="75">
        <v>74.5</v>
      </c>
    </row>
    <row r="76" spans="1:15">
      <c r="A76" s="46" t="str">
        <f>'ERPs by country'!A82</f>
        <v>Jordan</v>
      </c>
      <c r="B76" s="127">
        <f t="shared" si="3"/>
        <v>63</v>
      </c>
      <c r="C76" s="24">
        <f>VLOOKUP(A76,Table1[[Country]:[Country Risk Premium]],5)</f>
        <v>7.8919699975204552E-2</v>
      </c>
      <c r="D76" s="24">
        <f>VLOOKUP(A76,Table1[[Country]:[Country Risk Premium]],4)</f>
        <v>3.5619699975204554E-2</v>
      </c>
      <c r="E76" s="24">
        <f t="shared" si="2"/>
        <v>7.8919699975204552E-2</v>
      </c>
      <c r="F76" s="57">
        <f>VLOOKUP(A76,'Country Tax Rates'!$A$2:$B$159,2)</f>
        <v>0.2</v>
      </c>
      <c r="G76" s="57">
        <f>VLOOKUP(A76,Table1[[Country]:[Country Risk Premium]],6)</f>
        <v>3.5619699975204554E-2</v>
      </c>
      <c r="H76" s="75"/>
      <c r="N76" s="163" t="s">
        <v>13</v>
      </c>
      <c r="O76" s="75">
        <v>69.75</v>
      </c>
    </row>
    <row r="77" spans="1:15">
      <c r="A77" s="46" t="str">
        <f>'ERPs by country'!A83</f>
        <v>Kazakhstan</v>
      </c>
      <c r="B77" s="127">
        <f t="shared" si="3"/>
        <v>73.75</v>
      </c>
      <c r="C77" s="24">
        <f>VLOOKUP(A77,Table1[[Country]:[Country Risk Premium]],5)</f>
        <v>5.9130977766757575E-2</v>
      </c>
      <c r="D77" s="24">
        <f>VLOOKUP(A77,Table1[[Country]:[Country Risk Premium]],4)</f>
        <v>1.5830977766757577E-2</v>
      </c>
      <c r="E77" s="24">
        <f t="shared" si="2"/>
        <v>5.9130977766757575E-2</v>
      </c>
      <c r="F77" s="57">
        <f>VLOOKUP(A77,'Country Tax Rates'!$A$2:$B$159,2)</f>
        <v>0.2</v>
      </c>
      <c r="G77" s="57">
        <f>VLOOKUP(A77,Table1[[Country]:[Country Risk Premium]],6)</f>
        <v>1.5830977766757577E-2</v>
      </c>
      <c r="H77" s="75"/>
      <c r="N77" s="163" t="s">
        <v>182</v>
      </c>
      <c r="O77" s="75">
        <v>84</v>
      </c>
    </row>
    <row r="78" spans="1:15">
      <c r="A78" s="46" t="str">
        <f>'ERPs by country'!A84</f>
        <v>Kenya</v>
      </c>
      <c r="B78" s="127">
        <f t="shared" si="3"/>
        <v>61</v>
      </c>
      <c r="C78" s="24">
        <f>VLOOKUP(A78,Table1[[Country]:[Country Risk Premium]],5)</f>
        <v>0.11756591040581865</v>
      </c>
      <c r="D78" s="24">
        <f>VLOOKUP(A78,Table1[[Country]:[Country Risk Premium]],4)</f>
        <v>7.4265910405818647E-2</v>
      </c>
      <c r="E78" s="24">
        <f t="shared" si="2"/>
        <v>0.11756591040581865</v>
      </c>
      <c r="F78" s="57">
        <f>VLOOKUP(A78,'Country Tax Rates'!$A$2:$B$159,2)</f>
        <v>0.3</v>
      </c>
      <c r="G78" s="57">
        <f>VLOOKUP(A78,Table1[[Country]:[Country Risk Premium]],6)</f>
        <v>7.4265910405818647E-2</v>
      </c>
      <c r="H78" s="75"/>
      <c r="N78" s="163" t="s">
        <v>331</v>
      </c>
      <c r="O78" s="75">
        <v>64.5</v>
      </c>
    </row>
    <row r="79" spans="1:15">
      <c r="A79" s="46" t="str">
        <f>'ERPs by country'!A85</f>
        <v>Korea</v>
      </c>
      <c r="B79" s="127" t="e">
        <f t="shared" si="3"/>
        <v>#N/A</v>
      </c>
      <c r="C79" s="24">
        <f>VLOOKUP(A79,Table1[[Country]:[Country Risk Premium]],5)</f>
        <v>4.8188978427969251E-2</v>
      </c>
      <c r="D79" s="24">
        <f>VLOOKUP(A79,Table1[[Country]:[Country Risk Premium]],4)</f>
        <v>4.8889784279692525E-3</v>
      </c>
      <c r="E79" s="24">
        <f t="shared" si="2"/>
        <v>4.8188978427969251E-2</v>
      </c>
      <c r="F79" s="57">
        <f>VLOOKUP(A79,'Country Tax Rates'!$A$2:$B$159,2)</f>
        <v>0.25</v>
      </c>
      <c r="G79" s="57">
        <f>VLOOKUP(A79,Table1[[Country]:[Country Risk Premium]],6)</f>
        <v>4.8889784279692525E-3</v>
      </c>
      <c r="H79" s="75"/>
      <c r="N79" s="163" t="s">
        <v>322</v>
      </c>
      <c r="O79" s="75">
        <v>57.75</v>
      </c>
    </row>
    <row r="80" spans="1:15">
      <c r="A80" s="46" t="str">
        <f>'ERPs by country'!A86</f>
        <v>Kuwait</v>
      </c>
      <c r="B80" s="127">
        <f t="shared" si="3"/>
        <v>78</v>
      </c>
      <c r="C80" s="24">
        <f>VLOOKUP(A80,Table1[[Country]:[Country Risk Premium]],5)</f>
        <v>5.028425489709893E-2</v>
      </c>
      <c r="D80" s="24">
        <f>VLOOKUP(A80,Table1[[Country]:[Country Risk Premium]],4)</f>
        <v>6.9842548970989338E-3</v>
      </c>
      <c r="E80" s="24">
        <f t="shared" si="2"/>
        <v>5.028425489709893E-2</v>
      </c>
      <c r="F80" s="57">
        <f>VLOOKUP(A80,'Country Tax Rates'!$A$2:$B$159,2)</f>
        <v>0.15</v>
      </c>
      <c r="G80" s="57">
        <f>VLOOKUP(A80,Table1[[Country]:[Country Risk Premium]],6)</f>
        <v>6.9842548970989338E-3</v>
      </c>
      <c r="H80" s="75"/>
      <c r="N80" s="163" t="s">
        <v>14</v>
      </c>
      <c r="O80" s="75">
        <v>74.75</v>
      </c>
    </row>
    <row r="81" spans="1:15">
      <c r="A81" s="46" t="str">
        <f>'ERPs by country'!A87</f>
        <v>Kyrgyzstan</v>
      </c>
      <c r="B81" s="127" t="e">
        <f t="shared" si="3"/>
        <v>#N/A</v>
      </c>
      <c r="C81" s="24">
        <f>VLOOKUP(A81,Table1[[Country]:[Country Risk Premium]],5)</f>
        <v>0.10767154930159514</v>
      </c>
      <c r="D81" s="24">
        <f>VLOOKUP(A81,Table1[[Country]:[Country Risk Premium]],4)</f>
        <v>6.4371549301595152E-2</v>
      </c>
      <c r="E81" s="24">
        <f t="shared" si="2"/>
        <v>0.10767154930159514</v>
      </c>
      <c r="F81" s="57">
        <f>VLOOKUP(A81,'Country Tax Rates'!$A$2:$B$159,2)</f>
        <v>0.1</v>
      </c>
      <c r="G81" s="57">
        <f>VLOOKUP(A81,Table1[[Country]:[Country Risk Premium]],6)</f>
        <v>6.4371549301595152E-2</v>
      </c>
      <c r="H81" s="75"/>
      <c r="N81" s="163" t="s">
        <v>320</v>
      </c>
      <c r="O81" s="75">
        <v>58.5</v>
      </c>
    </row>
    <row r="82" spans="1:15">
      <c r="A82" s="46" t="str">
        <f>'ERPs by country'!A88</f>
        <v>Laos</v>
      </c>
      <c r="B82" s="127" t="e">
        <f t="shared" si="3"/>
        <v>#N/A</v>
      </c>
      <c r="C82" s="24">
        <f>VLOOKUP(A82,Table1[[Country]:[Country Risk Premium]],5)</f>
        <v>0.14236001529051986</v>
      </c>
      <c r="D82" s="24">
        <f>VLOOKUP(A82,Table1[[Country]:[Country Risk Premium]],4)</f>
        <v>9.9060015290519873E-2</v>
      </c>
      <c r="E82" s="24">
        <f t="shared" si="2"/>
        <v>0.14236001529051986</v>
      </c>
      <c r="F82" s="57">
        <f>VLOOKUP(A82,'Country Tax Rates'!$A$2:$B$159,2)</f>
        <v>0.26860000000000001</v>
      </c>
      <c r="G82" s="57">
        <f>VLOOKUP(A82,Table1[[Country]:[Country Risk Premium]],6)</f>
        <v>9.9060015290519873E-2</v>
      </c>
      <c r="H82" s="75"/>
      <c r="N82" s="163" t="s">
        <v>183</v>
      </c>
      <c r="O82" s="75">
        <v>76</v>
      </c>
    </row>
    <row r="83" spans="1:15">
      <c r="A83" s="46" t="str">
        <f>'ERPs by country'!A89</f>
        <v>Latvia</v>
      </c>
      <c r="B83" s="127">
        <f t="shared" si="3"/>
        <v>71.75</v>
      </c>
      <c r="C83" s="24">
        <f>VLOOKUP(A83,Table1[[Country]:[Country Risk Premium]],5)</f>
        <v>5.5173233325068183E-2</v>
      </c>
      <c r="D83" s="24">
        <f>VLOOKUP(A83,Table1[[Country]:[Country Risk Premium]],4)</f>
        <v>1.1873233325068186E-2</v>
      </c>
      <c r="E83" s="24">
        <f t="shared" si="2"/>
        <v>5.5173233325068183E-2</v>
      </c>
      <c r="F83" s="57">
        <f>VLOOKUP(A83,'Country Tax Rates'!$A$2:$B$159,2)</f>
        <v>0.2</v>
      </c>
      <c r="G83" s="57">
        <f>VLOOKUP(A83,Table1[[Country]:[Country Risk Premium]],6)</f>
        <v>1.1873233325068186E-2</v>
      </c>
      <c r="H83" s="75"/>
      <c r="N83" s="163" t="s">
        <v>16</v>
      </c>
      <c r="O83" s="75">
        <v>66.75</v>
      </c>
    </row>
    <row r="84" spans="1:15">
      <c r="A84" s="46" t="str">
        <f>'ERPs by country'!A90</f>
        <v>Lebanon</v>
      </c>
      <c r="B84" s="127">
        <f t="shared" si="3"/>
        <v>38.5</v>
      </c>
      <c r="C84" s="24">
        <f>VLOOKUP(A84,Table1[[Country]:[Country Risk Premium]],5)</f>
        <v>0.21829999999999999</v>
      </c>
      <c r="D84" s="24">
        <f>VLOOKUP(A84,Table1[[Country]:[Country Risk Premium]],4)</f>
        <v>0.17499999999999999</v>
      </c>
      <c r="E84" s="24">
        <f t="shared" si="2"/>
        <v>0.21829999999999999</v>
      </c>
      <c r="F84" s="57">
        <f>VLOOKUP(A84,'Country Tax Rates'!$A$2:$B$159,2)</f>
        <v>0.17</v>
      </c>
      <c r="G84" s="57">
        <f>VLOOKUP(A84,Table1[[Country]:[Country Risk Premium]],6)</f>
        <v>0.17499999999999999</v>
      </c>
      <c r="H84" s="75"/>
      <c r="N84" s="163" t="s">
        <v>17</v>
      </c>
      <c r="O84" s="75">
        <v>65</v>
      </c>
    </row>
    <row r="85" spans="1:15">
      <c r="A85" s="46" t="str">
        <f>'ERPs by country'!A91</f>
        <v>Liechtenstein</v>
      </c>
      <c r="B85" s="127" t="e">
        <f t="shared" si="3"/>
        <v>#N/A</v>
      </c>
      <c r="C85" s="24">
        <f>VLOOKUP(A85,Table1[[Country]:[Country Risk Premium]],5)</f>
        <v>4.3299999999999998E-2</v>
      </c>
      <c r="D85" s="24">
        <f>VLOOKUP(A85,Table1[[Country]:[Country Risk Premium]],4)</f>
        <v>0</v>
      </c>
      <c r="E85" s="24">
        <f t="shared" si="2"/>
        <v>4.3299999999999998E-2</v>
      </c>
      <c r="F85" s="57">
        <f>VLOOKUP(A85,'Country Tax Rates'!$A$2:$B$159,2)</f>
        <v>0.125</v>
      </c>
      <c r="G85" s="57">
        <f>VLOOKUP(A85,Table1[[Country]:[Country Risk Premium]],6)</f>
        <v>0</v>
      </c>
      <c r="H85" s="75"/>
      <c r="N85" s="163" t="s">
        <v>63</v>
      </c>
      <c r="O85" s="75">
        <v>70</v>
      </c>
    </row>
    <row r="86" spans="1:15">
      <c r="A86" s="46" t="str">
        <f>'ERPs by country'!A92</f>
        <v>Lithuania</v>
      </c>
      <c r="B86" s="127">
        <f t="shared" si="3"/>
        <v>69.75</v>
      </c>
      <c r="C86" s="24">
        <f>VLOOKUP(A86,Table1[[Country]:[Country Risk Premium]],5)</f>
        <v>5.1681105876518717E-2</v>
      </c>
      <c r="D86" s="24">
        <f>VLOOKUP(A86,Table1[[Country]:[Country Risk Premium]],4)</f>
        <v>8.3811058765187203E-3</v>
      </c>
      <c r="E86" s="24">
        <f t="shared" si="2"/>
        <v>5.1681105876518717E-2</v>
      </c>
      <c r="F86" s="57">
        <f>VLOOKUP(A86,'Country Tax Rates'!$A$2:$B$159,2)</f>
        <v>0.15</v>
      </c>
      <c r="G86" s="57">
        <f>VLOOKUP(A86,Table1[[Country]:[Country Risk Premium]],6)</f>
        <v>8.3811058765187203E-3</v>
      </c>
      <c r="H86" s="75"/>
      <c r="N86" s="163" t="s">
        <v>18</v>
      </c>
      <c r="O86" s="75">
        <v>70.5</v>
      </c>
    </row>
    <row r="87" spans="1:15">
      <c r="A87" s="46" t="str">
        <f>'ERPs by country'!A93</f>
        <v>Luxembourg</v>
      </c>
      <c r="B87" s="127">
        <f t="shared" si="3"/>
        <v>84</v>
      </c>
      <c r="C87" s="24">
        <f>VLOOKUP(A87,Table1[[Country]:[Country Risk Premium]],5)</f>
        <v>4.3299999999999998E-2</v>
      </c>
      <c r="D87" s="24">
        <f>VLOOKUP(A87,Table1[[Country]:[Country Risk Premium]],4)</f>
        <v>0</v>
      </c>
      <c r="E87" s="24">
        <f t="shared" si="2"/>
        <v>4.3299999999999998E-2</v>
      </c>
      <c r="F87" s="57">
        <f>VLOOKUP(A87,'Country Tax Rates'!$A$2:$B$159,2)</f>
        <v>0.24940000000000001</v>
      </c>
      <c r="G87" s="57">
        <f>VLOOKUP(A87,Table1[[Country]:[Country Risk Premium]],6)</f>
        <v>0</v>
      </c>
      <c r="H87" s="75"/>
      <c r="N87" s="163" t="s">
        <v>223</v>
      </c>
      <c r="O87" s="75">
        <v>56.75</v>
      </c>
    </row>
    <row r="88" spans="1:15">
      <c r="A88" s="46" t="str">
        <f>'ERPs by country'!A94</f>
        <v>Macao</v>
      </c>
      <c r="B88" s="127" t="e">
        <f t="shared" si="3"/>
        <v>#N/A</v>
      </c>
      <c r="C88" s="24">
        <f>VLOOKUP(A88,Table1[[Country]:[Country Risk Premium]],5)</f>
        <v>4.9236616662534094E-2</v>
      </c>
      <c r="D88" s="24">
        <f>VLOOKUP(A88,Table1[[Country]:[Country Risk Premium]],4)</f>
        <v>5.9366166625340932E-3</v>
      </c>
      <c r="E88" s="24">
        <f t="shared" si="2"/>
        <v>4.9236616662534094E-2</v>
      </c>
      <c r="F88" s="57">
        <f>VLOOKUP(A88,'Country Tax Rates'!$A$2:$B$159,2)</f>
        <v>0.26860000000000001</v>
      </c>
      <c r="G88" s="57">
        <f>VLOOKUP(A88,Table1[[Country]:[Country Risk Premium]],6)</f>
        <v>5.9366166625340932E-3</v>
      </c>
      <c r="H88" s="75"/>
      <c r="N88" s="163" t="s">
        <v>330</v>
      </c>
      <c r="O88" s="75">
        <v>56</v>
      </c>
    </row>
    <row r="89" spans="1:15">
      <c r="A89" s="46" t="str">
        <f>'ERPs by country'!A95</f>
        <v>Macedonia</v>
      </c>
      <c r="B89" s="127" t="e">
        <f t="shared" si="3"/>
        <v>#N/A</v>
      </c>
      <c r="C89" s="24">
        <f>VLOOKUP(A89,Table1[[Country]:[Country Risk Premium]],5)</f>
        <v>7.8919699975204552E-2</v>
      </c>
      <c r="D89" s="24">
        <f>VLOOKUP(A89,Table1[[Country]:[Country Risk Premium]],4)</f>
        <v>3.5619699975204554E-2</v>
      </c>
      <c r="E89" s="24">
        <f t="shared" si="2"/>
        <v>7.8919699975204552E-2</v>
      </c>
      <c r="F89" s="57">
        <f>VLOOKUP(A89,'Country Tax Rates'!$A$2:$B$159,2)</f>
        <v>0.1</v>
      </c>
      <c r="G89" s="57">
        <f>VLOOKUP(A89,Table1[[Country]:[Country Risk Premium]],6)</f>
        <v>3.5619699975204554E-2</v>
      </c>
      <c r="H89" s="75"/>
      <c r="N89" s="163" t="s">
        <v>135</v>
      </c>
      <c r="O89" s="75">
        <v>69.75</v>
      </c>
    </row>
    <row r="90" spans="1:15">
      <c r="A90" s="46" t="str">
        <f>'ERPs by country'!A96</f>
        <v>Malaysia</v>
      </c>
      <c r="B90" s="127">
        <f t="shared" si="3"/>
        <v>74.75</v>
      </c>
      <c r="C90" s="24">
        <f>VLOOKUP(A90,Table1[[Country]:[Country Risk Premium]],5)</f>
        <v>5.5173233325068183E-2</v>
      </c>
      <c r="D90" s="24">
        <f>VLOOKUP(A90,Table1[[Country]:[Country Risk Premium]],4)</f>
        <v>1.1873233325068186E-2</v>
      </c>
      <c r="E90" s="24">
        <f t="shared" si="2"/>
        <v>5.5173233325068183E-2</v>
      </c>
      <c r="F90" s="57">
        <f>VLOOKUP(A90,'Country Tax Rates'!$A$2:$B$159,2)</f>
        <v>0.24</v>
      </c>
      <c r="G90" s="57">
        <f>VLOOKUP(A90,Table1[[Country]:[Country Risk Premium]],6)</f>
        <v>1.1873233325068186E-2</v>
      </c>
      <c r="H90" s="75"/>
      <c r="N90" s="163" t="s">
        <v>184</v>
      </c>
      <c r="O90" s="75">
        <v>80.75</v>
      </c>
    </row>
    <row r="91" spans="1:15">
      <c r="A91" s="46" t="str">
        <f>'ERPs by country'!A97</f>
        <v>Maldives</v>
      </c>
      <c r="B91" s="127" t="e">
        <f t="shared" si="3"/>
        <v>#N/A</v>
      </c>
      <c r="C91" s="24">
        <f>VLOOKUP(A91,Table1[[Country]:[Country Risk Premium]],5)</f>
        <v>0.13246565418629636</v>
      </c>
      <c r="D91" s="24">
        <f>VLOOKUP(A91,Table1[[Country]:[Country Risk Premium]],4)</f>
        <v>8.9165654186296364E-2</v>
      </c>
      <c r="E91" s="24">
        <f t="shared" si="2"/>
        <v>0.13246565418629636</v>
      </c>
      <c r="F91" s="57">
        <f>VLOOKUP(A91,'Country Tax Rates'!$A$2:$B$159,2)</f>
        <v>0.26860000000000001</v>
      </c>
      <c r="G91" s="57">
        <f>VLOOKUP(A91,Table1[[Country]:[Country Risk Premium]],6)</f>
        <v>8.9165654186296364E-2</v>
      </c>
      <c r="H91" s="75"/>
      <c r="N91" s="163" t="s">
        <v>21</v>
      </c>
      <c r="O91" s="75">
        <v>77.25</v>
      </c>
    </row>
    <row r="92" spans="1:15">
      <c r="A92" s="46" t="str">
        <f>'ERPs by country'!A98</f>
        <v>Mali</v>
      </c>
      <c r="B92" s="127">
        <f t="shared" si="3"/>
        <v>58.5</v>
      </c>
      <c r="C92" s="24">
        <f>VLOOKUP(A92,Table1[[Country]:[Country Risk Premium]],5)</f>
        <v>0.13246565418629636</v>
      </c>
      <c r="D92" s="24">
        <f>VLOOKUP(A92,Table1[[Country]:[Country Risk Premium]],4)</f>
        <v>8.9165654186296364E-2</v>
      </c>
      <c r="E92" s="24">
        <f t="shared" si="2"/>
        <v>0.13246565418629636</v>
      </c>
      <c r="F92" s="57">
        <f>VLOOKUP(A92,'Country Tax Rates'!$A$2:$B$159,2)</f>
        <v>0.26860000000000001</v>
      </c>
      <c r="G92" s="57">
        <f>VLOOKUP(A92,Table1[[Country]:[Country Risk Premium]],6)</f>
        <v>8.9165654186296364E-2</v>
      </c>
      <c r="H92" s="75"/>
      <c r="N92" s="163" t="s">
        <v>22</v>
      </c>
      <c r="O92" s="75">
        <v>67.25</v>
      </c>
    </row>
    <row r="93" spans="1:15">
      <c r="A93" s="46" t="str">
        <f>'ERPs by country'!A99</f>
        <v>Malta</v>
      </c>
      <c r="B93" s="127">
        <f t="shared" si="3"/>
        <v>76</v>
      </c>
      <c r="C93" s="24">
        <f>VLOOKUP(A93,Table1[[Country]:[Country Risk Premium]],5)</f>
        <v>5.1681105876518717E-2</v>
      </c>
      <c r="D93" s="24">
        <f>VLOOKUP(A93,Table1[[Country]:[Country Risk Premium]],4)</f>
        <v>8.3811058765187203E-3</v>
      </c>
      <c r="E93" s="24">
        <f t="shared" si="2"/>
        <v>5.1681105876518717E-2</v>
      </c>
      <c r="F93" s="57">
        <f>VLOOKUP(A93,'Country Tax Rates'!$A$2:$B$159,2)</f>
        <v>0.35</v>
      </c>
      <c r="G93" s="57">
        <f>VLOOKUP(A93,Table1[[Country]:[Country Risk Premium]],6)</f>
        <v>8.3811058765187203E-3</v>
      </c>
      <c r="H93" s="75"/>
      <c r="N93" s="163" t="s">
        <v>316</v>
      </c>
      <c r="O93" s="75">
        <v>53.25</v>
      </c>
    </row>
    <row r="94" spans="1:15">
      <c r="A94" s="46" t="str">
        <f>'ERPs by country'!A100</f>
        <v>Mauritius</v>
      </c>
      <c r="B94" s="127" t="e">
        <f t="shared" si="3"/>
        <v>#N/A</v>
      </c>
      <c r="C94" s="24">
        <f>VLOOKUP(A94,Table1[[Country]:[Country Risk Premium]],5)</f>
        <v>6.5067594429291678E-2</v>
      </c>
      <c r="D94" s="24">
        <f>VLOOKUP(A94,Table1[[Country]:[Country Risk Premium]],4)</f>
        <v>2.1767594429291676E-2</v>
      </c>
      <c r="E94" s="24">
        <f t="shared" si="2"/>
        <v>6.5067594429291678E-2</v>
      </c>
      <c r="F94" s="57">
        <f>VLOOKUP(A94,'Country Tax Rates'!$A$2:$B$159,2)</f>
        <v>0.15</v>
      </c>
      <c r="G94" s="57">
        <f>VLOOKUP(A94,Table1[[Country]:[Country Risk Premium]],6)</f>
        <v>2.1767594429291676E-2</v>
      </c>
      <c r="H94" s="75"/>
      <c r="N94" s="163" t="s">
        <v>185</v>
      </c>
      <c r="O94" s="75">
        <v>55.75</v>
      </c>
    </row>
    <row r="95" spans="1:15">
      <c r="A95" s="46" t="str">
        <f>'ERPs by country'!A101</f>
        <v>Mexico</v>
      </c>
      <c r="B95" s="127">
        <f t="shared" si="3"/>
        <v>66.75</v>
      </c>
      <c r="C95" s="24">
        <f>VLOOKUP(A95,Table1[[Country]:[Country Risk Premium]],5)</f>
        <v>6.2157488222167115E-2</v>
      </c>
      <c r="D95" s="24">
        <f>VLOOKUP(A95,Table1[[Country]:[Country Risk Premium]],4)</f>
        <v>1.885748822216712E-2</v>
      </c>
      <c r="E95" s="24">
        <f t="shared" si="2"/>
        <v>6.2157488222167115E-2</v>
      </c>
      <c r="F95" s="57">
        <f>VLOOKUP(A95,'Country Tax Rates'!$A$2:$B$159,2)</f>
        <v>0.3</v>
      </c>
      <c r="G95" s="57">
        <f>VLOOKUP(A95,Table1[[Country]:[Country Risk Premium]],6)</f>
        <v>1.885748822216712E-2</v>
      </c>
      <c r="H95" s="75"/>
      <c r="N95" s="163" t="s">
        <v>23</v>
      </c>
      <c r="O95" s="75">
        <v>86.25</v>
      </c>
    </row>
    <row r="96" spans="1:15">
      <c r="A96" s="46" t="str">
        <f>'ERPs by country'!A102</f>
        <v>Moldova</v>
      </c>
      <c r="B96" s="127">
        <f t="shared" si="3"/>
        <v>65</v>
      </c>
      <c r="C96" s="24">
        <f>VLOOKUP(A96,Table1[[Country]:[Country Risk Premium]],5)</f>
        <v>0.10767154930159514</v>
      </c>
      <c r="D96" s="24">
        <f>VLOOKUP(A96,Table1[[Country]:[Country Risk Premium]],4)</f>
        <v>6.4371549301595152E-2</v>
      </c>
      <c r="E96" s="24">
        <f t="shared" si="2"/>
        <v>0.10767154930159514</v>
      </c>
      <c r="F96" s="57">
        <f>VLOOKUP(A96,'Country Tax Rates'!$A$2:$B$159,2)</f>
        <v>0.12</v>
      </c>
      <c r="G96" s="57">
        <f>VLOOKUP(A96,Table1[[Country]:[Country Risk Premium]],6)</f>
        <v>6.4371549301595152E-2</v>
      </c>
      <c r="H96" s="75"/>
      <c r="N96" s="163" t="s">
        <v>24</v>
      </c>
      <c r="O96" s="75">
        <v>78.75</v>
      </c>
    </row>
    <row r="97" spans="1:15">
      <c r="A97" s="46" t="str">
        <f>'ERPs by country'!A103</f>
        <v>Mongolia</v>
      </c>
      <c r="B97" s="127">
        <f t="shared" si="3"/>
        <v>70</v>
      </c>
      <c r="C97" s="24">
        <f>VLOOKUP(A97,Table1[[Country]:[Country Risk Premium]],5)</f>
        <v>9.7777188197371676E-2</v>
      </c>
      <c r="D97" s="24">
        <f>VLOOKUP(A97,Table1[[Country]:[Country Risk Premium]],4)</f>
        <v>5.4477188197371677E-2</v>
      </c>
      <c r="E97" s="24">
        <f t="shared" si="2"/>
        <v>9.7777188197371676E-2</v>
      </c>
      <c r="F97" s="57">
        <f>VLOOKUP(A97,'Country Tax Rates'!$A$2:$B$159,2)</f>
        <v>0.25</v>
      </c>
      <c r="G97" s="57">
        <f>VLOOKUP(A97,Table1[[Country]:[Country Risk Premium]],6)</f>
        <v>5.4477188197371677E-2</v>
      </c>
      <c r="H97" s="75"/>
      <c r="N97" s="163" t="s">
        <v>25</v>
      </c>
      <c r="O97" s="75">
        <v>55.25</v>
      </c>
    </row>
    <row r="98" spans="1:15">
      <c r="A98" s="46" t="str">
        <f>'ERPs by country'!A104</f>
        <v>Montenegro</v>
      </c>
      <c r="B98" s="127" t="e">
        <f t="shared" si="3"/>
        <v>#N/A</v>
      </c>
      <c r="C98" s="24">
        <f>VLOOKUP(A98,Table1[[Country]:[Country Risk Premium]],5)</f>
        <v>8.788282709314818E-2</v>
      </c>
      <c r="D98" s="24">
        <f>VLOOKUP(A98,Table1[[Country]:[Country Risk Premium]],4)</f>
        <v>4.4582827093148182E-2</v>
      </c>
      <c r="E98" s="24">
        <f t="shared" si="2"/>
        <v>8.788282709314818E-2</v>
      </c>
      <c r="F98" s="57">
        <f>VLOOKUP(A98,'Country Tax Rates'!$A$2:$B$159,2)</f>
        <v>0.15</v>
      </c>
      <c r="G98" s="57">
        <f>VLOOKUP(A98,Table1[[Country]:[Country Risk Premium]],6)</f>
        <v>4.4582827093148182E-2</v>
      </c>
      <c r="H98" s="75"/>
      <c r="N98" s="163" t="s">
        <v>26</v>
      </c>
      <c r="O98" s="75">
        <v>71.5</v>
      </c>
    </row>
    <row r="99" spans="1:15">
      <c r="A99" s="46" t="str">
        <f>'ERPs by country'!A105</f>
        <v>Montserrat</v>
      </c>
      <c r="B99" s="127" t="e">
        <f t="shared" si="3"/>
        <v>#N/A</v>
      </c>
      <c r="C99" s="24">
        <f>VLOOKUP(A99,Table1[[Country]:[Country Risk Premium]],5)</f>
        <v>6.5067594429291678E-2</v>
      </c>
      <c r="D99" s="24">
        <f>VLOOKUP(A99,Table1[[Country]:[Country Risk Premium]],4)</f>
        <v>2.1767594429291676E-2</v>
      </c>
      <c r="E99" s="24">
        <f t="shared" si="2"/>
        <v>6.5067594429291678E-2</v>
      </c>
      <c r="F99" s="57">
        <f>VLOOKUP(A99,'Country Tax Rates'!$A$2:$B$159,2)</f>
        <v>0.2853</v>
      </c>
      <c r="G99" s="57">
        <f>VLOOKUP(A99,Table1[[Country]:[Country Risk Premium]],6)</f>
        <v>2.1767594429291676E-2</v>
      </c>
      <c r="H99" s="75"/>
      <c r="N99" s="163" t="s">
        <v>9</v>
      </c>
      <c r="O99" s="75">
        <v>68.25</v>
      </c>
    </row>
    <row r="100" spans="1:15">
      <c r="A100" s="46" t="str">
        <f>'ERPs by country'!A106</f>
        <v>Morocco</v>
      </c>
      <c r="B100" s="127">
        <f t="shared" si="3"/>
        <v>70.5</v>
      </c>
      <c r="C100" s="24">
        <f>VLOOKUP(A100,Table1[[Country]:[Country Risk Premium]],5)</f>
        <v>6.8094104884701218E-2</v>
      </c>
      <c r="D100" s="24">
        <f>VLOOKUP(A100,Table1[[Country]:[Country Risk Premium]],4)</f>
        <v>2.4794104884701216E-2</v>
      </c>
      <c r="E100" s="24">
        <f t="shared" si="2"/>
        <v>6.8094104884701218E-2</v>
      </c>
      <c r="F100" s="57">
        <f>VLOOKUP(A100,'Country Tax Rates'!$A$2:$B$159,2)</f>
        <v>0.32</v>
      </c>
      <c r="G100" s="57">
        <f>VLOOKUP(A100,Table1[[Country]:[Country Risk Premium]],6)</f>
        <v>2.4794104884701216E-2</v>
      </c>
      <c r="H100" s="75"/>
      <c r="N100" s="163" t="s">
        <v>27</v>
      </c>
      <c r="O100" s="75">
        <v>71.25</v>
      </c>
    </row>
    <row r="101" spans="1:15">
      <c r="A101" s="46" t="str">
        <f>'ERPs by country'!A107</f>
        <v>Mozambique</v>
      </c>
      <c r="B101" s="127">
        <f t="shared" si="3"/>
        <v>56.75</v>
      </c>
      <c r="C101" s="24">
        <f>VLOOKUP(A101,Table1[[Country]:[Country Risk Premium]],5)</f>
        <v>0.13246565418629636</v>
      </c>
      <c r="D101" s="24">
        <f>VLOOKUP(A101,Table1[[Country]:[Country Risk Premium]],4)</f>
        <v>8.9165654186296364E-2</v>
      </c>
      <c r="E101" s="24">
        <f t="shared" si="2"/>
        <v>0.13246565418629636</v>
      </c>
      <c r="F101" s="57">
        <f>VLOOKUP(A101,'Country Tax Rates'!$A$2:$B$159,2)</f>
        <v>0.32</v>
      </c>
      <c r="G101" s="57">
        <f>VLOOKUP(A101,Table1[[Country]:[Country Risk Premium]],6)</f>
        <v>8.9165654186296364E-2</v>
      </c>
      <c r="H101" s="75"/>
      <c r="N101" s="163" t="s">
        <v>28</v>
      </c>
      <c r="O101" s="75">
        <v>70.25</v>
      </c>
    </row>
    <row r="102" spans="1:15">
      <c r="A102" s="46" t="str">
        <f>'ERPs by country'!A108</f>
        <v>Namibia</v>
      </c>
      <c r="B102" s="127">
        <f t="shared" si="3"/>
        <v>69.75</v>
      </c>
      <c r="C102" s="24">
        <f>VLOOKUP(A102,Table1[[Country]:[Country Risk Premium]],5)</f>
        <v>8.788282709314818E-2</v>
      </c>
      <c r="D102" s="24">
        <f>VLOOKUP(A102,Table1[[Country]:[Country Risk Premium]],4)</f>
        <v>4.4582827093148182E-2</v>
      </c>
      <c r="E102" s="24">
        <f t="shared" si="2"/>
        <v>8.788282709314818E-2</v>
      </c>
      <c r="F102" s="57">
        <f>VLOOKUP(A102,'Country Tax Rates'!$A$2:$B$159,2)</f>
        <v>0.32</v>
      </c>
      <c r="G102" s="57">
        <f>VLOOKUP(A102,Table1[[Country]:[Country Risk Premium]],6)</f>
        <v>4.4582827093148182E-2</v>
      </c>
      <c r="H102" s="75"/>
      <c r="N102" s="163" t="s">
        <v>29</v>
      </c>
      <c r="O102" s="75">
        <v>71.5</v>
      </c>
    </row>
    <row r="103" spans="1:15">
      <c r="A103" s="46" t="s">
        <v>373</v>
      </c>
      <c r="B103" s="127" t="e">
        <f t="shared" ref="B103" si="4">VLOOKUP(A103,$N$2:$O$142,2,FALSE)</f>
        <v>#N/A</v>
      </c>
      <c r="C103" s="24">
        <f>VLOOKUP(A103,Table1[[Country]:[Country Risk Premium]],5)</f>
        <v>7.8919699975204552E-2</v>
      </c>
      <c r="D103" s="24">
        <f>VLOOKUP(A103,Table1[[Country]:[Country Risk Premium]],4)</f>
        <v>3.5619699975204554E-2</v>
      </c>
      <c r="E103" s="24">
        <f t="shared" si="2"/>
        <v>7.8919699975204552E-2</v>
      </c>
      <c r="F103" s="57">
        <f>VLOOKUP(A103,'Country Tax Rates'!$A$2:$B$159,2)</f>
        <v>0.25</v>
      </c>
      <c r="G103" s="57">
        <f>VLOOKUP(A103,Table1[[Country]:[Country Risk Premium]],6)</f>
        <v>3.5619699975204554E-2</v>
      </c>
      <c r="H103" s="75"/>
      <c r="N103" s="163" t="s">
        <v>30</v>
      </c>
      <c r="O103" s="75">
        <v>76</v>
      </c>
    </row>
    <row r="104" spans="1:15">
      <c r="A104" s="46" t="str">
        <f>'ERPs by country'!A110</f>
        <v>Netherlands</v>
      </c>
      <c r="B104" s="127">
        <f t="shared" si="3"/>
        <v>80.75</v>
      </c>
      <c r="C104" s="24">
        <f>VLOOKUP(A104,Table1[[Country]:[Country Risk Premium]],5)</f>
        <v>4.3299999999999998E-2</v>
      </c>
      <c r="D104" s="24">
        <f>VLOOKUP(A104,Table1[[Country]:[Country Risk Premium]],4)</f>
        <v>0</v>
      </c>
      <c r="E104" s="24">
        <f t="shared" si="2"/>
        <v>4.3299999999999998E-2</v>
      </c>
      <c r="F104" s="57">
        <f>VLOOKUP(A104,'Country Tax Rates'!$A$2:$B$159,2)</f>
        <v>0.25800000000000001</v>
      </c>
      <c r="G104" s="57">
        <f>VLOOKUP(A104,Table1[[Country]:[Country Risk Premium]],6)</f>
        <v>0</v>
      </c>
      <c r="H104" s="75"/>
      <c r="N104" s="163" t="s">
        <v>186</v>
      </c>
      <c r="O104" s="75">
        <v>77.5</v>
      </c>
    </row>
    <row r="105" spans="1:15">
      <c r="A105" s="46" t="str">
        <f>'ERPs by country'!A111</f>
        <v>New Zealand</v>
      </c>
      <c r="B105" s="127">
        <f t="shared" si="3"/>
        <v>77.25</v>
      </c>
      <c r="C105" s="24">
        <f>VLOOKUP(A105,Table1[[Country]:[Country Risk Premium]],5)</f>
        <v>4.3299999999999998E-2</v>
      </c>
      <c r="D105" s="24">
        <f>VLOOKUP(A105,Table1[[Country]:[Country Risk Premium]],4)</f>
        <v>0</v>
      </c>
      <c r="E105" s="24">
        <f t="shared" si="2"/>
        <v>4.3299999999999998E-2</v>
      </c>
      <c r="F105" s="57">
        <f>VLOOKUP(A105,'Country Tax Rates'!$A$2:$B$159,2)</f>
        <v>0.28000000000000003</v>
      </c>
      <c r="G105" s="57">
        <f>VLOOKUP(A105,Table1[[Country]:[Country Risk Premium]],6)</f>
        <v>0</v>
      </c>
      <c r="H105" s="75"/>
      <c r="N105" s="163" t="s">
        <v>73</v>
      </c>
      <c r="O105" s="75">
        <v>80.25</v>
      </c>
    </row>
    <row r="106" spans="1:15">
      <c r="A106" s="46" t="str">
        <f>'ERPs by country'!A112</f>
        <v>Nicaragua</v>
      </c>
      <c r="B106" s="127">
        <f t="shared" si="3"/>
        <v>67.25</v>
      </c>
      <c r="C106" s="24">
        <f>VLOOKUP(A106,Table1[[Country]:[Country Risk Premium]],5)</f>
        <v>9.7777188197371676E-2</v>
      </c>
      <c r="D106" s="24">
        <f>VLOOKUP(A106,Table1[[Country]:[Country Risk Premium]],4)</f>
        <v>5.4477188197371677E-2</v>
      </c>
      <c r="E106" s="24">
        <f t="shared" si="2"/>
        <v>9.7777188197371676E-2</v>
      </c>
      <c r="F106" s="57">
        <f>VLOOKUP(A106,'Country Tax Rates'!$A$2:$B$159,2)</f>
        <v>0.3</v>
      </c>
      <c r="G106" s="57">
        <f>VLOOKUP(A106,Table1[[Country]:[Country Risk Premium]],6)</f>
        <v>5.4477188197371677E-2</v>
      </c>
      <c r="H106" s="75"/>
      <c r="N106" s="163" t="s">
        <v>0</v>
      </c>
      <c r="O106" s="75">
        <v>68.75</v>
      </c>
    </row>
    <row r="107" spans="1:15">
      <c r="A107" s="46" t="str">
        <f>'ERPs by country'!A113</f>
        <v>Niger</v>
      </c>
      <c r="B107" s="127">
        <f t="shared" si="3"/>
        <v>53.25</v>
      </c>
      <c r="C107" s="24">
        <f>VLOOKUP(A107,Table1[[Country]:[Country Risk Premium]],5)</f>
        <v>0.14236001529051986</v>
      </c>
      <c r="D107" s="24">
        <f>VLOOKUP(A107,Table1[[Country]:[Country Risk Premium]],4)</f>
        <v>9.9060015290519873E-2</v>
      </c>
      <c r="E107" s="24">
        <f t="shared" si="2"/>
        <v>0.14236001529051986</v>
      </c>
      <c r="F107" s="57">
        <f>VLOOKUP(A107,'Country Tax Rates'!$A$2:$B$159,2)</f>
        <v>0.26860000000000001</v>
      </c>
      <c r="G107" s="57">
        <f>VLOOKUP(A107,Table1[[Country]:[Country Risk Premium]],6)</f>
        <v>9.9060015290519873E-2</v>
      </c>
      <c r="H107" s="75"/>
      <c r="N107" s="163" t="s">
        <v>1</v>
      </c>
      <c r="O107" s="75">
        <v>69.25</v>
      </c>
    </row>
    <row r="108" spans="1:15">
      <c r="A108" s="46" t="str">
        <f>'ERPs by country'!A114</f>
        <v>Nigeria</v>
      </c>
      <c r="B108" s="127">
        <f t="shared" si="3"/>
        <v>55.75</v>
      </c>
      <c r="C108" s="24">
        <f>VLOOKUP(A108,Table1[[Country]:[Country Risk Premium]],5)</f>
        <v>0.11756591040581865</v>
      </c>
      <c r="D108" s="24">
        <f>VLOOKUP(A108,Table1[[Country]:[Country Risk Premium]],4)</f>
        <v>7.4265910405818647E-2</v>
      </c>
      <c r="E108" s="24">
        <f t="shared" si="2"/>
        <v>0.11756591040581865</v>
      </c>
      <c r="F108" s="57">
        <f>VLOOKUP(A108,'Country Tax Rates'!$A$2:$B$159,2)</f>
        <v>0.3</v>
      </c>
      <c r="G108" s="57">
        <f>VLOOKUP(A108,Table1[[Country]:[Country Risk Premium]],6)</f>
        <v>7.4265910405818647E-2</v>
      </c>
      <c r="H108" s="75"/>
      <c r="N108" s="163" t="s">
        <v>2</v>
      </c>
      <c r="O108" s="75">
        <v>79.5</v>
      </c>
    </row>
    <row r="109" spans="1:15">
      <c r="A109" s="46" t="str">
        <f>'ERPs by country'!A115</f>
        <v>Norway</v>
      </c>
      <c r="B109" s="127">
        <f t="shared" si="3"/>
        <v>86.25</v>
      </c>
      <c r="C109" s="24">
        <f>VLOOKUP(A109,Table1[[Country]:[Country Risk Premium]],5)</f>
        <v>4.3299999999999998E-2</v>
      </c>
      <c r="D109" s="24">
        <f>VLOOKUP(A109,Table1[[Country]:[Country Risk Premium]],4)</f>
        <v>0</v>
      </c>
      <c r="E109" s="24">
        <f t="shared" si="2"/>
        <v>4.3299999999999998E-2</v>
      </c>
      <c r="F109" s="57">
        <f>VLOOKUP(A109,'Country Tax Rates'!$A$2:$B$159,2)</f>
        <v>0.22</v>
      </c>
      <c r="G109" s="57">
        <f>VLOOKUP(A109,Table1[[Country]:[Country Risk Premium]],6)</f>
        <v>0</v>
      </c>
      <c r="H109" s="75"/>
      <c r="N109" s="163" t="s">
        <v>134</v>
      </c>
      <c r="O109" s="75">
        <v>61.5</v>
      </c>
    </row>
    <row r="110" spans="1:15">
      <c r="A110" s="46" t="str">
        <f>'ERPs by country'!A116</f>
        <v>Oman</v>
      </c>
      <c r="B110" s="127">
        <f t="shared" si="3"/>
        <v>78.75</v>
      </c>
      <c r="C110" s="24">
        <f>VLOOKUP(A110,Table1[[Country]:[Country Risk Premium]],5)</f>
        <v>6.8094104884701218E-2</v>
      </c>
      <c r="D110" s="24">
        <f>VLOOKUP(A110,Table1[[Country]:[Country Risk Premium]],4)</f>
        <v>2.4794104884701216E-2</v>
      </c>
      <c r="E110" s="24">
        <f t="shared" si="2"/>
        <v>6.8094104884701218E-2</v>
      </c>
      <c r="F110" s="57">
        <f>VLOOKUP(A110,'Country Tax Rates'!$A$2:$B$159,2)</f>
        <v>0.15</v>
      </c>
      <c r="G110" s="57">
        <f>VLOOKUP(A110,Table1[[Country]:[Country Risk Premium]],6)</f>
        <v>2.4794104884701216E-2</v>
      </c>
      <c r="H110" s="75"/>
      <c r="N110" s="163" t="s">
        <v>461</v>
      </c>
      <c r="O110" s="75">
        <v>67.75</v>
      </c>
    </row>
    <row r="111" spans="1:15">
      <c r="A111" s="46" t="str">
        <f>'ERPs by country'!A117</f>
        <v>Pakistan</v>
      </c>
      <c r="B111" s="127">
        <f t="shared" si="3"/>
        <v>55.25</v>
      </c>
      <c r="C111" s="24">
        <f>VLOOKUP(A111,Table1[[Country]:[Country Risk Premium]],5)</f>
        <v>0.13246565418629636</v>
      </c>
      <c r="D111" s="24">
        <f>VLOOKUP(A111,Table1[[Country]:[Country Risk Premium]],4)</f>
        <v>8.9165654186296364E-2</v>
      </c>
      <c r="E111" s="24">
        <f t="shared" si="2"/>
        <v>0.13246565418629636</v>
      </c>
      <c r="F111" s="57">
        <f>VLOOKUP(A111,'Country Tax Rates'!$A$2:$B$159,2)</f>
        <v>0.28999999999999998</v>
      </c>
      <c r="G111" s="57">
        <f>VLOOKUP(A111,Table1[[Country]:[Country Risk Premium]],6)</f>
        <v>8.9165654186296364E-2</v>
      </c>
      <c r="H111" s="75"/>
      <c r="N111" s="163" t="s">
        <v>324</v>
      </c>
      <c r="O111" s="75">
        <v>59.5</v>
      </c>
    </row>
    <row r="112" spans="1:15">
      <c r="A112" s="46" t="str">
        <f>'ERPs by country'!A118</f>
        <v>Panama</v>
      </c>
      <c r="B112" s="127">
        <f t="shared" si="3"/>
        <v>71.5</v>
      </c>
      <c r="C112" s="24">
        <f>VLOOKUP(A112,Table1[[Country]:[Country Risk Premium]],5)</f>
        <v>6.5067594429291678E-2</v>
      </c>
      <c r="D112" s="24">
        <f>VLOOKUP(A112,Table1[[Country]:[Country Risk Premium]],4)</f>
        <v>2.1767594429291676E-2</v>
      </c>
      <c r="E112" s="24">
        <f t="shared" si="2"/>
        <v>6.5067594429291678E-2</v>
      </c>
      <c r="F112" s="57">
        <f>VLOOKUP(A112,'Country Tax Rates'!$A$2:$B$159,2)</f>
        <v>0.25</v>
      </c>
      <c r="G112" s="57">
        <f>VLOOKUP(A112,Table1[[Country]:[Country Risk Premium]],6)</f>
        <v>2.1767594429291676E-2</v>
      </c>
      <c r="H112" s="75"/>
      <c r="N112" s="163" t="s">
        <v>3</v>
      </c>
      <c r="O112" s="75">
        <v>86.75</v>
      </c>
    </row>
    <row r="113" spans="1:15">
      <c r="A113" s="46" t="str">
        <f>'ERPs by country'!A119</f>
        <v>Papua New Guinea</v>
      </c>
      <c r="B113" s="127">
        <f t="shared" si="3"/>
        <v>68.25</v>
      </c>
      <c r="C113" s="24">
        <f>VLOOKUP(A113,Table1[[Country]:[Country Risk Premium]],5)</f>
        <v>9.7777188197371676E-2</v>
      </c>
      <c r="D113" s="24">
        <f>VLOOKUP(A113,Table1[[Country]:[Country Risk Premium]],4)</f>
        <v>5.4477188197371677E-2</v>
      </c>
      <c r="E113" s="24">
        <f t="shared" si="2"/>
        <v>9.7777188197371676E-2</v>
      </c>
      <c r="F113" s="57">
        <f>VLOOKUP(A113,'Country Tax Rates'!$A$2:$B$159,2)</f>
        <v>0.3</v>
      </c>
      <c r="G113" s="57">
        <f>VLOOKUP(A113,Table1[[Country]:[Country Risk Premium]],6)</f>
        <v>5.4477188197371677E-2</v>
      </c>
      <c r="H113" s="75"/>
      <c r="N113" s="163" t="s">
        <v>61</v>
      </c>
      <c r="O113" s="75">
        <v>67.75</v>
      </c>
    </row>
    <row r="114" spans="1:15">
      <c r="A114" s="46" t="str">
        <f>'ERPs by country'!A120</f>
        <v>Paraguay</v>
      </c>
      <c r="B114" s="127">
        <f t="shared" si="3"/>
        <v>71.25</v>
      </c>
      <c r="C114" s="24">
        <f>VLOOKUP(A114,Table1[[Country]:[Country Risk Premium]],5)</f>
        <v>6.5067594429291678E-2</v>
      </c>
      <c r="D114" s="24">
        <f>VLOOKUP(A114,Table1[[Country]:[Country Risk Premium]],4)</f>
        <v>2.1767594429291676E-2</v>
      </c>
      <c r="E114" s="24">
        <f t="shared" si="2"/>
        <v>6.5067594429291678E-2</v>
      </c>
      <c r="F114" s="57">
        <f>VLOOKUP(A114,'Country Tax Rates'!$A$2:$B$159,2)</f>
        <v>0.1</v>
      </c>
      <c r="G114" s="57">
        <f>VLOOKUP(A114,Table1[[Country]:[Country Risk Premium]],6)</f>
        <v>2.1767594429291676E-2</v>
      </c>
      <c r="H114" s="75"/>
      <c r="N114" s="163" t="s">
        <v>187</v>
      </c>
      <c r="O114" s="75">
        <v>74.25</v>
      </c>
    </row>
    <row r="115" spans="1:15">
      <c r="A115" s="46" t="str">
        <f>'ERPs by country'!A121</f>
        <v>Peru</v>
      </c>
      <c r="B115" s="127">
        <f t="shared" si="3"/>
        <v>70.25</v>
      </c>
      <c r="C115" s="24">
        <f>VLOOKUP(A115,Table1[[Country]:[Country Risk Premium]],5)</f>
        <v>5.9130977766757575E-2</v>
      </c>
      <c r="D115" s="24">
        <f>VLOOKUP(A115,Table1[[Country]:[Country Risk Premium]],4)</f>
        <v>1.5830977766757577E-2</v>
      </c>
      <c r="E115" s="24">
        <f t="shared" si="2"/>
        <v>5.9130977766757575E-2</v>
      </c>
      <c r="F115" s="57">
        <f>VLOOKUP(A115,'Country Tax Rates'!$A$2:$B$159,2)</f>
        <v>0.29499999999999998</v>
      </c>
      <c r="G115" s="57">
        <f>VLOOKUP(A115,Table1[[Country]:[Country Risk Premium]],6)</f>
        <v>1.5830977766757577E-2</v>
      </c>
      <c r="H115" s="75"/>
      <c r="N115" s="163" t="s">
        <v>310</v>
      </c>
      <c r="O115" s="75">
        <v>55.5</v>
      </c>
    </row>
    <row r="116" spans="1:15">
      <c r="A116" s="46" t="str">
        <f>'ERPs by country'!A122</f>
        <v>Philippines</v>
      </c>
      <c r="B116" s="127">
        <f t="shared" si="3"/>
        <v>71.5</v>
      </c>
      <c r="C116" s="24">
        <f>VLOOKUP(A116,Table1[[Country]:[Country Risk Premium]],5)</f>
        <v>6.2157488222167115E-2</v>
      </c>
      <c r="D116" s="24">
        <f>VLOOKUP(A116,Table1[[Country]:[Country Risk Premium]],4)</f>
        <v>1.885748822216712E-2</v>
      </c>
      <c r="E116" s="24">
        <f t="shared" si="2"/>
        <v>6.2157488222167115E-2</v>
      </c>
      <c r="F116" s="57">
        <f>VLOOKUP(A116,'Country Tax Rates'!$A$2:$B$159,2)</f>
        <v>0.25</v>
      </c>
      <c r="G116" s="57">
        <f>VLOOKUP(A116,Table1[[Country]:[Country Risk Premium]],6)</f>
        <v>1.885748822216712E-2</v>
      </c>
      <c r="H116" s="75"/>
      <c r="N116" s="163" t="s">
        <v>75</v>
      </c>
      <c r="O116" s="75">
        <v>68.5</v>
      </c>
    </row>
    <row r="117" spans="1:15">
      <c r="A117" s="46" t="str">
        <f>'ERPs by country'!A123</f>
        <v>Poland</v>
      </c>
      <c r="B117" s="127">
        <f t="shared" si="3"/>
        <v>76</v>
      </c>
      <c r="C117" s="24">
        <f>VLOOKUP(A117,Table1[[Country]:[Country Risk Premium]],5)</f>
        <v>5.1681105876518717E-2</v>
      </c>
      <c r="D117" s="24">
        <f>VLOOKUP(A117,Table1[[Country]:[Country Risk Premium]],4)</f>
        <v>8.3811058765187203E-3</v>
      </c>
      <c r="E117" s="24">
        <f t="shared" si="2"/>
        <v>5.1681105876518717E-2</v>
      </c>
      <c r="F117" s="57">
        <f>VLOOKUP(A117,'Country Tax Rates'!$A$2:$B$159,2)</f>
        <v>0.19</v>
      </c>
      <c r="G117" s="57">
        <f>VLOOKUP(A117,Table1[[Country]:[Country Risk Premium]],6)</f>
        <v>8.3811058765187203E-3</v>
      </c>
      <c r="H117" s="75"/>
      <c r="N117" s="163" t="s">
        <v>137</v>
      </c>
      <c r="O117" s="75">
        <v>72.75</v>
      </c>
    </row>
    <row r="118" spans="1:15">
      <c r="A118" s="46" t="str">
        <f>'ERPs by country'!A124</f>
        <v>Portugal</v>
      </c>
      <c r="B118" s="127">
        <f t="shared" si="3"/>
        <v>77.5</v>
      </c>
      <c r="C118" s="24">
        <f>VLOOKUP(A118,Table1[[Country]:[Country Risk Premium]],5)</f>
        <v>5.5173233325068183E-2</v>
      </c>
      <c r="D118" s="24">
        <f>VLOOKUP(A118,Table1[[Country]:[Country Risk Premium]],4)</f>
        <v>1.1873233325068186E-2</v>
      </c>
      <c r="E118" s="24">
        <f t="shared" si="2"/>
        <v>5.5173233325068183E-2</v>
      </c>
      <c r="F118" s="57">
        <f>VLOOKUP(A118,'Country Tax Rates'!$A$2:$B$159,2)</f>
        <v>0.21</v>
      </c>
      <c r="G118" s="57">
        <f>VLOOKUP(A118,Table1[[Country]:[Country Risk Premium]],6)</f>
        <v>1.1873233325068186E-2</v>
      </c>
      <c r="H118" s="75"/>
      <c r="N118" s="163" t="s">
        <v>133</v>
      </c>
      <c r="O118" s="75">
        <v>63.75</v>
      </c>
    </row>
    <row r="119" spans="1:15">
      <c r="A119" s="46" t="str">
        <f>'ERPs by country'!A125</f>
        <v>Qatar</v>
      </c>
      <c r="B119" s="127">
        <f t="shared" si="3"/>
        <v>80.25</v>
      </c>
      <c r="C119" s="24">
        <f>VLOOKUP(A119,Table1[[Country]:[Country Risk Premium]],5)</f>
        <v>4.8188978427969251E-2</v>
      </c>
      <c r="D119" s="24">
        <f>VLOOKUP(A119,Table1[[Country]:[Country Risk Premium]],4)</f>
        <v>4.8889784279692525E-3</v>
      </c>
      <c r="E119" s="24">
        <f t="shared" si="2"/>
        <v>4.8188978427969251E-2</v>
      </c>
      <c r="F119" s="57">
        <f>VLOOKUP(A119,'Country Tax Rates'!$A$2:$B$159,2)</f>
        <v>0.1</v>
      </c>
      <c r="G119" s="57">
        <f>VLOOKUP(A119,Table1[[Country]:[Country Risk Premium]],6)</f>
        <v>4.8889784279692525E-3</v>
      </c>
      <c r="H119" s="75"/>
      <c r="N119" s="163" t="s">
        <v>314</v>
      </c>
      <c r="O119" s="75">
        <v>43.5</v>
      </c>
    </row>
    <row r="120" spans="1:15">
      <c r="A120" s="46" t="str">
        <f>'ERPs by country'!A126</f>
        <v>Ras Al Khaimah (Emirate of)</v>
      </c>
      <c r="B120" s="127" t="e">
        <f t="shared" si="3"/>
        <v>#N/A</v>
      </c>
      <c r="C120" s="24">
        <f>VLOOKUP(A120,Table1[[Country]:[Country Risk Premium]],5)</f>
        <v>5.5173233325068183E-2</v>
      </c>
      <c r="D120" s="24">
        <f>VLOOKUP(A120,Table1[[Country]:[Country Risk Premium]],4)</f>
        <v>1.1873233325068186E-2</v>
      </c>
      <c r="E120" s="24">
        <f t="shared" si="2"/>
        <v>5.5173233325068183E-2</v>
      </c>
      <c r="F120" s="57">
        <f>VLOOKUP(A120,'Country Tax Rates'!$A$2:$B$159,2)</f>
        <v>0</v>
      </c>
      <c r="G120" s="57">
        <f>VLOOKUP(A120,Table1[[Country]:[Country Risk Premium]],6)</f>
        <v>1.1873233325068186E-2</v>
      </c>
      <c r="H120" s="75"/>
      <c r="N120" s="163" t="s">
        <v>33</v>
      </c>
      <c r="O120" s="75">
        <v>64.75</v>
      </c>
    </row>
    <row r="121" spans="1:15">
      <c r="A121" s="46" t="str">
        <f>'ERPs by country'!A127</f>
        <v>Romania</v>
      </c>
      <c r="B121" s="127">
        <f t="shared" si="3"/>
        <v>68.75</v>
      </c>
      <c r="C121" s="24">
        <f>VLOOKUP(A121,Table1[[Country]:[Country Risk Premium]],5)</f>
        <v>6.5067594429291678E-2</v>
      </c>
      <c r="D121" s="24">
        <f>VLOOKUP(A121,Table1[[Country]:[Country Risk Premium]],4)</f>
        <v>2.1767594429291676E-2</v>
      </c>
      <c r="E121" s="24">
        <f t="shared" si="2"/>
        <v>6.5067594429291678E-2</v>
      </c>
      <c r="F121" s="57">
        <f>VLOOKUP(A121,'Country Tax Rates'!$A$2:$B$159,2)</f>
        <v>0.16</v>
      </c>
      <c r="G121" s="57">
        <f>VLOOKUP(A121,Table1[[Country]:[Country Risk Premium]],6)</f>
        <v>2.1767594429291676E-2</v>
      </c>
      <c r="H121" s="75"/>
      <c r="N121" s="163" t="s">
        <v>34</v>
      </c>
      <c r="O121" s="75">
        <v>80.5</v>
      </c>
    </row>
    <row r="122" spans="1:15">
      <c r="A122" s="46" t="str">
        <f>'ERPs by country'!A128</f>
        <v>Rwanda</v>
      </c>
      <c r="B122" s="127" t="e">
        <f t="shared" si="3"/>
        <v>#N/A</v>
      </c>
      <c r="C122" s="24">
        <f>VLOOKUP(A122,Table1[[Country]:[Country Risk Premium]],5)</f>
        <v>9.7777188197371676E-2</v>
      </c>
      <c r="D122" s="24">
        <f>VLOOKUP(A122,Table1[[Country]:[Country Risk Premium]],4)</f>
        <v>5.4477188197371677E-2</v>
      </c>
      <c r="E122" s="24">
        <f t="shared" si="2"/>
        <v>9.7777188197371676E-2</v>
      </c>
      <c r="F122" s="57">
        <f>VLOOKUP(A122,'Country Tax Rates'!$A$2:$B$159,2)</f>
        <v>0.3</v>
      </c>
      <c r="G122" s="57">
        <f>VLOOKUP(A122,Table1[[Country]:[Country Risk Premium]],6)</f>
        <v>5.4477188197371677E-2</v>
      </c>
      <c r="H122" s="75"/>
      <c r="N122" s="163" t="s">
        <v>35</v>
      </c>
      <c r="O122" s="75">
        <v>87.5</v>
      </c>
    </row>
    <row r="123" spans="1:15">
      <c r="A123" s="46" t="str">
        <f>'ERPs by country'!A129</f>
        <v>Saudi Arabia</v>
      </c>
      <c r="B123" s="127">
        <f t="shared" si="3"/>
        <v>79.5</v>
      </c>
      <c r="C123" s="24">
        <f>VLOOKUP(A123,Table1[[Country]:[Country Risk Premium]],5)</f>
        <v>4.9236616662534094E-2</v>
      </c>
      <c r="D123" s="24">
        <f>VLOOKUP(A123,Table1[[Country]:[Country Risk Premium]],4)</f>
        <v>5.9366166625340932E-3</v>
      </c>
      <c r="E123" s="24">
        <f t="shared" si="2"/>
        <v>4.9236616662534094E-2</v>
      </c>
      <c r="F123" s="57">
        <f>VLOOKUP(A123,'Country Tax Rates'!$A$2:$B$159,2)</f>
        <v>0.2</v>
      </c>
      <c r="G123" s="57">
        <f>VLOOKUP(A123,Table1[[Country]:[Country Risk Premium]],6)</f>
        <v>5.9366166625340932E-3</v>
      </c>
      <c r="H123" s="75"/>
      <c r="N123" s="163" t="s">
        <v>311</v>
      </c>
      <c r="O123" s="75">
        <v>46.5</v>
      </c>
    </row>
    <row r="124" spans="1:15">
      <c r="A124" s="46" t="str">
        <f>'ERPs by country'!A130</f>
        <v>Senegal</v>
      </c>
      <c r="B124" s="127">
        <f t="shared" si="3"/>
        <v>61.5</v>
      </c>
      <c r="C124" s="24">
        <f>VLOOKUP(A124,Table1[[Country]:[Country Risk Premium]],5)</f>
        <v>8.788282709314818E-2</v>
      </c>
      <c r="D124" s="24">
        <f>VLOOKUP(A124,Table1[[Country]:[Country Risk Premium]],4)</f>
        <v>4.4582827093148182E-2</v>
      </c>
      <c r="E124" s="24">
        <f t="shared" si="2"/>
        <v>8.788282709314818E-2</v>
      </c>
      <c r="F124" s="57">
        <f>VLOOKUP(A124,'Country Tax Rates'!$A$2:$B$159,2)</f>
        <v>0.3</v>
      </c>
      <c r="G124" s="57">
        <f>VLOOKUP(A124,Table1[[Country]:[Country Risk Premium]],6)</f>
        <v>4.4582827093148182E-2</v>
      </c>
      <c r="H124" s="75"/>
      <c r="N124" s="163" t="s">
        <v>64</v>
      </c>
      <c r="O124" s="75">
        <v>85.75</v>
      </c>
    </row>
    <row r="125" spans="1:15">
      <c r="A125" s="46" t="str">
        <f>'ERPs by country'!A131</f>
        <v>Serbia</v>
      </c>
      <c r="B125" s="127" t="e">
        <f t="shared" si="3"/>
        <v>#N/A</v>
      </c>
      <c r="C125" s="24">
        <f>VLOOKUP(A125,Table1[[Country]:[Country Risk Premium]],5)</f>
        <v>7.309948756095544E-2</v>
      </c>
      <c r="D125" s="24">
        <f>VLOOKUP(A125,Table1[[Country]:[Country Risk Premium]],4)</f>
        <v>2.9799487560955448E-2</v>
      </c>
      <c r="E125" s="24">
        <f t="shared" si="2"/>
        <v>7.309948756095544E-2</v>
      </c>
      <c r="F125" s="57">
        <f>VLOOKUP(A125,'Country Tax Rates'!$A$2:$B$159,2)</f>
        <v>0.15</v>
      </c>
      <c r="G125" s="57">
        <f>VLOOKUP(A125,Table1[[Country]:[Country Risk Premium]],6)</f>
        <v>2.9799487560955448E-2</v>
      </c>
      <c r="H125" s="75"/>
      <c r="N125" s="163" t="s">
        <v>327</v>
      </c>
      <c r="O125" s="75">
        <v>66</v>
      </c>
    </row>
    <row r="126" spans="1:15">
      <c r="A126" s="46" t="str">
        <f>'ERPs by country'!A132</f>
        <v>Sharjah</v>
      </c>
      <c r="B126" s="127" t="e">
        <f t="shared" si="3"/>
        <v>#N/A</v>
      </c>
      <c r="C126" s="24">
        <f>VLOOKUP(A126,Table1[[Country]:[Country Risk Premium]],5)</f>
        <v>6.8094104884701218E-2</v>
      </c>
      <c r="D126" s="24">
        <f>VLOOKUP(A126,Table1[[Country]:[Country Risk Premium]],4)</f>
        <v>2.4794104884701216E-2</v>
      </c>
      <c r="E126" s="24">
        <f t="shared" si="2"/>
        <v>6.8094104884701218E-2</v>
      </c>
      <c r="F126" s="57">
        <f>VLOOKUP(A126,'Country Tax Rates'!$A$2:$B$159,2)</f>
        <v>0</v>
      </c>
      <c r="G126" s="57">
        <f>VLOOKUP(A126,Table1[[Country]:[Country Risk Premium]],6)</f>
        <v>2.4794104884701216E-2</v>
      </c>
      <c r="H126" s="75"/>
      <c r="N126" s="163" t="s">
        <v>65</v>
      </c>
      <c r="O126" s="75">
        <v>71.25</v>
      </c>
    </row>
    <row r="127" spans="1:15">
      <c r="A127" s="46" t="str">
        <f>'ERPs by country'!A133</f>
        <v>Singapore</v>
      </c>
      <c r="B127" s="127">
        <f t="shared" si="3"/>
        <v>86.75</v>
      </c>
      <c r="C127" s="24">
        <f>VLOOKUP(A127,Table1[[Country]:[Country Risk Premium]],5)</f>
        <v>4.3299999999999998E-2</v>
      </c>
      <c r="D127" s="24">
        <f>VLOOKUP(A127,Table1[[Country]:[Country Risk Premium]],4)</f>
        <v>0</v>
      </c>
      <c r="E127" s="24">
        <f t="shared" si="2"/>
        <v>4.3299999999999998E-2</v>
      </c>
      <c r="F127" s="57">
        <f>VLOOKUP(A127,'Country Tax Rates'!$A$2:$B$159,2)</f>
        <v>0.17</v>
      </c>
      <c r="G127" s="57">
        <f>VLOOKUP(A127,Table1[[Country]:[Country Risk Premium]],6)</f>
        <v>0</v>
      </c>
      <c r="H127" s="75"/>
      <c r="N127" s="163" t="s">
        <v>319</v>
      </c>
      <c r="O127" s="75">
        <v>63</v>
      </c>
    </row>
    <row r="128" spans="1:15">
      <c r="A128" s="46" t="str">
        <f>'ERPs by country'!A134</f>
        <v>Slovakia</v>
      </c>
      <c r="B128" s="127">
        <f t="shared" si="3"/>
        <v>67.75</v>
      </c>
      <c r="C128" s="24">
        <f>VLOOKUP(A128,Table1[[Country]:[Country Risk Premium]],5)</f>
        <v>5.5173233325068183E-2</v>
      </c>
      <c r="D128" s="24">
        <f>VLOOKUP(A128,Table1[[Country]:[Country Risk Premium]],4)</f>
        <v>1.1873233325068186E-2</v>
      </c>
      <c r="E128" s="24">
        <f t="shared" si="2"/>
        <v>5.5173233325068183E-2</v>
      </c>
      <c r="F128" s="57">
        <f>VLOOKUP(A128,'Country Tax Rates'!$A$2:$B$159,2)</f>
        <v>0.21</v>
      </c>
      <c r="G128" s="57">
        <f>VLOOKUP(A128,Table1[[Country]:[Country Risk Premium]],6)</f>
        <v>1.1873233325068186E-2</v>
      </c>
      <c r="H128" s="75"/>
      <c r="N128" s="163" t="s">
        <v>460</v>
      </c>
      <c r="O128" s="75">
        <v>77</v>
      </c>
    </row>
    <row r="129" spans="1:15">
      <c r="A129" s="46" t="str">
        <f>'ERPs by country'!A135</f>
        <v>Slovenia</v>
      </c>
      <c r="B129" s="127">
        <f t="shared" si="3"/>
        <v>74.25</v>
      </c>
      <c r="C129" s="24">
        <f>VLOOKUP(A129,Table1[[Country]:[Country Risk Premium]],5)</f>
        <v>5.5173233325068183E-2</v>
      </c>
      <c r="D129" s="24">
        <f>VLOOKUP(A129,Table1[[Country]:[Country Risk Premium]],4)</f>
        <v>1.1873233325068186E-2</v>
      </c>
      <c r="E129" s="24">
        <f t="shared" si="2"/>
        <v>5.5173233325068183E-2</v>
      </c>
      <c r="F129" s="57">
        <f>VLOOKUP(A129,'Country Tax Rates'!$A$2:$B$159,2)</f>
        <v>0.19</v>
      </c>
      <c r="G129" s="57">
        <f>VLOOKUP(A129,Table1[[Country]:[Country Risk Premium]],6)</f>
        <v>1.1873233325068186E-2</v>
      </c>
      <c r="H129" s="75"/>
      <c r="N129" s="163" t="s">
        <v>76</v>
      </c>
      <c r="O129" s="75">
        <v>62</v>
      </c>
    </row>
    <row r="130" spans="1:15">
      <c r="A130" s="46" t="str">
        <f>'ERPs by country'!A136</f>
        <v>Solomon Islands</v>
      </c>
      <c r="B130" s="127" t="e">
        <f t="shared" si="3"/>
        <v>#N/A</v>
      </c>
      <c r="C130" s="24">
        <f>VLOOKUP(A130,Table1[[Country]:[Country Risk Premium]],5)</f>
        <v>0.11756591040581865</v>
      </c>
      <c r="D130" s="24">
        <f>VLOOKUP(A130,Table1[[Country]:[Country Risk Premium]],4)</f>
        <v>7.4265910405818647E-2</v>
      </c>
      <c r="E130" s="24">
        <f t="shared" si="2"/>
        <v>0.11756591040581865</v>
      </c>
      <c r="F130" s="57">
        <f>VLOOKUP(A130,'Country Tax Rates'!$A$2:$B$159,2)</f>
        <v>0.3</v>
      </c>
      <c r="G130" s="57">
        <f>VLOOKUP(A130,Table1[[Country]:[Country Risk Premium]],6)</f>
        <v>7.4265910405818647E-2</v>
      </c>
      <c r="H130" s="75"/>
      <c r="N130" s="163" t="s">
        <v>66</v>
      </c>
      <c r="O130" s="75">
        <v>60</v>
      </c>
    </row>
    <row r="131" spans="1:15">
      <c r="A131" s="46" t="str">
        <f>'ERPs by country'!A137</f>
        <v>South Africa</v>
      </c>
      <c r="B131" s="127">
        <f t="shared" si="3"/>
        <v>68.5</v>
      </c>
      <c r="C131" s="24">
        <f>VLOOKUP(A131,Table1[[Country]:[Country Risk Premium]],5)</f>
        <v>7.309948756095544E-2</v>
      </c>
      <c r="D131" s="24">
        <f>VLOOKUP(A131,Table1[[Country]:[Country Risk Premium]],4)</f>
        <v>2.9799487560955448E-2</v>
      </c>
      <c r="E131" s="24">
        <f t="shared" ref="E131:E158" si="5">C131</f>
        <v>7.309948756095544E-2</v>
      </c>
      <c r="F131" s="57">
        <f>VLOOKUP(A131,'Country Tax Rates'!$A$2:$B$159,2)</f>
        <v>0.27</v>
      </c>
      <c r="G131" s="57">
        <f>VLOOKUP(A131,Table1[[Country]:[Country Risk Premium]],6)</f>
        <v>2.9799487560955448E-2</v>
      </c>
      <c r="H131" s="75"/>
      <c r="N131" s="163" t="s">
        <v>225</v>
      </c>
      <c r="O131" s="75">
        <v>61.25</v>
      </c>
    </row>
    <row r="132" spans="1:15">
      <c r="A132" s="46" t="str">
        <f>'ERPs by country'!A138</f>
        <v>Spain</v>
      </c>
      <c r="B132" s="127">
        <f t="shared" si="3"/>
        <v>72.75</v>
      </c>
      <c r="C132" s="24">
        <f>VLOOKUP(A132,Table1[[Country]:[Country Risk Premium]],5)</f>
        <v>5.9130977766757575E-2</v>
      </c>
      <c r="D132" s="24">
        <f>VLOOKUP(A132,Table1[[Country]:[Country Risk Premium]],4)</f>
        <v>1.5830977766757577E-2</v>
      </c>
      <c r="E132" s="24">
        <f t="shared" si="5"/>
        <v>5.9130977766757575E-2</v>
      </c>
      <c r="F132" s="57">
        <f>VLOOKUP(A132,'Country Tax Rates'!$A$2:$B$159,2)</f>
        <v>0.25</v>
      </c>
      <c r="G132" s="57">
        <f>VLOOKUP(A132,Table1[[Country]:[Country Risk Premium]],6)</f>
        <v>1.5830977766757577E-2</v>
      </c>
      <c r="H132" s="75"/>
      <c r="N132" s="163" t="s">
        <v>68</v>
      </c>
      <c r="O132" s="75">
        <v>61.5</v>
      </c>
    </row>
    <row r="133" spans="1:15">
      <c r="A133" s="46" t="str">
        <f>'ERPs by country'!A139</f>
        <v>Sri Lanka</v>
      </c>
      <c r="B133" s="127">
        <f t="shared" ref="B133:B158" si="6">VLOOKUP(A133,$N$2:$O$142,2,FALSE)</f>
        <v>63.75</v>
      </c>
      <c r="C133" s="24">
        <f>VLOOKUP(A133,Table1[[Country]:[Country Risk Premium]],5)</f>
        <v>0.16214873749896686</v>
      </c>
      <c r="D133" s="24">
        <f>VLOOKUP(A133,Table1[[Country]:[Country Risk Premium]],4)</f>
        <v>0.11884873749896685</v>
      </c>
      <c r="E133" s="24">
        <f t="shared" si="5"/>
        <v>0.16214873749896686</v>
      </c>
      <c r="F133" s="57">
        <f>VLOOKUP(A133,'Country Tax Rates'!$A$2:$B$159,2)</f>
        <v>0.24</v>
      </c>
      <c r="G133" s="57">
        <f>VLOOKUP(A133,Table1[[Country]:[Country Risk Premium]],6)</f>
        <v>0.11884873749896685</v>
      </c>
      <c r="H133" s="75"/>
      <c r="N133" s="163" t="s">
        <v>60</v>
      </c>
      <c r="O133" s="75">
        <v>80.75</v>
      </c>
    </row>
    <row r="134" spans="1:15">
      <c r="A134" s="46" t="str">
        <f>'ERPs by country'!A140</f>
        <v>St. Maarten</v>
      </c>
      <c r="B134" s="127" t="e">
        <f t="shared" si="6"/>
        <v>#N/A</v>
      </c>
      <c r="C134" s="24">
        <f>VLOOKUP(A134,Table1[[Country]:[Country Risk Premium]],5)</f>
        <v>7.309948756095544E-2</v>
      </c>
      <c r="D134" s="24">
        <f>VLOOKUP(A134,Table1[[Country]:[Country Risk Premium]],4)</f>
        <v>2.9799487560955448E-2</v>
      </c>
      <c r="E134" s="24">
        <f t="shared" si="5"/>
        <v>7.309948756095544E-2</v>
      </c>
      <c r="F134" s="57">
        <f>VLOOKUP(A134,'Country Tax Rates'!$A$2:$B$159,2)</f>
        <v>0.2853</v>
      </c>
      <c r="G134" s="57">
        <f>VLOOKUP(A134,Table1[[Country]:[Country Risk Premium]],6)</f>
        <v>2.9799487560955448E-2</v>
      </c>
      <c r="H134" s="75"/>
      <c r="N134" s="163" t="s">
        <v>57</v>
      </c>
      <c r="O134" s="75">
        <v>77.25</v>
      </c>
    </row>
    <row r="135" spans="1:15">
      <c r="A135" s="46" t="str">
        <f>'ERPs by country'!A141</f>
        <v>St. Vincent &amp; the Grenadines</v>
      </c>
      <c r="B135" s="127" t="e">
        <f t="shared" si="6"/>
        <v>#N/A</v>
      </c>
      <c r="C135" s="24">
        <f>VLOOKUP(A135,Table1[[Country]:[Country Risk Premium]],5)</f>
        <v>0.10767154930159514</v>
      </c>
      <c r="D135" s="24">
        <f>VLOOKUP(A135,Table1[[Country]:[Country Risk Premium]],4)</f>
        <v>6.4371549301595152E-2</v>
      </c>
      <c r="E135" s="24">
        <f t="shared" si="5"/>
        <v>0.10767154930159514</v>
      </c>
      <c r="F135" s="57">
        <f>VLOOKUP(A135,'Country Tax Rates'!$A$2:$B$159,2)</f>
        <v>0.2853</v>
      </c>
      <c r="G135" s="57">
        <f>VLOOKUP(A135,Table1[[Country]:[Country Risk Premium]],6)</f>
        <v>6.4371549301595152E-2</v>
      </c>
      <c r="H135" s="75"/>
      <c r="N135" s="163" t="s">
        <v>348</v>
      </c>
      <c r="O135" s="75">
        <v>73.25</v>
      </c>
    </row>
    <row r="136" spans="1:15">
      <c r="A136" s="46" t="str">
        <f>'ERPs by country'!A142</f>
        <v>Suriname</v>
      </c>
      <c r="B136" s="127">
        <f t="shared" si="6"/>
        <v>64.75</v>
      </c>
      <c r="C136" s="24">
        <f>VLOOKUP(A136,Table1[[Country]:[Country Risk Premium]],5)</f>
        <v>0.11756591040581865</v>
      </c>
      <c r="D136" s="24">
        <f>VLOOKUP(A136,Table1[[Country]:[Country Risk Premium]],4)</f>
        <v>7.4265910405818647E-2</v>
      </c>
      <c r="E136" s="24">
        <f t="shared" si="5"/>
        <v>0.11756591040581865</v>
      </c>
      <c r="F136" s="57">
        <f>VLOOKUP(A136,'Country Tax Rates'!$A$2:$B$159,2)</f>
        <v>0.36</v>
      </c>
      <c r="G136" s="57">
        <f>VLOOKUP(A136,Table1[[Country]:[Country Risk Premium]],6)</f>
        <v>7.4265910405818647E-2</v>
      </c>
      <c r="H136" s="75"/>
      <c r="N136" s="163" t="s">
        <v>69</v>
      </c>
      <c r="O136" s="75">
        <v>75.5</v>
      </c>
    </row>
    <row r="137" spans="1:15">
      <c r="A137" s="46" t="str">
        <f>'ERPs by country'!A143</f>
        <v>Swaziland</v>
      </c>
      <c r="B137" s="127" t="e">
        <f t="shared" si="6"/>
        <v>#N/A</v>
      </c>
      <c r="C137" s="24">
        <f>VLOOKUP(A137,Table1[[Country]:[Country Risk Premium]],5)</f>
        <v>9.7777188197371676E-2</v>
      </c>
      <c r="D137" s="24">
        <f>VLOOKUP(A137,Table1[[Country]:[Country Risk Premium]],4)</f>
        <v>5.4477188197371677E-2</v>
      </c>
      <c r="E137" s="24">
        <f t="shared" si="5"/>
        <v>9.7777188197371676E-2</v>
      </c>
      <c r="F137" s="57">
        <f>VLOOKUP(A137,'Country Tax Rates'!$A$2:$B$159,2)</f>
        <v>0.27500000000000002</v>
      </c>
      <c r="G137" s="57">
        <f>VLOOKUP(A137,Table1[[Country]:[Country Risk Premium]],6)</f>
        <v>5.4477188197371677E-2</v>
      </c>
      <c r="H137" s="75"/>
      <c r="N137" s="163" t="s">
        <v>371</v>
      </c>
      <c r="O137" s="75">
        <v>75.75</v>
      </c>
    </row>
    <row r="138" spans="1:15">
      <c r="A138" s="46" t="str">
        <f>'ERPs by country'!A144</f>
        <v>Sweden</v>
      </c>
      <c r="B138" s="127">
        <f t="shared" si="6"/>
        <v>80.5</v>
      </c>
      <c r="C138" s="24">
        <f>VLOOKUP(A138,Table1[[Country]:[Country Risk Premium]],5)</f>
        <v>4.3299999999999998E-2</v>
      </c>
      <c r="D138" s="24">
        <f>VLOOKUP(A138,Table1[[Country]:[Country Risk Premium]],4)</f>
        <v>0</v>
      </c>
      <c r="E138" s="24">
        <f t="shared" si="5"/>
        <v>4.3299999999999998E-2</v>
      </c>
      <c r="F138" s="57">
        <f>VLOOKUP(A138,'Country Tax Rates'!$A$2:$B$159,2)</f>
        <v>0.20600000000000002</v>
      </c>
      <c r="G138" s="57">
        <f>VLOOKUP(A138,Table1[[Country]:[Country Risk Premium]],6)</f>
        <v>0</v>
      </c>
      <c r="N138" s="163" t="s">
        <v>70</v>
      </c>
      <c r="O138" s="75">
        <v>58</v>
      </c>
    </row>
    <row r="139" spans="1:15">
      <c r="A139" s="46" t="str">
        <f>'ERPs by country'!A145</f>
        <v>Switzerland</v>
      </c>
      <c r="B139" s="127">
        <f t="shared" si="6"/>
        <v>87.5</v>
      </c>
      <c r="C139" s="24">
        <f>VLOOKUP(A139,Table1[[Country]:[Country Risk Premium]],5)</f>
        <v>4.3299999999999998E-2</v>
      </c>
      <c r="D139" s="24">
        <f>VLOOKUP(A139,Table1[[Country]:[Country Risk Premium]],4)</f>
        <v>0</v>
      </c>
      <c r="E139" s="24">
        <f t="shared" si="5"/>
        <v>4.3299999999999998E-2</v>
      </c>
      <c r="F139" s="57">
        <f>VLOOKUP(A139,'Country Tax Rates'!$A$2:$B$159,2)</f>
        <v>0.14599999999999999</v>
      </c>
      <c r="G139" s="57">
        <f>VLOOKUP(A139,Table1[[Country]:[Country Risk Premium]],6)</f>
        <v>0</v>
      </c>
      <c r="N139" s="163" t="s">
        <v>71</v>
      </c>
      <c r="O139" s="75">
        <v>71.5</v>
      </c>
    </row>
    <row r="140" spans="1:15">
      <c r="A140" s="46" t="str">
        <f>'ERPs by country'!A146</f>
        <v>Taiwan</v>
      </c>
      <c r="B140" s="127">
        <f t="shared" si="6"/>
        <v>85.75</v>
      </c>
      <c r="C140" s="24">
        <f>VLOOKUP(A140,Table1[[Country]:[Country Risk Premium]],5)</f>
        <v>4.9236616662534094E-2</v>
      </c>
      <c r="D140" s="24">
        <f>VLOOKUP(A140,Table1[[Country]:[Country Risk Premium]],4)</f>
        <v>5.9366166625340932E-3</v>
      </c>
      <c r="E140" s="24">
        <f t="shared" si="5"/>
        <v>4.9236616662534094E-2</v>
      </c>
      <c r="F140" s="57">
        <f>VLOOKUP(A140,'Country Tax Rates'!$A$2:$B$159,2)</f>
        <v>0.2</v>
      </c>
      <c r="G140" s="57">
        <f>VLOOKUP(A140,Table1[[Country]:[Country Risk Premium]],6)</f>
        <v>5.9366166625340932E-3</v>
      </c>
      <c r="N140" s="163" t="s">
        <v>318</v>
      </c>
      <c r="O140" s="75">
        <v>51.5</v>
      </c>
    </row>
    <row r="141" spans="1:15">
      <c r="A141" s="46" t="str">
        <f>'ERPs by country'!A147</f>
        <v>Tajikistan</v>
      </c>
      <c r="B141" s="127" t="e">
        <f t="shared" si="6"/>
        <v>#N/A</v>
      </c>
      <c r="C141" s="24">
        <f>VLOOKUP(A141,Table1[[Country]:[Country Risk Premium]],5)</f>
        <v>0.10767154930159514</v>
      </c>
      <c r="D141" s="24">
        <f>VLOOKUP(A141,Table1[[Country]:[Country Risk Premium]],4)</f>
        <v>6.4371549301595152E-2</v>
      </c>
      <c r="E141" s="24">
        <f t="shared" si="5"/>
        <v>0.10767154930159514</v>
      </c>
      <c r="F141" s="57">
        <f>VLOOKUP(A141,'Country Tax Rates'!$A$2:$B$159,2)</f>
        <v>0.18</v>
      </c>
      <c r="G141" s="57">
        <f>VLOOKUP(A141,Table1[[Country]:[Country Risk Premium]],6)</f>
        <v>6.4371549301595152E-2</v>
      </c>
      <c r="N141" s="163" t="s">
        <v>189</v>
      </c>
      <c r="O141" s="75">
        <v>67.75</v>
      </c>
    </row>
    <row r="142" spans="1:15">
      <c r="A142" s="46" t="str">
        <f>'ERPs by country'!A148</f>
        <v>Tanzania</v>
      </c>
      <c r="B142" s="127">
        <f t="shared" si="6"/>
        <v>66</v>
      </c>
      <c r="C142" s="24">
        <f>VLOOKUP(A142,Table1[[Country]:[Country Risk Premium]],5)</f>
        <v>8.788282709314818E-2</v>
      </c>
      <c r="D142" s="24">
        <f>VLOOKUP(A142,Table1[[Country]:[Country Risk Premium]],4)</f>
        <v>4.4582827093148182E-2</v>
      </c>
      <c r="E142" s="24">
        <f t="shared" si="5"/>
        <v>8.788282709314818E-2</v>
      </c>
      <c r="F142" s="57">
        <f>VLOOKUP(A142,'Country Tax Rates'!$A$2:$B$159,2)</f>
        <v>0.3</v>
      </c>
      <c r="G142" s="57">
        <f>VLOOKUP(A142,Table1[[Country]:[Country Risk Premium]],6)</f>
        <v>4.4582827093148182E-2</v>
      </c>
      <c r="N142" s="163" t="s">
        <v>315</v>
      </c>
      <c r="O142" s="75">
        <v>57.75</v>
      </c>
    </row>
    <row r="143" spans="1:15">
      <c r="A143" s="46" t="str">
        <f>'ERPs by country'!A149</f>
        <v>Thailand</v>
      </c>
      <c r="B143" s="127">
        <f t="shared" si="6"/>
        <v>71.25</v>
      </c>
      <c r="C143" s="24">
        <f>VLOOKUP(A143,Table1[[Country]:[Country Risk Premium]],5)</f>
        <v>5.9130977766757575E-2</v>
      </c>
      <c r="D143" s="24">
        <f>VLOOKUP(A143,Table1[[Country]:[Country Risk Premium]],4)</f>
        <v>1.5830977766757577E-2</v>
      </c>
      <c r="E143" s="24">
        <f t="shared" si="5"/>
        <v>5.9130977766757575E-2</v>
      </c>
      <c r="F143" s="57">
        <f>VLOOKUP(A143,'Country Tax Rates'!$A$2:$B$159,2)</f>
        <v>0.2</v>
      </c>
      <c r="G143" s="57">
        <f>VLOOKUP(A143,Table1[[Country]:[Country Risk Premium]],6)</f>
        <v>1.5830977766757577E-2</v>
      </c>
    </row>
    <row r="144" spans="1:15">
      <c r="A144" s="46" t="str">
        <f>'ERPs by country'!A150</f>
        <v>Togo</v>
      </c>
      <c r="B144" s="127">
        <f t="shared" si="6"/>
        <v>63</v>
      </c>
      <c r="C144" s="24">
        <f>VLOOKUP(A144,Table1[[Country]:[Country Risk Premium]],5)</f>
        <v>0.10767154930159514</v>
      </c>
      <c r="D144" s="24">
        <f>VLOOKUP(A144,Table1[[Country]:[Country Risk Premium]],4)</f>
        <v>6.4371549301595152E-2</v>
      </c>
      <c r="E144" s="24">
        <f t="shared" si="5"/>
        <v>0.10767154930159514</v>
      </c>
      <c r="F144" s="57">
        <f>VLOOKUP(A144,'Country Tax Rates'!$A$2:$B$159,2)</f>
        <v>0.26860000000000001</v>
      </c>
      <c r="G144" s="57">
        <f>VLOOKUP(A144,Table1[[Country]:[Country Risk Premium]],6)</f>
        <v>6.4371549301595152E-2</v>
      </c>
    </row>
    <row r="145" spans="1:11">
      <c r="A145" s="46" t="str">
        <f>'ERPs by country'!A151</f>
        <v>Trinidad and Tobago</v>
      </c>
      <c r="B145" s="127" t="e">
        <f t="shared" si="6"/>
        <v>#N/A</v>
      </c>
      <c r="C145" s="24">
        <f>VLOOKUP(A145,Table1[[Country]:[Country Risk Premium]],5)</f>
        <v>7.309948756095544E-2</v>
      </c>
      <c r="D145" s="24">
        <f>VLOOKUP(A145,Table1[[Country]:[Country Risk Premium]],4)</f>
        <v>2.9799487560955448E-2</v>
      </c>
      <c r="E145" s="24">
        <f t="shared" si="5"/>
        <v>7.309948756095544E-2</v>
      </c>
      <c r="F145" s="57">
        <f>VLOOKUP(A145,'Country Tax Rates'!$A$2:$B$159,2)</f>
        <v>0.3</v>
      </c>
      <c r="G145" s="57">
        <f>VLOOKUP(A145,Table1[[Country]:[Country Risk Premium]],6)</f>
        <v>2.9799487560955448E-2</v>
      </c>
    </row>
    <row r="146" spans="1:11">
      <c r="A146" s="46" t="str">
        <f>'ERPs by country'!A152</f>
        <v>Tunisia</v>
      </c>
      <c r="B146" s="127">
        <f t="shared" si="6"/>
        <v>62</v>
      </c>
      <c r="C146" s="24">
        <f>VLOOKUP(A146,Table1[[Country]:[Country Risk Premium]],5)</f>
        <v>0.13246565418629636</v>
      </c>
      <c r="D146" s="24">
        <f>VLOOKUP(A146,Table1[[Country]:[Country Risk Premium]],4)</f>
        <v>8.9165654186296364E-2</v>
      </c>
      <c r="E146" s="24">
        <f t="shared" si="5"/>
        <v>0.13246565418629636</v>
      </c>
      <c r="F146" s="57">
        <f>VLOOKUP(A146,'Country Tax Rates'!$A$2:$B$159,2)</f>
        <v>0.15</v>
      </c>
      <c r="G146" s="57">
        <f>VLOOKUP(A146,Table1[[Country]:[Country Risk Premium]],6)</f>
        <v>8.9165654186296364E-2</v>
      </c>
    </row>
    <row r="147" spans="1:11">
      <c r="A147" s="46" t="str">
        <f>'ERPs by country'!A153</f>
        <v>Turkey</v>
      </c>
      <c r="B147" s="127">
        <f t="shared" si="6"/>
        <v>60</v>
      </c>
      <c r="C147" s="24">
        <f>VLOOKUP(A147,Table1[[Country]:[Country Risk Premium]],5)</f>
        <v>8.788282709314818E-2</v>
      </c>
      <c r="D147" s="24">
        <f>VLOOKUP(A147,Table1[[Country]:[Country Risk Premium]],4)</f>
        <v>4.4582827093148182E-2</v>
      </c>
      <c r="E147" s="24">
        <f t="shared" si="5"/>
        <v>8.788282709314818E-2</v>
      </c>
      <c r="F147" s="57">
        <f>VLOOKUP(A147,'Country Tax Rates'!$A$2:$B$159,2)</f>
        <v>0.25</v>
      </c>
      <c r="G147" s="57">
        <f>VLOOKUP(A147,Table1[[Country]:[Country Risk Premium]],6)</f>
        <v>4.4582827093148182E-2</v>
      </c>
    </row>
    <row r="148" spans="1:11">
      <c r="A148" s="46" t="str">
        <f>'ERPs by country'!A154</f>
        <v>Turks and Caicos Islands</v>
      </c>
      <c r="B148" s="127" t="e">
        <f t="shared" si="6"/>
        <v>#N/A</v>
      </c>
      <c r="C148" s="24">
        <f>VLOOKUP(A148,Table1[[Country]:[Country Risk Premium]],5)</f>
        <v>5.9130977766757575E-2</v>
      </c>
      <c r="D148" s="24">
        <f>VLOOKUP(A148,Table1[[Country]:[Country Risk Premium]],4)</f>
        <v>1.5830977766757577E-2</v>
      </c>
      <c r="E148" s="24">
        <f t="shared" si="5"/>
        <v>5.9130977766757575E-2</v>
      </c>
      <c r="F148" s="57">
        <f>VLOOKUP(A148,'Country Tax Rates'!$A$2:$B$159,2)</f>
        <v>0</v>
      </c>
      <c r="G148" s="57">
        <f>VLOOKUP(A148,Table1[[Country]:[Country Risk Premium]],6)</f>
        <v>1.5830977766757577E-2</v>
      </c>
    </row>
    <row r="149" spans="1:11">
      <c r="A149" s="46" t="str">
        <f>'ERPs by country'!A155</f>
        <v>Uganda</v>
      </c>
      <c r="B149" s="127">
        <f t="shared" si="6"/>
        <v>61.25</v>
      </c>
      <c r="C149" s="24">
        <f>VLOOKUP(A149,Table1[[Country]:[Country Risk Premium]],5)</f>
        <v>0.10767154930159514</v>
      </c>
      <c r="D149" s="24">
        <f>VLOOKUP(A149,Table1[[Country]:[Country Risk Premium]],4)</f>
        <v>6.4371549301595152E-2</v>
      </c>
      <c r="E149" s="24">
        <f t="shared" si="5"/>
        <v>0.10767154930159514</v>
      </c>
      <c r="F149" s="57">
        <f>VLOOKUP(A149,'Country Tax Rates'!$A$2:$B$159,2)</f>
        <v>0.3</v>
      </c>
      <c r="G149" s="57">
        <f>VLOOKUP(A149,Table1[[Country]:[Country Risk Premium]],6)</f>
        <v>6.4371549301595152E-2</v>
      </c>
    </row>
    <row r="150" spans="1:11">
      <c r="A150" s="46" t="str">
        <f>'ERPs by country'!A156</f>
        <v>Ukraine</v>
      </c>
      <c r="B150" s="127">
        <f t="shared" si="6"/>
        <v>61.5</v>
      </c>
      <c r="C150" s="24">
        <f>VLOOKUP(A150,Table1[[Country]:[Country Risk Premium]],5)</f>
        <v>0.16214873749896686</v>
      </c>
      <c r="D150" s="24">
        <f>VLOOKUP(A150,Table1[[Country]:[Country Risk Premium]],4)</f>
        <v>0.11884873749896685</v>
      </c>
      <c r="E150" s="24">
        <f t="shared" si="5"/>
        <v>0.16214873749896686</v>
      </c>
      <c r="F150" s="57">
        <f>VLOOKUP(A150,'Country Tax Rates'!$A$2:$B$159,2)</f>
        <v>0.18</v>
      </c>
      <c r="G150" s="57">
        <f>VLOOKUP(A150,Table1[[Country]:[Country Risk Premium]],6)</f>
        <v>0.11884873749896685</v>
      </c>
    </row>
    <row r="151" spans="1:11">
      <c r="A151" s="46" t="str">
        <f>'ERPs by country'!A157</f>
        <v>United Arab Emirates</v>
      </c>
      <c r="B151" s="127">
        <f t="shared" si="6"/>
        <v>80.75</v>
      </c>
      <c r="C151" s="24">
        <f>VLOOKUP(A151,Table1[[Country]:[Country Risk Premium]],5)</f>
        <v>4.8188978427969251E-2</v>
      </c>
      <c r="D151" s="24">
        <f>VLOOKUP(A151,Table1[[Country]:[Country Risk Premium]],4)</f>
        <v>4.8889784279692525E-3</v>
      </c>
      <c r="E151" s="24">
        <f t="shared" si="5"/>
        <v>4.8188978427969251E-2</v>
      </c>
      <c r="F151" s="57">
        <f>VLOOKUP(A151,'Country Tax Rates'!$A$2:$B$159,2)</f>
        <v>0.25</v>
      </c>
      <c r="G151" s="57">
        <f>VLOOKUP(A151,Table1[[Country]:[Country Risk Premium]],6)</f>
        <v>4.8889784279692525E-3</v>
      </c>
    </row>
    <row r="152" spans="1:11">
      <c r="A152" s="46" t="str">
        <f>'ERPs by country'!A158</f>
        <v>United Kingdom</v>
      </c>
      <c r="B152" s="127">
        <f t="shared" si="6"/>
        <v>77.25</v>
      </c>
      <c r="C152" s="24">
        <f>VLOOKUP(A152,Table1[[Country]:[Country Risk Premium]],5)</f>
        <v>4.9236616662534094E-2</v>
      </c>
      <c r="D152" s="24">
        <f>VLOOKUP(A152,Table1[[Country]:[Country Risk Premium]],4)</f>
        <v>5.9366166625340932E-3</v>
      </c>
      <c r="E152" s="24">
        <f t="shared" si="5"/>
        <v>4.9236616662534094E-2</v>
      </c>
      <c r="F152" s="57">
        <f>VLOOKUP(A152,'Country Tax Rates'!$A$2:$B$159,2)</f>
        <v>0.25</v>
      </c>
      <c r="G152" s="57">
        <f>VLOOKUP(A152,Table1[[Country]:[Country Risk Premium]],6)</f>
        <v>5.9366166625340932E-3</v>
      </c>
    </row>
    <row r="153" spans="1:11">
      <c r="A153" s="46" t="str">
        <f>'ERPs by country'!A159</f>
        <v>United States</v>
      </c>
      <c r="B153" s="127">
        <f t="shared" si="6"/>
        <v>73.25</v>
      </c>
      <c r="C153" s="24">
        <f>VLOOKUP(A153,Table1[[Country]:[Country Risk Premium]],5)</f>
        <v>4.3299999999999998E-2</v>
      </c>
      <c r="D153" s="24">
        <f>VLOOKUP(A153,Table1[[Country]:[Country Risk Premium]],4)</f>
        <v>0</v>
      </c>
      <c r="E153" s="24">
        <f t="shared" si="5"/>
        <v>4.3299999999999998E-2</v>
      </c>
      <c r="F153" s="57">
        <f>VLOOKUP(A153,'Country Tax Rates'!$A$2:$B$159,2)</f>
        <v>0.25</v>
      </c>
      <c r="G153" s="57">
        <f>VLOOKUP(A153,Table1[[Country]:[Country Risk Premium]],6)</f>
        <v>0</v>
      </c>
    </row>
    <row r="154" spans="1:11">
      <c r="A154" s="46" t="str">
        <f>'ERPs by country'!A160</f>
        <v>Uruguay</v>
      </c>
      <c r="B154" s="127">
        <f t="shared" si="6"/>
        <v>75.5</v>
      </c>
      <c r="C154" s="24">
        <f>VLOOKUP(A154,Table1[[Country]:[Country Risk Premium]],5)</f>
        <v>5.9130977766757575E-2</v>
      </c>
      <c r="D154" s="24">
        <f>VLOOKUP(A154,Table1[[Country]:[Country Risk Premium]],4)</f>
        <v>1.5830977766757577E-2</v>
      </c>
      <c r="E154" s="24">
        <f t="shared" si="5"/>
        <v>5.9130977766757575E-2</v>
      </c>
      <c r="F154" s="57">
        <f>VLOOKUP(A154,'Country Tax Rates'!$A$2:$B$159,2)</f>
        <v>0.25</v>
      </c>
      <c r="G154" s="57">
        <f>VLOOKUP(A154,Table1[[Country]:[Country Risk Premium]],6)</f>
        <v>1.5830977766757577E-2</v>
      </c>
    </row>
    <row r="155" spans="1:11">
      <c r="A155" s="46" t="str">
        <f>'ERPs by country'!A161</f>
        <v>Uzbekistan</v>
      </c>
      <c r="B155" s="127">
        <f t="shared" si="6"/>
        <v>75.75</v>
      </c>
      <c r="C155" s="24">
        <f>VLOOKUP(A155,Table1[[Country]:[Country Risk Premium]],5)</f>
        <v>7.8919699975204552E-2</v>
      </c>
      <c r="D155" s="24">
        <f>VLOOKUP(A155,Table1[[Country]:[Country Risk Premium]],4)</f>
        <v>3.5619699975204554E-2</v>
      </c>
      <c r="E155" s="24">
        <f t="shared" si="5"/>
        <v>7.8919699975204552E-2</v>
      </c>
      <c r="F155" s="57">
        <f>VLOOKUP(A155,'Country Tax Rates'!$A$2:$B$159,2)</f>
        <v>0.15</v>
      </c>
      <c r="G155" s="57">
        <f>VLOOKUP(A155,Table1[[Country]:[Country Risk Premium]],6)</f>
        <v>3.5619699975204554E-2</v>
      </c>
    </row>
    <row r="156" spans="1:11">
      <c r="A156" s="46" t="str">
        <f>'ERPs by country'!A162</f>
        <v>Venezuela</v>
      </c>
      <c r="B156" s="127">
        <f t="shared" si="6"/>
        <v>58</v>
      </c>
      <c r="C156" s="24">
        <f>VLOOKUP(A156,Table1[[Country]:[Country Risk Premium]],5)</f>
        <v>0.21829999999999999</v>
      </c>
      <c r="D156" s="24">
        <f>VLOOKUP(A156,Table1[[Country]:[Country Risk Premium]],4)</f>
        <v>0.17499999999999999</v>
      </c>
      <c r="E156" s="24">
        <f t="shared" si="5"/>
        <v>0.21829999999999999</v>
      </c>
      <c r="F156" s="57">
        <f>VLOOKUP(A156,'Country Tax Rates'!$A$2:$B$159,2)</f>
        <v>0.34</v>
      </c>
      <c r="G156" s="57">
        <f>VLOOKUP(A156,Table1[[Country]:[Country Risk Premium]],6)</f>
        <v>0.17499999999999999</v>
      </c>
    </row>
    <row r="157" spans="1:11">
      <c r="A157" s="46" t="str">
        <f>'ERPs by country'!A163</f>
        <v>Vietnam</v>
      </c>
      <c r="B157" s="127">
        <f t="shared" si="6"/>
        <v>71.5</v>
      </c>
      <c r="C157" s="24">
        <f>VLOOKUP(A157,Table1[[Country]:[Country Risk Premium]],5)</f>
        <v>7.309948756095544E-2</v>
      </c>
      <c r="D157" s="24">
        <f>VLOOKUP(A157,Table1[[Country]:[Country Risk Premium]],4)</f>
        <v>2.9799487560955448E-2</v>
      </c>
      <c r="E157" s="24">
        <f t="shared" si="5"/>
        <v>7.309948756095544E-2</v>
      </c>
      <c r="F157" s="57">
        <f>VLOOKUP(A157,'Country Tax Rates'!$A$2:$B$159,2)</f>
        <v>0.2</v>
      </c>
      <c r="G157" s="57">
        <f>VLOOKUP(A157,Table1[[Country]:[Country Risk Premium]],6)</f>
        <v>2.9799487560955448E-2</v>
      </c>
    </row>
    <row r="158" spans="1:11">
      <c r="A158" s="46" t="str">
        <f>'ERPs by country'!A164</f>
        <v>Zambia</v>
      </c>
      <c r="B158" s="127">
        <f t="shared" si="6"/>
        <v>67.75</v>
      </c>
      <c r="C158" s="24">
        <f>VLOOKUP(A158,Table1[[Country]:[Country Risk Premium]],5)</f>
        <v>0.13246565418629636</v>
      </c>
      <c r="D158" s="24">
        <f>VLOOKUP(A158,Table1[[Country]:[Country Risk Premium]],4)</f>
        <v>8.9165654186296364E-2</v>
      </c>
      <c r="E158" s="24">
        <f t="shared" si="5"/>
        <v>0.13246565418629636</v>
      </c>
      <c r="F158" s="57">
        <f>VLOOKUP(A158,'Country Tax Rates'!$A$2:$B$159,2)</f>
        <v>0.35</v>
      </c>
      <c r="G158" s="57">
        <f>VLOOKUP(A158,Table1[[Country]:[Country Risk Premium]],6)</f>
        <v>8.9165654186296364E-2</v>
      </c>
    </row>
    <row r="159" spans="1:11">
      <c r="A159" s="46"/>
      <c r="B159" s="128"/>
      <c r="C159" s="24"/>
      <c r="D159" s="24"/>
      <c r="E159" s="24"/>
      <c r="F159" s="57"/>
      <c r="G159" s="57"/>
      <c r="H159" s="75"/>
      <c r="J159" s="130" t="s">
        <v>168</v>
      </c>
      <c r="K159" s="131" t="s">
        <v>449</v>
      </c>
    </row>
    <row r="160" spans="1:11">
      <c r="A160" s="46"/>
      <c r="B160" s="128"/>
      <c r="C160" s="24"/>
      <c r="D160" s="24"/>
      <c r="E160" s="24"/>
      <c r="F160" s="57"/>
      <c r="G160" s="57"/>
      <c r="H160" s="75"/>
      <c r="J160" s="132" t="s">
        <v>127</v>
      </c>
      <c r="K160" s="133">
        <v>0.26857333333333339</v>
      </c>
    </row>
    <row r="161" spans="1:11">
      <c r="A161" s="46"/>
      <c r="B161" s="128"/>
      <c r="C161" s="24"/>
      <c r="D161" s="24"/>
      <c r="E161" s="24"/>
      <c r="F161" s="57"/>
      <c r="G161" s="57"/>
      <c r="H161" s="75"/>
      <c r="J161" s="132" t="s">
        <v>128</v>
      </c>
      <c r="K161" s="133">
        <v>0.24558260869565224</v>
      </c>
    </row>
    <row r="162" spans="1:11">
      <c r="A162" s="46" t="s">
        <v>332</v>
      </c>
      <c r="B162" s="127">
        <f t="shared" ref="B162:B182" si="7">VLOOKUP(A162,$N$3:$O$142,2,FALSE)</f>
        <v>69.25</v>
      </c>
      <c r="C162" s="57"/>
      <c r="D162" s="57">
        <f>G162/'ERPs by country'!$E$5</f>
        <v>2.9799487560955441E-2</v>
      </c>
      <c r="E162" s="92">
        <f t="shared" ref="E162:E182" si="8">IF(C162&gt;0,C162,VLOOKUP(B162,$I$3:$K$19,3))</f>
        <v>8.3454745627901811E-2</v>
      </c>
      <c r="F162" s="57">
        <f>VLOOKUP(A162,'Country Tax Rates'!$E$2:$F$176,2,FALSE)</f>
        <v>0.26</v>
      </c>
      <c r="G162" s="57">
        <f>E162-'ERPs by country'!$E$3</f>
        <v>4.0154745627901813E-2</v>
      </c>
      <c r="H162" s="75"/>
      <c r="J162" s="132" t="s">
        <v>53</v>
      </c>
      <c r="K162" s="133">
        <v>0.29246666666666665</v>
      </c>
    </row>
    <row r="163" spans="1:11">
      <c r="A163" s="46" t="s">
        <v>333</v>
      </c>
      <c r="B163" s="127">
        <f t="shared" si="7"/>
        <v>81.75</v>
      </c>
      <c r="C163" s="57"/>
      <c r="D163" s="57">
        <f>G163/'ERPs by country'!$E$5</f>
        <v>5.9366166625340932E-3</v>
      </c>
      <c r="E163" s="92">
        <f t="shared" si="8"/>
        <v>5.1299578230558564E-2</v>
      </c>
      <c r="F163" s="57">
        <v>0.185</v>
      </c>
      <c r="G163" s="57">
        <f>E163-'ERPs by country'!$E$3</f>
        <v>7.9995782305585655E-3</v>
      </c>
      <c r="H163" s="75"/>
      <c r="J163" s="132" t="s">
        <v>54</v>
      </c>
      <c r="K163" s="133">
        <v>0.18638571428571429</v>
      </c>
    </row>
    <row r="164" spans="1:11">
      <c r="A164" s="46" t="s">
        <v>329</v>
      </c>
      <c r="B164" s="127">
        <f t="shared" si="7"/>
        <v>67.5</v>
      </c>
      <c r="C164" s="57"/>
      <c r="D164" s="57">
        <f>G164/'ERPs by country'!$E$5</f>
        <v>4.4582827093148189E-2</v>
      </c>
      <c r="E164" s="92">
        <f t="shared" si="8"/>
        <v>0.10337526396674374</v>
      </c>
      <c r="F164" s="57">
        <f>VLOOKUP(A164,'Country Tax Rates'!$E$2:$F$176,2,FALSE)</f>
        <v>0.27</v>
      </c>
      <c r="G164" s="57">
        <f>E164-'ERPs by country'!$E$3</f>
        <v>6.0075263966743737E-2</v>
      </c>
      <c r="H164" s="75"/>
      <c r="J164" s="132" t="s">
        <v>51</v>
      </c>
      <c r="K164" s="133">
        <v>0.28532105263157892</v>
      </c>
    </row>
    <row r="165" spans="1:11">
      <c r="A165" s="46" t="s">
        <v>312</v>
      </c>
      <c r="B165" s="127">
        <f t="shared" si="7"/>
        <v>57.75</v>
      </c>
      <c r="C165" s="57"/>
      <c r="D165" s="57">
        <f>G165/'ERPs by country'!$E$5</f>
        <v>8.9165654186296364E-2</v>
      </c>
      <c r="E165" s="92">
        <f t="shared" si="8"/>
        <v>0.16345052793348747</v>
      </c>
      <c r="F165" s="57">
        <v>0.29149999999999998</v>
      </c>
      <c r="G165" s="57">
        <f>E165-'ERPs by country'!$E$3</f>
        <v>0.12015052793348746</v>
      </c>
      <c r="H165" s="75"/>
      <c r="J165" s="132" t="s">
        <v>124</v>
      </c>
      <c r="K165" s="133">
        <v>0.16111111111111109</v>
      </c>
    </row>
    <row r="166" spans="1:11">
      <c r="A166" s="46" t="s">
        <v>328</v>
      </c>
      <c r="B166" s="127">
        <f t="shared" si="7"/>
        <v>63.25</v>
      </c>
      <c r="C166" s="57"/>
      <c r="D166" s="57">
        <f>G166/'ERPs by country'!$E$5</f>
        <v>6.4371549301595152E-2</v>
      </c>
      <c r="E166" s="92">
        <f t="shared" si="8"/>
        <v>0.13004052473527228</v>
      </c>
      <c r="F166" s="57">
        <v>0.29149999999999998</v>
      </c>
      <c r="G166" s="57">
        <f>E166-'ERPs by country'!$E$3</f>
        <v>8.6740524735272273E-2</v>
      </c>
      <c r="H166" s="75"/>
      <c r="J166" s="132" t="s">
        <v>126</v>
      </c>
      <c r="K166" s="133">
        <v>0.13461538461538461</v>
      </c>
    </row>
    <row r="167" spans="1:11">
      <c r="A167" s="46" t="s">
        <v>325</v>
      </c>
      <c r="B167" s="127">
        <f t="shared" si="7"/>
        <v>75.75</v>
      </c>
      <c r="C167" s="57"/>
      <c r="D167" s="57">
        <f>G167/'ERPs by country'!$E$5</f>
        <v>1.5830977766757574E-2</v>
      </c>
      <c r="E167" s="92">
        <f t="shared" si="8"/>
        <v>6.4632208614822828E-2</v>
      </c>
      <c r="F167" s="57">
        <v>0.18640000000000001</v>
      </c>
      <c r="G167" s="57">
        <f>E167-'ERPs by country'!$E$3</f>
        <v>2.133220861482283E-2</v>
      </c>
      <c r="H167" s="75"/>
      <c r="J167" s="132" t="s">
        <v>129</v>
      </c>
      <c r="K167" s="133">
        <v>0.25750000000000001</v>
      </c>
    </row>
    <row r="168" spans="1:11">
      <c r="A168" s="46" t="s">
        <v>321</v>
      </c>
      <c r="B168" s="127">
        <f t="shared" si="7"/>
        <v>54.75</v>
      </c>
      <c r="C168" s="57"/>
      <c r="D168" s="57">
        <f>G168/'ERPs by country'!$E$5</f>
        <v>0.11884873749896686</v>
      </c>
      <c r="E168" s="92">
        <f t="shared" si="8"/>
        <v>0.20344841908628034</v>
      </c>
      <c r="F168" s="57">
        <v>0.18640000000000001</v>
      </c>
      <c r="G168" s="57">
        <f>E168-'ERPs by country'!$E$3</f>
        <v>0.16014841908628033</v>
      </c>
      <c r="H168" s="75"/>
      <c r="J168" s="132" t="s">
        <v>125</v>
      </c>
      <c r="K168" s="133">
        <v>0.1951615384615385</v>
      </c>
    </row>
    <row r="169" spans="1:11">
      <c r="A169" s="46" t="s">
        <v>323</v>
      </c>
      <c r="B169" s="127">
        <f t="shared" si="7"/>
        <v>63.75</v>
      </c>
      <c r="C169" s="57"/>
      <c r="D169" s="57">
        <f>G169/'ERPs by country'!$E$5</f>
        <v>6.4371549301595152E-2</v>
      </c>
      <c r="E169" s="92">
        <f t="shared" si="8"/>
        <v>0.13004052473527228</v>
      </c>
      <c r="F169" s="57">
        <v>0.20230000000000001</v>
      </c>
      <c r="G169" s="57">
        <f>E169-'ERPs by country'!$E$3</f>
        <v>8.6740524735272273E-2</v>
      </c>
      <c r="H169" s="75"/>
      <c r="K169" s="23"/>
    </row>
    <row r="170" spans="1:11">
      <c r="A170" s="46" t="s">
        <v>362</v>
      </c>
      <c r="B170" s="127">
        <f t="shared" si="7"/>
        <v>51</v>
      </c>
      <c r="C170" s="57"/>
      <c r="D170" s="57">
        <f>G170/'ERPs by country'!$E$5</f>
        <v>0.11884873749896686</v>
      </c>
      <c r="E170" s="92">
        <f t="shared" si="8"/>
        <v>0.20344841908628034</v>
      </c>
      <c r="F170" s="57">
        <v>0.23100000000000001</v>
      </c>
      <c r="G170" s="57">
        <f>E170-'ERPs by country'!$E$3</f>
        <v>0.16014841908628033</v>
      </c>
      <c r="H170" s="75"/>
    </row>
    <row r="171" spans="1:11">
      <c r="A171" s="46" t="s">
        <v>313</v>
      </c>
      <c r="B171" s="127">
        <f t="shared" si="7"/>
        <v>58.25</v>
      </c>
      <c r="C171" s="57"/>
      <c r="D171" s="57">
        <f>G171/'ERPs by country'!$E$5</f>
        <v>8.9165654186296364E-2</v>
      </c>
      <c r="E171" s="92">
        <f t="shared" si="8"/>
        <v>0.16345052793348747</v>
      </c>
      <c r="F171" s="57">
        <v>0.29149999999999998</v>
      </c>
      <c r="G171" s="57">
        <f>E171-'ERPs by country'!$E$3</f>
        <v>0.12015052793348746</v>
      </c>
      <c r="H171" s="75"/>
    </row>
    <row r="172" spans="1:11">
      <c r="A172" s="46" t="s">
        <v>317</v>
      </c>
      <c r="B172" s="127">
        <f t="shared" si="7"/>
        <v>74.5</v>
      </c>
      <c r="C172" s="57"/>
      <c r="D172" s="57">
        <f>G172/'ERPs by country'!$E$5</f>
        <v>1.5830977766757574E-2</v>
      </c>
      <c r="E172" s="92">
        <f t="shared" si="8"/>
        <v>6.4632208614822828E-2</v>
      </c>
      <c r="F172" s="57">
        <f>VLOOKUP(A172,'Country Tax Rates'!$E$2:$F$176,2,FALSE)</f>
        <v>0.24</v>
      </c>
      <c r="G172" s="57">
        <f>E172-'ERPs by country'!$E$3</f>
        <v>2.133220861482283E-2</v>
      </c>
      <c r="H172" s="75"/>
    </row>
    <row r="173" spans="1:11">
      <c r="A173" s="46" t="s">
        <v>331</v>
      </c>
      <c r="B173" s="127">
        <f t="shared" si="7"/>
        <v>64.5</v>
      </c>
      <c r="C173" s="57"/>
      <c r="D173" s="57">
        <f>G173/'ERPs by country'!$E$5</f>
        <v>5.4477188197371663E-2</v>
      </c>
      <c r="E173" s="92">
        <f t="shared" si="8"/>
        <v>0.11670789435100801</v>
      </c>
      <c r="F173" s="57">
        <f>VLOOKUP(A173,'Country Tax Rates'!$E$2:$F$176,2,FALSE)</f>
        <v>0.2</v>
      </c>
      <c r="G173" s="57">
        <f>E173-'ERPs by country'!$E$3</f>
        <v>7.3407894351008002E-2</v>
      </c>
      <c r="H173" s="75"/>
    </row>
    <row r="174" spans="1:11">
      <c r="A174" s="46" t="s">
        <v>322</v>
      </c>
      <c r="B174" s="127">
        <f t="shared" si="7"/>
        <v>57.75</v>
      </c>
      <c r="C174" s="57"/>
      <c r="D174" s="57">
        <f>G174/'ERPs by country'!$E$5</f>
        <v>8.9165654186296364E-2</v>
      </c>
      <c r="E174" s="92">
        <f t="shared" si="8"/>
        <v>0.16345052793348747</v>
      </c>
      <c r="F174" s="57">
        <f>VLOOKUP(A174,'Country Tax Rates'!$E$2:$F$176,2,FALSE)</f>
        <v>0.3</v>
      </c>
      <c r="G174" s="57">
        <f>E174-'ERPs by country'!$E$3</f>
        <v>0.12015052793348746</v>
      </c>
      <c r="H174" s="75"/>
    </row>
    <row r="175" spans="1:11">
      <c r="A175" s="46" t="s">
        <v>330</v>
      </c>
      <c r="B175" s="127">
        <f t="shared" si="7"/>
        <v>56</v>
      </c>
      <c r="C175" s="57"/>
      <c r="D175" s="57">
        <f>G175/'ERPs by country'!$E$5</f>
        <v>9.9060015290519873E-2</v>
      </c>
      <c r="E175" s="92">
        <f t="shared" si="8"/>
        <v>0.17678315831775177</v>
      </c>
      <c r="F175" s="57">
        <f>VLOOKUP(A175,'Country Tax Rates'!$E$2:$F$176,2,FALSE)</f>
        <v>0.22</v>
      </c>
      <c r="G175" s="57">
        <f>E175-'ERPs by country'!$E$3</f>
        <v>0.13348315831775176</v>
      </c>
      <c r="H175" s="75"/>
    </row>
    <row r="176" spans="1:11">
      <c r="A176" s="46" t="s">
        <v>1</v>
      </c>
      <c r="B176" s="127">
        <f t="shared" si="7"/>
        <v>69.25</v>
      </c>
      <c r="C176" s="57"/>
      <c r="D176" s="57">
        <f>G176/'ERPs by country'!$E$5</f>
        <v>2.9799487560955441E-2</v>
      </c>
      <c r="E176" s="92">
        <f>IF(C176&gt;0,C176,VLOOKUP(B176,$I$3:$K$19,3))</f>
        <v>8.3454745627901811E-2</v>
      </c>
      <c r="F176" s="57">
        <f>VLOOKUP(A176,'Country Tax Rates'!$E$2:$F$176,2,FALSE)</f>
        <v>0.2</v>
      </c>
      <c r="G176" s="57">
        <f>E176-'ERPs by country'!$E$3</f>
        <v>4.0154745627901813E-2</v>
      </c>
      <c r="H176" s="75"/>
    </row>
    <row r="177" spans="1:8">
      <c r="A177" s="46" t="s">
        <v>324</v>
      </c>
      <c r="B177" s="127">
        <f t="shared" si="7"/>
        <v>59.5</v>
      </c>
      <c r="C177" s="57"/>
      <c r="D177" s="57">
        <f>G177/'ERPs by country'!$E$5</f>
        <v>8.9165654186296364E-2</v>
      </c>
      <c r="E177" s="92">
        <f t="shared" si="8"/>
        <v>0.16345052793348747</v>
      </c>
      <c r="F177" s="57">
        <f>VLOOKUP(A177,'Country Tax Rates'!$E$2:$F$176,2,FALSE)</f>
        <v>0.25</v>
      </c>
      <c r="G177" s="57">
        <f>E177-'ERPs by country'!$E$3</f>
        <v>0.12015052793348746</v>
      </c>
      <c r="H177" s="75"/>
    </row>
    <row r="178" spans="1:8">
      <c r="A178" s="46" t="s">
        <v>310</v>
      </c>
      <c r="B178" s="127">
        <f t="shared" si="7"/>
        <v>55.5</v>
      </c>
      <c r="C178" s="57"/>
      <c r="D178" s="57">
        <f>G178/'ERPs by country'!$E$5</f>
        <v>9.9060015290519873E-2</v>
      </c>
      <c r="E178" s="92">
        <f t="shared" si="8"/>
        <v>0.17678315831775177</v>
      </c>
      <c r="F178" s="57">
        <v>0.29149999999999998</v>
      </c>
      <c r="G178" s="57">
        <f>E178-'ERPs by country'!$E$3</f>
        <v>0.13348315831775176</v>
      </c>
      <c r="H178" s="75"/>
    </row>
    <row r="179" spans="1:8">
      <c r="A179" s="46" t="s">
        <v>314</v>
      </c>
      <c r="B179" s="127">
        <f t="shared" si="7"/>
        <v>43.5</v>
      </c>
      <c r="C179" s="57"/>
      <c r="D179" s="57">
        <f>G179/'ERPs by country'!$E$5</f>
        <v>0.17499999999999996</v>
      </c>
      <c r="E179" s="92">
        <f t="shared" si="8"/>
        <v>0.27911212497392057</v>
      </c>
      <c r="F179" s="57">
        <f>VLOOKUP(A179,'Country Tax Rates'!$E$2:$F$176,2,FALSE)</f>
        <v>0.35</v>
      </c>
      <c r="G179" s="57">
        <f>E179-'ERPs by country'!$E$3</f>
        <v>0.23581212497392057</v>
      </c>
    </row>
    <row r="180" spans="1:8">
      <c r="A180" s="46" t="s">
        <v>311</v>
      </c>
      <c r="B180" s="127">
        <f t="shared" si="7"/>
        <v>46.5</v>
      </c>
      <c r="C180" s="57"/>
      <c r="D180" s="57">
        <f>G180/'ERPs by country'!$E$5</f>
        <v>0.17499999999999996</v>
      </c>
      <c r="E180" s="92">
        <f t="shared" si="8"/>
        <v>0.27911212497392057</v>
      </c>
      <c r="F180" s="57">
        <f>VLOOKUP(A180,'Country Tax Rates'!$E$2:$F$176,2,FALSE)</f>
        <v>0.28000000000000003</v>
      </c>
      <c r="G180" s="57">
        <f>E180-'ERPs by country'!$E$3</f>
        <v>0.23581212497392057</v>
      </c>
    </row>
    <row r="181" spans="1:8">
      <c r="A181" s="46" t="s">
        <v>318</v>
      </c>
      <c r="B181" s="127">
        <f t="shared" si="7"/>
        <v>51.5</v>
      </c>
      <c r="C181" s="57"/>
      <c r="D181" s="57">
        <f>G181/'ERPs by country'!$E$5</f>
        <v>0.11884873749896686</v>
      </c>
      <c r="E181" s="92">
        <f t="shared" si="8"/>
        <v>0.20344841908628034</v>
      </c>
      <c r="F181" s="57">
        <v>0.2</v>
      </c>
      <c r="G181" s="57">
        <f>E181-'ERPs by country'!$E$3</f>
        <v>0.16014841908628033</v>
      </c>
    </row>
    <row r="182" spans="1:8">
      <c r="A182" s="46" t="s">
        <v>315</v>
      </c>
      <c r="B182" s="127">
        <f t="shared" si="7"/>
        <v>57.75</v>
      </c>
      <c r="C182" s="57"/>
      <c r="D182" s="57">
        <f>G182/'ERPs by country'!$E$5</f>
        <v>8.9165654186296364E-2</v>
      </c>
      <c r="E182" s="92">
        <f t="shared" si="8"/>
        <v>0.16345052793348747</v>
      </c>
      <c r="F182" s="57">
        <f>VLOOKUP(A182,'Country Tax Rates'!$E$2:$F$176,2,FALSE)</f>
        <v>0.2472</v>
      </c>
      <c r="G182" s="57">
        <f>E182-'ERPs by country'!$E$3</f>
        <v>0.12015052793348746</v>
      </c>
    </row>
    <row r="183" spans="1:8" ht="11.5">
      <c r="A183"/>
      <c r="B183" s="79"/>
      <c r="C183" s="25"/>
      <c r="D183"/>
    </row>
  </sheetData>
  <sortState xmlns:xlrd2="http://schemas.microsoft.com/office/spreadsheetml/2017/richdata2" ref="N3:O183">
    <sortCondition ref="N3:N183"/>
  </sortState>
  <mergeCells count="1">
    <mergeCell ref="I1:J1"/>
  </mergeCells>
  <pageMargins left="0.75" right="0.75" top="1" bottom="1" header="0.5" footer="0.5"/>
  <pageSetup orientation="portrait" horizontalDpi="4294967292" verticalDpi="429496729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9"/>
  <sheetViews>
    <sheetView workbookViewId="0">
      <selection activeCell="A10" sqref="A10"/>
    </sheetView>
  </sheetViews>
  <sheetFormatPr defaultColWidth="11.19921875" defaultRowHeight="11.5"/>
  <sheetData>
    <row r="1" spans="1:1">
      <c r="A1" t="s">
        <v>465</v>
      </c>
    </row>
    <row r="2" spans="1:1">
      <c r="A2" t="s">
        <v>466</v>
      </c>
    </row>
    <row r="3" spans="1:1">
      <c r="A3" t="s">
        <v>467</v>
      </c>
    </row>
    <row r="4" spans="1:1">
      <c r="A4" t="s">
        <v>468</v>
      </c>
    </row>
    <row r="5" spans="1:1">
      <c r="A5" t="s">
        <v>469</v>
      </c>
    </row>
    <row r="6" spans="1:1">
      <c r="A6" t="s">
        <v>470</v>
      </c>
    </row>
    <row r="7" spans="1:1">
      <c r="A7" t="s">
        <v>471</v>
      </c>
    </row>
    <row r="8" spans="1:1">
      <c r="A8" t="s">
        <v>472</v>
      </c>
    </row>
    <row r="9" spans="1:1">
      <c r="A9" t="s">
        <v>473</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C479C-4D1C-8445-8E38-2807E345CAB9}">
  <dimension ref="A1:B6"/>
  <sheetViews>
    <sheetView workbookViewId="0">
      <selection activeCell="C7" sqref="C7"/>
    </sheetView>
  </sheetViews>
  <sheetFormatPr defaultColWidth="11.19921875" defaultRowHeight="15.5"/>
  <cols>
    <col min="1" max="1" width="33" style="187" customWidth="1"/>
    <col min="2" max="2" width="92" style="193" customWidth="1"/>
  </cols>
  <sheetData>
    <row r="1" spans="1:2">
      <c r="A1" s="188"/>
      <c r="B1" s="191" t="s">
        <v>534</v>
      </c>
    </row>
    <row r="2" spans="1:2" ht="61" customHeight="1">
      <c r="A2" s="189" t="s">
        <v>531</v>
      </c>
      <c r="B2" s="190" t="s">
        <v>555</v>
      </c>
    </row>
    <row r="3" spans="1:2" ht="31">
      <c r="A3" s="189" t="s">
        <v>532</v>
      </c>
      <c r="B3" s="192" t="s">
        <v>536</v>
      </c>
    </row>
    <row r="4" spans="1:2" ht="68" customHeight="1">
      <c r="A4" s="189" t="s">
        <v>533</v>
      </c>
      <c r="B4" s="192" t="s">
        <v>535</v>
      </c>
    </row>
    <row r="5" spans="1:2" ht="108.5">
      <c r="A5" s="189" t="s">
        <v>530</v>
      </c>
      <c r="B5" s="192" t="s">
        <v>537</v>
      </c>
    </row>
    <row r="6" spans="1:2" ht="46.5">
      <c r="A6" s="188" t="s">
        <v>538</v>
      </c>
      <c r="B6" s="192" t="s">
        <v>539</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1"/>
  <sheetViews>
    <sheetView workbookViewId="0">
      <selection activeCell="B17" sqref="B17"/>
    </sheetView>
  </sheetViews>
  <sheetFormatPr defaultColWidth="11.19921875" defaultRowHeight="15.5"/>
  <cols>
    <col min="1" max="1" width="35.69921875" style="38" bestFit="1" customWidth="1"/>
    <col min="2" max="2" width="22" customWidth="1"/>
  </cols>
  <sheetData>
    <row r="1" spans="1:4" s="37" customFormat="1" ht="18.5">
      <c r="A1" s="37" t="s">
        <v>253</v>
      </c>
    </row>
    <row r="2" spans="1:4">
      <c r="A2" s="38" t="s">
        <v>74</v>
      </c>
      <c r="B2" s="39" t="s">
        <v>130</v>
      </c>
      <c r="D2" s="1" t="s">
        <v>334</v>
      </c>
    </row>
    <row r="3" spans="1:4">
      <c r="B3" s="38"/>
      <c r="D3" s="1" t="s">
        <v>335</v>
      </c>
    </row>
    <row r="4" spans="1:4">
      <c r="A4" s="38" t="s">
        <v>256</v>
      </c>
      <c r="B4" s="41" t="str">
        <f>VLOOKUP(B2,'Ratings worksheet'!$A$2:$C$159,3, FALSE)</f>
        <v>B3</v>
      </c>
      <c r="C4" t="s">
        <v>258</v>
      </c>
    </row>
    <row r="5" spans="1:4">
      <c r="A5" s="38" t="s">
        <v>257</v>
      </c>
      <c r="B5" s="41" t="str">
        <f>VLOOKUP(B2,'Ratings worksheet'!$A$2:$C$159,2, FALSE)</f>
        <v>B-</v>
      </c>
      <c r="C5" t="s">
        <v>258</v>
      </c>
    </row>
    <row r="6" spans="1:4">
      <c r="A6" s="38" t="s">
        <v>255</v>
      </c>
      <c r="B6" s="42">
        <f>VLOOKUP(B2,'10-year CDS Spreads'!A2:D158,3, FALSE)</f>
        <v>6.7400000000000002E-2</v>
      </c>
    </row>
    <row r="7" spans="1:4">
      <c r="A7" s="38" t="s">
        <v>265</v>
      </c>
      <c r="B7" s="42">
        <f>IF(B6="NA","NA",VLOOKUP(B2,'ERPs by country'!A8:I164,9,FALSE)/'ERPs by country'!E5)</f>
        <v>6.3299999999999995E-2</v>
      </c>
    </row>
    <row r="8" spans="1:4">
      <c r="B8" s="40"/>
    </row>
    <row r="9" spans="1:4">
      <c r="A9" s="38" t="s">
        <v>343</v>
      </c>
      <c r="B9" s="76">
        <f>VLOOKUP(B2,'ERPs by country'!A8:I164,4,FALSE)</f>
        <v>6.4371549301595152E-2</v>
      </c>
    </row>
    <row r="10" spans="1:4">
      <c r="A10" s="38" t="s">
        <v>259</v>
      </c>
      <c r="B10" s="42">
        <f>VLOOKUP(B2,'ERPs by country'!A8:I164,6,FALSE)</f>
        <v>6.4371549301595152E-2</v>
      </c>
    </row>
    <row r="11" spans="1:4">
      <c r="A11" s="38" t="s">
        <v>260</v>
      </c>
      <c r="B11" s="42">
        <f>VLOOKUP(B2,'ERPs by country'!A8:I164,5,FALSE)</f>
        <v>0.10767154930159514</v>
      </c>
    </row>
    <row r="12" spans="1:4">
      <c r="B12" s="40"/>
    </row>
    <row r="13" spans="1:4">
      <c r="A13" s="38" t="s">
        <v>261</v>
      </c>
      <c r="B13" s="42">
        <f>VLOOKUP(B2,'ERPs by country'!A8:I164,9,FALSE)</f>
        <v>8.5296614347709562E-2</v>
      </c>
    </row>
    <row r="14" spans="1:4">
      <c r="A14" s="38" t="s">
        <v>262</v>
      </c>
      <c r="B14" s="42">
        <f>VLOOKUP(B2,'ERPs by country'!A8:I164,8,FALSE)</f>
        <v>0.12859661434770955</v>
      </c>
    </row>
    <row r="16" spans="1:4" ht="18.5">
      <c r="A16" s="37" t="s">
        <v>254</v>
      </c>
    </row>
    <row r="17" spans="1:2">
      <c r="A17" s="38" t="s">
        <v>52</v>
      </c>
      <c r="B17" s="43" t="s">
        <v>128</v>
      </c>
    </row>
    <row r="19" spans="1:2">
      <c r="A19" s="38" t="s">
        <v>275</v>
      </c>
      <c r="B19" s="44">
        <f>VLOOKUP(B17,'Regional Simple Averages'!$A$5:$E$13,3,FALSE)</f>
        <v>4.5347868343398288E-2</v>
      </c>
    </row>
    <row r="20" spans="1:2">
      <c r="A20" s="38" t="s">
        <v>276</v>
      </c>
      <c r="B20" s="44">
        <f>VLOOKUP(B17,'Regional Simple Averages'!$A$5:$E$13,4,FALSE)</f>
        <v>8.8647868343398273E-2</v>
      </c>
    </row>
    <row r="22" spans="1:2">
      <c r="A22" s="38" t="s">
        <v>263</v>
      </c>
      <c r="B22" s="44">
        <f>VLOOKUP(B17,'Regional Weighted Averages'!A171:C179,3,FALSE)</f>
        <v>1.5399276740161219E-2</v>
      </c>
    </row>
    <row r="23" spans="1:2">
      <c r="A23" s="38" t="s">
        <v>264</v>
      </c>
      <c r="B23" s="44">
        <f>VLOOKUP(B17,'Regional Weighted Averages'!A171:C179,2,FALSE)</f>
        <v>5.8699276740161205E-2</v>
      </c>
    </row>
    <row r="25" spans="1:2">
      <c r="A25" s="59" t="s">
        <v>344</v>
      </c>
    </row>
    <row r="27" spans="1:2" s="88" customFormat="1" ht="18.5">
      <c r="A27" s="37" t="s">
        <v>363</v>
      </c>
    </row>
    <row r="28" spans="1:2">
      <c r="A28" s="38" t="s">
        <v>74</v>
      </c>
      <c r="B28" s="39" t="s">
        <v>315</v>
      </c>
    </row>
    <row r="30" spans="1:2">
      <c r="A30" s="38" t="s">
        <v>341</v>
      </c>
      <c r="B30" s="86">
        <f>VLOOKUP(B28,'PRS Worksheet'!A162:E182,2,FALSE)</f>
        <v>57.75</v>
      </c>
    </row>
    <row r="31" spans="1:2">
      <c r="A31" s="38" t="s">
        <v>364</v>
      </c>
      <c r="B31" s="87">
        <f>VLOOKUP(B28,'PRS Worksheet'!A162:E182,5,FALSE)</f>
        <v>0.16345052793348747</v>
      </c>
    </row>
  </sheetData>
  <pageMargins left="0.75" right="0.75" top="1" bottom="1" header="0.5" footer="0.5"/>
  <pageSetup orientation="portrait" horizontalDpi="4294967292" verticalDpi="4294967292"/>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r:uid="{331B5B12-FF4C-C545-A9D1-02A4411FDF3A}">
          <x14:formula1>
            <xm:f>'Regional Weighted Averages'!$A$171:$A$179</xm:f>
          </x14:formula1>
          <xm:sqref>B17</xm:sqref>
        </x14:dataValidation>
        <x14:dataValidation type="list" allowBlank="1" showInputMessage="1" showErrorMessage="1" xr:uid="{FB10E05C-E029-A140-80E1-F8D8E47D1502}">
          <x14:formula1>
            <xm:f>'ERPs by country'!$A$168:$A$187</xm:f>
          </x14:formula1>
          <xm:sqref>B28</xm:sqref>
        </x14:dataValidation>
        <x14:dataValidation type="list" allowBlank="1" showInputMessage="1" showErrorMessage="1" xr:uid="{9A054817-EA37-CA4A-BFFC-C44EDB6606F2}">
          <x14:formula1>
            <xm:f>'ERPs by country'!$A$8:$A$164</xm:f>
          </x14:formula1>
          <xm:sqref>B2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11"/>
  <sheetViews>
    <sheetView tabSelected="1" zoomScale="87" zoomScaleNormal="87" workbookViewId="0">
      <selection activeCell="E5" sqref="E5"/>
    </sheetView>
  </sheetViews>
  <sheetFormatPr defaultColWidth="11.19921875" defaultRowHeight="11.5"/>
  <cols>
    <col min="1" max="1" width="35.796875" style="19" customWidth="1"/>
    <col min="2" max="2" width="25.796875" style="19" customWidth="1"/>
    <col min="3" max="3" width="25.796875" customWidth="1"/>
    <col min="4" max="4" width="26.69921875" customWidth="1"/>
    <col min="5" max="5" width="25.796875" customWidth="1"/>
    <col min="6" max="6" width="21.796875" customWidth="1"/>
    <col min="7" max="7" width="24.19921875" customWidth="1"/>
    <col min="8" max="8" width="26.5" customWidth="1"/>
    <col min="9" max="9" width="22.796875" customWidth="1"/>
  </cols>
  <sheetData>
    <row r="1" spans="1:12" ht="15">
      <c r="A1" s="102" t="s">
        <v>454</v>
      </c>
      <c r="B1" s="102"/>
      <c r="C1" s="6"/>
      <c r="D1" s="6"/>
      <c r="E1" s="6"/>
      <c r="F1" s="6"/>
      <c r="G1" s="6"/>
      <c r="H1" s="6"/>
      <c r="I1" s="6"/>
      <c r="J1" s="6"/>
      <c r="K1" s="6"/>
      <c r="L1" s="6"/>
    </row>
    <row r="2" spans="1:12" ht="15.5">
      <c r="A2" s="5" t="s">
        <v>455</v>
      </c>
      <c r="B2" s="159">
        <v>44196</v>
      </c>
      <c r="C2" s="3"/>
      <c r="D2" s="3"/>
      <c r="E2" s="3"/>
      <c r="F2" s="3"/>
      <c r="G2" s="3"/>
      <c r="H2" s="3"/>
      <c r="I2" s="3"/>
      <c r="J2" s="3"/>
      <c r="K2" s="3"/>
      <c r="L2" s="3"/>
    </row>
    <row r="3" spans="1:12" ht="12">
      <c r="A3" s="19" t="s">
        <v>72</v>
      </c>
      <c r="E3" s="12">
        <v>4.3299999999999998E-2</v>
      </c>
      <c r="F3" s="1" t="s">
        <v>558</v>
      </c>
    </row>
    <row r="4" spans="1:12">
      <c r="A4" s="19" t="s">
        <v>140</v>
      </c>
      <c r="E4" s="13" t="s">
        <v>609</v>
      </c>
      <c r="F4" s="18"/>
      <c r="G4" s="18"/>
    </row>
    <row r="5" spans="1:12" ht="12">
      <c r="A5" s="19" t="s">
        <v>141</v>
      </c>
      <c r="E5" s="84">
        <f>'Relative Equity Volatility'!D7</f>
        <v>1.3474978569938321</v>
      </c>
      <c r="F5" s="94" t="s">
        <v>559</v>
      </c>
      <c r="G5" s="18"/>
    </row>
    <row r="7" spans="1:12" s="2" customFormat="1" ht="31">
      <c r="A7" s="106" t="s">
        <v>74</v>
      </c>
      <c r="B7" s="107" t="s">
        <v>127</v>
      </c>
      <c r="C7" s="108" t="s">
        <v>268</v>
      </c>
      <c r="D7" s="109" t="s">
        <v>138</v>
      </c>
      <c r="E7" s="109" t="s">
        <v>139</v>
      </c>
      <c r="F7" s="109" t="s">
        <v>37</v>
      </c>
      <c r="G7" s="110" t="s">
        <v>368</v>
      </c>
      <c r="H7" s="109" t="s">
        <v>424</v>
      </c>
      <c r="I7" s="111" t="s">
        <v>425</v>
      </c>
      <c r="J7" s="1" t="s">
        <v>38</v>
      </c>
    </row>
    <row r="8" spans="1:12" ht="15.5">
      <c r="A8" s="105" t="str">
        <f>'Sovereign Ratings (Moody''s,S&amp;P)'!A2</f>
        <v>Abu Dhabi</v>
      </c>
      <c r="B8" s="101" t="str">
        <f>VLOOKUP(A8,'Regional lookup table'!$A$2:$B$162,2,FALSE)</f>
        <v>Middle East</v>
      </c>
      <c r="C8" s="9" t="str">
        <f>VLOOKUP(A8,'Sovereign Ratings (Moody''s,S&amp;P)'!$A$2:$D$158,4,FALSE)</f>
        <v>Aa2</v>
      </c>
      <c r="D8" s="21">
        <f>VLOOKUP(C8,$J$9:$K$31,2,FALSE)/10000</f>
        <v>4.8889784279692525E-3</v>
      </c>
      <c r="E8" s="21">
        <f>$E$3+F8</f>
        <v>4.8188978427969251E-2</v>
      </c>
      <c r="F8" s="11">
        <f>IF($E$4="Yes",D8*$E$5,D8)</f>
        <v>4.8889784279692525E-3</v>
      </c>
      <c r="G8" s="140">
        <f>VLOOKUP(A8,'10-year CDS Spreads'!$A$2:$D$158,4,FALSE)</f>
        <v>3.4999999999999996E-3</v>
      </c>
      <c r="H8" s="11">
        <f>IF(I8="NA","NA",$E$3+I8)</f>
        <v>4.8016242499478411E-2</v>
      </c>
      <c r="I8" s="14">
        <f>IF(G8="NA","NA",G8*$E$5)</f>
        <v>4.7162424994784116E-3</v>
      </c>
      <c r="J8" s="17" t="s">
        <v>39</v>
      </c>
      <c r="K8" s="17" t="s">
        <v>40</v>
      </c>
    </row>
    <row r="9" spans="1:12" ht="15.5">
      <c r="A9" s="105" t="str">
        <f>'Sovereign Ratings (Moody''s,S&amp;P)'!A3</f>
        <v>Albania</v>
      </c>
      <c r="B9" s="101" t="str">
        <f>VLOOKUP(A9,'Regional lookup table'!$A$2:$B$162,2,FALSE)</f>
        <v>Eastern Europe &amp; Russia</v>
      </c>
      <c r="C9" s="9" t="str">
        <f>VLOOKUP(A9,'Sovereign Ratings (Moody''s,S&amp;P)'!$A$2:$D$158,4,FALSE)</f>
        <v>Ba3</v>
      </c>
      <c r="D9" s="21">
        <f t="shared" ref="D9:D72" si="0">VLOOKUP(C9,$J$9:$K$31,2,FALSE)/10000</f>
        <v>3.5619699975204554E-2</v>
      </c>
      <c r="E9" s="21">
        <f t="shared" ref="E9:E72" si="1">$E$3+F9</f>
        <v>7.8919699975204552E-2</v>
      </c>
      <c r="F9" s="11">
        <f t="shared" ref="F9:F72" si="2">IF($E$4="Yes",D9*$E$5,D9)</f>
        <v>3.5619699975204554E-2</v>
      </c>
      <c r="G9" s="140" t="str">
        <f>VLOOKUP(A9,'10-year CDS Spreads'!$A$2:$D$158,4,FALSE)</f>
        <v>NA</v>
      </c>
      <c r="H9" s="11" t="str">
        <f t="shared" ref="H9:H72" si="3">IF(I9="NA","NA",$E$3+I9)</f>
        <v>NA</v>
      </c>
      <c r="I9" s="14" t="str">
        <f t="shared" ref="I9:I72" si="4">IF(G9="NA","NA",G9*$E$5)</f>
        <v>NA</v>
      </c>
      <c r="J9" s="4" t="s">
        <v>41</v>
      </c>
      <c r="K9" s="152">
        <f t="shared" ref="K9:K30" si="5">C190</f>
        <v>69.842548970989341</v>
      </c>
    </row>
    <row r="10" spans="1:12" ht="15.5">
      <c r="A10" s="105" t="str">
        <f>'Sovereign Ratings (Moody''s,S&amp;P)'!A4</f>
        <v>Andorra (Principality of)</v>
      </c>
      <c r="B10" s="101" t="str">
        <f>VLOOKUP(A10,'Regional lookup table'!$A$2:$B$162,2,FALSE)</f>
        <v>Western Europe</v>
      </c>
      <c r="C10" s="9" t="str">
        <f>VLOOKUP(A10,'Sovereign Ratings (Moody''s,S&amp;P)'!$A$2:$D$158,4,FALSE)</f>
        <v>Baa1</v>
      </c>
      <c r="D10" s="21">
        <f t="shared" si="0"/>
        <v>1.5830977766757577E-2</v>
      </c>
      <c r="E10" s="21">
        <f t="shared" si="1"/>
        <v>5.9130977766757575E-2</v>
      </c>
      <c r="F10" s="11">
        <f t="shared" si="2"/>
        <v>1.5830977766757577E-2</v>
      </c>
      <c r="G10" s="140" t="str">
        <f>VLOOKUP(A10,'10-year CDS Spreads'!$A$2:$D$158,4,FALSE)</f>
        <v>NA</v>
      </c>
      <c r="H10" s="11" t="str">
        <f t="shared" si="3"/>
        <v>NA</v>
      </c>
      <c r="I10" s="14" t="str">
        <f t="shared" si="4"/>
        <v>NA</v>
      </c>
      <c r="J10" s="4" t="s">
        <v>42</v>
      </c>
      <c r="K10" s="152">
        <f t="shared" si="5"/>
        <v>83.811058765187198</v>
      </c>
    </row>
    <row r="11" spans="1:12" ht="15.5">
      <c r="A11" s="105" t="str">
        <f>'Sovereign Ratings (Moody''s,S&amp;P)'!A5</f>
        <v>Angola</v>
      </c>
      <c r="B11" s="101" t="str">
        <f>VLOOKUP(A11,'Regional lookup table'!$A$2:$B$162,2,FALSE)</f>
        <v>Africa</v>
      </c>
      <c r="C11" s="9" t="str">
        <f>VLOOKUP(A11,'Sovereign Ratings (Moody''s,S&amp;P)'!$A$2:$D$158,4,FALSE)</f>
        <v>B3</v>
      </c>
      <c r="D11" s="21">
        <f t="shared" si="0"/>
        <v>6.4371549301595152E-2</v>
      </c>
      <c r="E11" s="21">
        <f t="shared" si="1"/>
        <v>0.10767154930159514</v>
      </c>
      <c r="F11" s="11">
        <f t="shared" si="2"/>
        <v>6.4371549301595152E-2</v>
      </c>
      <c r="G11" s="140">
        <f>VLOOKUP(A11,'10-year CDS Spreads'!$A$2:$D$158,4,FALSE)</f>
        <v>6.3299999999999995E-2</v>
      </c>
      <c r="H11" s="11">
        <f t="shared" si="3"/>
        <v>0.12859661434770955</v>
      </c>
      <c r="I11" s="14">
        <f t="shared" si="4"/>
        <v>8.5296614347709562E-2</v>
      </c>
      <c r="J11" s="4" t="s">
        <v>43</v>
      </c>
      <c r="K11" s="152">
        <f t="shared" si="5"/>
        <v>118.73233325068186</v>
      </c>
    </row>
    <row r="12" spans="1:12" ht="15.5">
      <c r="A12" s="105" t="str">
        <f>'Sovereign Ratings (Moody''s,S&amp;P)'!A6</f>
        <v>Argentina</v>
      </c>
      <c r="B12" s="101" t="str">
        <f>VLOOKUP(A12,'Regional lookup table'!$A$2:$B$162,2,FALSE)</f>
        <v>Central and South America</v>
      </c>
      <c r="C12" s="9" t="str">
        <f>VLOOKUP(A12,'Sovereign Ratings (Moody''s,S&amp;P)'!$A$2:$D$158,4,FALSE)</f>
        <v>Ca</v>
      </c>
      <c r="D12" s="21">
        <f t="shared" si="0"/>
        <v>0.11884873749896685</v>
      </c>
      <c r="E12" s="21">
        <f t="shared" si="1"/>
        <v>0.16214873749896686</v>
      </c>
      <c r="F12" s="11">
        <f t="shared" si="2"/>
        <v>0.11884873749896685</v>
      </c>
      <c r="G12" s="140" t="str">
        <f>VLOOKUP(A12,'10-year CDS Spreads'!$A$2:$D$158,4,FALSE)</f>
        <v>NA</v>
      </c>
      <c r="H12" s="11" t="str">
        <f t="shared" si="3"/>
        <v>NA</v>
      </c>
      <c r="I12" s="14" t="str">
        <f t="shared" si="4"/>
        <v>NA</v>
      </c>
      <c r="J12" s="4" t="s">
        <v>44</v>
      </c>
      <c r="K12" s="152">
        <f t="shared" si="5"/>
        <v>39.577444416893947</v>
      </c>
    </row>
    <row r="13" spans="1:12" ht="15.5">
      <c r="A13" s="105" t="str">
        <f>'Sovereign Ratings (Moody''s,S&amp;P)'!A7</f>
        <v>Armenia</v>
      </c>
      <c r="B13" s="101" t="str">
        <f>VLOOKUP(A13,'Regional lookup table'!$A$2:$B$162,2,FALSE)</f>
        <v>Eastern Europe &amp; Russia</v>
      </c>
      <c r="C13" s="9" t="str">
        <f>VLOOKUP(A13,'Sovereign Ratings (Moody''s,S&amp;P)'!$A$2:$D$158,4,FALSE)</f>
        <v>Ba3</v>
      </c>
      <c r="D13" s="21">
        <f t="shared" si="0"/>
        <v>3.5619699975204554E-2</v>
      </c>
      <c r="E13" s="21">
        <f t="shared" si="1"/>
        <v>7.8919699975204552E-2</v>
      </c>
      <c r="F13" s="11">
        <f t="shared" si="2"/>
        <v>3.5619699975204554E-2</v>
      </c>
      <c r="G13" s="140" t="str">
        <f>VLOOKUP(A13,'10-year CDS Spreads'!$A$2:$D$158,4,FALSE)</f>
        <v>NA</v>
      </c>
      <c r="H13" s="11" t="str">
        <f t="shared" si="3"/>
        <v>NA</v>
      </c>
      <c r="I13" s="14" t="str">
        <f t="shared" si="4"/>
        <v>NA</v>
      </c>
      <c r="J13" s="4" t="s">
        <v>45</v>
      </c>
      <c r="K13" s="152">
        <f t="shared" si="5"/>
        <v>48.889784279692527</v>
      </c>
    </row>
    <row r="14" spans="1:12" ht="15.5">
      <c r="A14" s="105" t="str">
        <f>'Sovereign Ratings (Moody''s,S&amp;P)'!A8</f>
        <v>Aruba</v>
      </c>
      <c r="B14" s="101" t="str">
        <f>VLOOKUP(A14,'Regional lookup table'!$A$2:$B$162,2,FALSE)</f>
        <v>Caribbean</v>
      </c>
      <c r="C14" s="9" t="str">
        <f>VLOOKUP(A14,'Sovereign Ratings (Moody''s,S&amp;P)'!$A$2:$D$158,4,FALSE)</f>
        <v>Baa3</v>
      </c>
      <c r="D14" s="21">
        <f t="shared" si="0"/>
        <v>2.1767594429291676E-2</v>
      </c>
      <c r="E14" s="21">
        <f t="shared" si="1"/>
        <v>6.5067594429291678E-2</v>
      </c>
      <c r="F14" s="11">
        <f t="shared" si="2"/>
        <v>2.1767594429291676E-2</v>
      </c>
      <c r="G14" s="140" t="str">
        <f>VLOOKUP(A14,'10-year CDS Spreads'!$A$2:$D$158,4,FALSE)</f>
        <v>NA</v>
      </c>
      <c r="H14" s="11" t="str">
        <f t="shared" si="3"/>
        <v>NA</v>
      </c>
      <c r="I14" s="14" t="str">
        <f t="shared" si="4"/>
        <v>NA</v>
      </c>
      <c r="J14" s="4" t="s">
        <v>46</v>
      </c>
      <c r="K14" s="152">
        <f t="shared" si="5"/>
        <v>59.366166625340931</v>
      </c>
    </row>
    <row r="15" spans="1:12" ht="15.5">
      <c r="A15" s="105" t="str">
        <f>'Sovereign Ratings (Moody''s,S&amp;P)'!A9</f>
        <v>Australia</v>
      </c>
      <c r="B15" s="101" t="str">
        <f>VLOOKUP(A15,'Regional lookup table'!$A$2:$B$162,2,FALSE)</f>
        <v>Australia &amp; New Zealand</v>
      </c>
      <c r="C15" s="9" t="str">
        <f>VLOOKUP(A15,'Sovereign Ratings (Moody''s,S&amp;P)'!$A$2:$D$158,4,FALSE)</f>
        <v>Aaa</v>
      </c>
      <c r="D15" s="21">
        <f t="shared" si="0"/>
        <v>0</v>
      </c>
      <c r="E15" s="21">
        <f t="shared" si="1"/>
        <v>4.3299999999999998E-2</v>
      </c>
      <c r="F15" s="11">
        <f t="shared" si="2"/>
        <v>0</v>
      </c>
      <c r="G15" s="140">
        <f>VLOOKUP(A15,'10-year CDS Spreads'!$A$2:$D$158,4,FALSE)</f>
        <v>0</v>
      </c>
      <c r="H15" s="11">
        <f t="shared" si="3"/>
        <v>4.3299999999999998E-2</v>
      </c>
      <c r="I15" s="14">
        <f t="shared" si="4"/>
        <v>0</v>
      </c>
      <c r="J15" s="4" t="s">
        <v>47</v>
      </c>
      <c r="K15" s="152">
        <f t="shared" si="5"/>
        <v>0</v>
      </c>
    </row>
    <row r="16" spans="1:12" ht="15.5">
      <c r="A16" s="105" t="str">
        <f>'Sovereign Ratings (Moody''s,S&amp;P)'!A10</f>
        <v>Austria</v>
      </c>
      <c r="B16" s="101" t="str">
        <f>VLOOKUP(A16,'Regional lookup table'!$A$2:$B$162,2,FALSE)</f>
        <v>Western Europe</v>
      </c>
      <c r="C16" s="9" t="str">
        <f>VLOOKUP(A16,'Sovereign Ratings (Moody''s,S&amp;P)'!$A$2:$D$158,4,FALSE)</f>
        <v>Aa1</v>
      </c>
      <c r="D16" s="21">
        <f t="shared" si="0"/>
        <v>3.9577444416893943E-3</v>
      </c>
      <c r="E16" s="21">
        <f t="shared" si="1"/>
        <v>4.7257744441689391E-2</v>
      </c>
      <c r="F16" s="11">
        <f t="shared" si="2"/>
        <v>3.9577444416893943E-3</v>
      </c>
      <c r="G16" s="140">
        <f>VLOOKUP(A16,'10-year CDS Spreads'!$A$2:$D$158,4,FALSE)</f>
        <v>0</v>
      </c>
      <c r="H16" s="11">
        <f t="shared" si="3"/>
        <v>4.3299999999999998E-2</v>
      </c>
      <c r="I16" s="14">
        <f t="shared" si="4"/>
        <v>0</v>
      </c>
      <c r="J16" s="4" t="s">
        <v>48</v>
      </c>
      <c r="K16" s="152">
        <f t="shared" si="5"/>
        <v>445.82827093148182</v>
      </c>
    </row>
    <row r="17" spans="1:11" ht="15.5">
      <c r="A17" s="105" t="str">
        <f>'Sovereign Ratings (Moody''s,S&amp;P)'!A11</f>
        <v>Azerbaijan</v>
      </c>
      <c r="B17" s="101" t="str">
        <f>VLOOKUP(A17,'Regional lookup table'!$A$2:$B$162,2,FALSE)</f>
        <v>Eastern Europe &amp; Russia</v>
      </c>
      <c r="C17" s="9" t="str">
        <f>VLOOKUP(A17,'Sovereign Ratings (Moody''s,S&amp;P)'!$A$2:$D$158,4,FALSE)</f>
        <v>Ba1</v>
      </c>
      <c r="D17" s="21">
        <f t="shared" si="0"/>
        <v>2.4794104884701216E-2</v>
      </c>
      <c r="E17" s="21">
        <f t="shared" si="1"/>
        <v>6.8094104884701218E-2</v>
      </c>
      <c r="F17" s="11">
        <f t="shared" si="2"/>
        <v>2.4794104884701216E-2</v>
      </c>
      <c r="G17" s="140" t="str">
        <f>VLOOKUP(A17,'10-year CDS Spreads'!$A$2:$D$158,4,FALSE)</f>
        <v>NA</v>
      </c>
      <c r="H17" s="11" t="str">
        <f t="shared" si="3"/>
        <v>NA</v>
      </c>
      <c r="I17" s="14" t="str">
        <f t="shared" si="4"/>
        <v>NA</v>
      </c>
      <c r="J17" s="4" t="s">
        <v>49</v>
      </c>
      <c r="K17" s="152">
        <f t="shared" si="5"/>
        <v>544.77188197371675</v>
      </c>
    </row>
    <row r="18" spans="1:11" ht="15.5">
      <c r="A18" s="105" t="str">
        <f>'Sovereign Ratings (Moody''s,S&amp;P)'!A12</f>
        <v>Bahamas</v>
      </c>
      <c r="B18" s="101" t="str">
        <f>VLOOKUP(A18,'Regional lookup table'!$A$2:$B$162,2,FALSE)</f>
        <v>Caribbean</v>
      </c>
      <c r="C18" s="9" t="str">
        <f>VLOOKUP(A18,'Sovereign Ratings (Moody''s,S&amp;P)'!$A$2:$D$158,4,FALSE)</f>
        <v>B1</v>
      </c>
      <c r="D18" s="21">
        <f t="shared" si="0"/>
        <v>4.4582827093148182E-2</v>
      </c>
      <c r="E18" s="21">
        <f t="shared" si="1"/>
        <v>8.788282709314818E-2</v>
      </c>
      <c r="F18" s="11">
        <f t="shared" si="2"/>
        <v>4.4582827093148182E-2</v>
      </c>
      <c r="G18" s="140" t="str">
        <f>VLOOKUP(A18,'10-year CDS Spreads'!$A$2:$D$158,4,FALSE)</f>
        <v>NA</v>
      </c>
      <c r="H18" s="11" t="str">
        <f t="shared" si="3"/>
        <v>NA</v>
      </c>
      <c r="I18" s="14" t="str">
        <f t="shared" si="4"/>
        <v>NA</v>
      </c>
      <c r="J18" s="4" t="s">
        <v>77</v>
      </c>
      <c r="K18" s="152">
        <f t="shared" si="5"/>
        <v>643.71549301595155</v>
      </c>
    </row>
    <row r="19" spans="1:11" ht="15.5">
      <c r="A19" s="105" t="str">
        <f>'Sovereign Ratings (Moody''s,S&amp;P)'!A13</f>
        <v>Bahrain</v>
      </c>
      <c r="B19" s="101" t="str">
        <f>VLOOKUP(A19,'Regional lookup table'!$A$2:$B$162,2,FALSE)</f>
        <v>Middle East</v>
      </c>
      <c r="C19" s="9" t="str">
        <f>VLOOKUP(A19,'Sovereign Ratings (Moody''s,S&amp;P)'!$A$2:$D$158,4,FALSE)</f>
        <v>B2</v>
      </c>
      <c r="D19" s="21">
        <f t="shared" si="0"/>
        <v>5.4477188197371677E-2</v>
      </c>
      <c r="E19" s="21">
        <f t="shared" si="1"/>
        <v>9.7777188197371676E-2</v>
      </c>
      <c r="F19" s="11">
        <f t="shared" si="2"/>
        <v>5.4477188197371677E-2</v>
      </c>
      <c r="G19" s="140">
        <f>VLOOKUP(A19,'10-year CDS Spreads'!$A$2:$D$158,4,FALSE)</f>
        <v>2.1000000000000001E-2</v>
      </c>
      <c r="H19" s="11">
        <f t="shared" si="3"/>
        <v>7.159745499687048E-2</v>
      </c>
      <c r="I19" s="14">
        <f t="shared" si="4"/>
        <v>2.8297454996870475E-2</v>
      </c>
      <c r="J19" s="4" t="s">
        <v>78</v>
      </c>
      <c r="K19" s="152">
        <f t="shared" si="5"/>
        <v>247.94104884701215</v>
      </c>
    </row>
    <row r="20" spans="1:11" ht="15.5">
      <c r="A20" s="105" t="str">
        <f>'Sovereign Ratings (Moody''s,S&amp;P)'!A14</f>
        <v>Bangladesh</v>
      </c>
      <c r="B20" s="101" t="str">
        <f>VLOOKUP(A20,'Regional lookup table'!$A$2:$B$162,2,FALSE)</f>
        <v>Asia</v>
      </c>
      <c r="C20" s="9" t="str">
        <f>VLOOKUP(A20,'Sovereign Ratings (Moody''s,S&amp;P)'!$A$2:$D$158,4,FALSE)</f>
        <v>B2</v>
      </c>
      <c r="D20" s="21">
        <f t="shared" si="0"/>
        <v>5.4477188197371677E-2</v>
      </c>
      <c r="E20" s="21">
        <f t="shared" si="1"/>
        <v>9.7777188197371676E-2</v>
      </c>
      <c r="F20" s="11">
        <f t="shared" si="2"/>
        <v>5.4477188197371677E-2</v>
      </c>
      <c r="G20" s="140" t="str">
        <f>VLOOKUP(A20,'10-year CDS Spreads'!$A$2:$D$158,4,FALSE)</f>
        <v>NA</v>
      </c>
      <c r="H20" s="11" t="str">
        <f t="shared" si="3"/>
        <v>NA</v>
      </c>
      <c r="I20" s="14" t="str">
        <f t="shared" si="4"/>
        <v>NA</v>
      </c>
      <c r="J20" s="4" t="s">
        <v>79</v>
      </c>
      <c r="K20" s="152">
        <f t="shared" si="5"/>
        <v>297.99487560955447</v>
      </c>
    </row>
    <row r="21" spans="1:11" ht="15.5">
      <c r="A21" s="105" t="str">
        <f>'Sovereign Ratings (Moody''s,S&amp;P)'!A15</f>
        <v>Barbados</v>
      </c>
      <c r="B21" s="101" t="str">
        <f>VLOOKUP(A21,'Regional lookup table'!$A$2:$B$162,2,FALSE)</f>
        <v>Caribbean</v>
      </c>
      <c r="C21" s="9" t="str">
        <f>VLOOKUP(A21,'Sovereign Ratings (Moody''s,S&amp;P)'!$A$2:$D$158,4,FALSE)</f>
        <v>B3</v>
      </c>
      <c r="D21" s="21">
        <f t="shared" si="0"/>
        <v>6.4371549301595152E-2</v>
      </c>
      <c r="E21" s="21">
        <f t="shared" si="1"/>
        <v>0.10767154930159514</v>
      </c>
      <c r="F21" s="11">
        <f t="shared" si="2"/>
        <v>6.4371549301595152E-2</v>
      </c>
      <c r="G21" s="140" t="str">
        <f>VLOOKUP(A21,'10-year CDS Spreads'!$A$2:$D$158,4,FALSE)</f>
        <v>NA</v>
      </c>
      <c r="H21" s="11" t="str">
        <f t="shared" si="3"/>
        <v>NA</v>
      </c>
      <c r="I21" s="14" t="str">
        <f t="shared" si="4"/>
        <v>NA</v>
      </c>
      <c r="J21" s="4" t="s">
        <v>80</v>
      </c>
      <c r="K21" s="152">
        <f t="shared" si="5"/>
        <v>356.19699975204554</v>
      </c>
    </row>
    <row r="22" spans="1:11" ht="15.5">
      <c r="A22" s="105" t="str">
        <f>'Sovereign Ratings (Moody''s,S&amp;P)'!A16</f>
        <v>Belarus</v>
      </c>
      <c r="B22" s="101" t="str">
        <f>VLOOKUP(A22,'Regional lookup table'!$A$2:$B$162,2,FALSE)</f>
        <v>Eastern Europe &amp; Russia</v>
      </c>
      <c r="C22" s="9" t="str">
        <f>VLOOKUP(A22,'Sovereign Ratings (Moody''s,S&amp;P)'!$A$2:$D$158,4,FALSE)</f>
        <v>C</v>
      </c>
      <c r="D22" s="21">
        <f t="shared" si="0"/>
        <v>0.17499999999999999</v>
      </c>
      <c r="E22" s="21">
        <f t="shared" si="1"/>
        <v>0.21829999999999999</v>
      </c>
      <c r="F22" s="11">
        <f t="shared" si="2"/>
        <v>0.17499999999999999</v>
      </c>
      <c r="G22" s="140" t="str">
        <f>VLOOKUP(A22,'10-year CDS Spreads'!$A$2:$D$158,4,FALSE)</f>
        <v>NA</v>
      </c>
      <c r="H22" s="11" t="str">
        <f t="shared" si="3"/>
        <v>NA</v>
      </c>
      <c r="I22" s="14" t="str">
        <f t="shared" si="4"/>
        <v>NA</v>
      </c>
      <c r="J22" s="4" t="s">
        <v>81</v>
      </c>
      <c r="K22" s="152">
        <f t="shared" si="5"/>
        <v>158.30977766757579</v>
      </c>
    </row>
    <row r="23" spans="1:11" ht="15.5">
      <c r="A23" s="105" t="str">
        <f>'Sovereign Ratings (Moody''s,S&amp;P)'!A17</f>
        <v>Belgium</v>
      </c>
      <c r="B23" s="101" t="str">
        <f>VLOOKUP(A23,'Regional lookup table'!$A$2:$B$162,2,FALSE)</f>
        <v>Western Europe</v>
      </c>
      <c r="C23" s="9" t="str">
        <f>VLOOKUP(A23,'Sovereign Ratings (Moody''s,S&amp;P)'!$A$2:$D$158,4,FALSE)</f>
        <v>Aa3</v>
      </c>
      <c r="D23" s="21">
        <f t="shared" si="0"/>
        <v>5.9366166625340932E-3</v>
      </c>
      <c r="E23" s="21">
        <f t="shared" si="1"/>
        <v>4.9236616662534094E-2</v>
      </c>
      <c r="F23" s="11">
        <f t="shared" si="2"/>
        <v>5.9366166625340932E-3</v>
      </c>
      <c r="G23" s="140">
        <f>VLOOKUP(A23,'10-year CDS Spreads'!$A$2:$D$158,4,FALSE)</f>
        <v>1.9999999999999966E-4</v>
      </c>
      <c r="H23" s="11">
        <f t="shared" si="3"/>
        <v>4.3569499571398766E-2</v>
      </c>
      <c r="I23" s="14">
        <f t="shared" si="4"/>
        <v>2.6949957139876595E-4</v>
      </c>
      <c r="J23" s="4" t="s">
        <v>82</v>
      </c>
      <c r="K23" s="152">
        <f t="shared" si="5"/>
        <v>188.5748822216712</v>
      </c>
    </row>
    <row r="24" spans="1:11" ht="15.5">
      <c r="A24" s="105" t="str">
        <f>'Sovereign Ratings (Moody''s,S&amp;P)'!A18</f>
        <v>Belize</v>
      </c>
      <c r="B24" s="101" t="str">
        <f>VLOOKUP(A24,'Regional lookup table'!$A$2:$B$162,2,FALSE)</f>
        <v>Central and South America</v>
      </c>
      <c r="C24" s="9" t="str">
        <f>VLOOKUP(A24,'Sovereign Ratings (Moody''s,S&amp;P)'!$A$2:$D$158,4,FALSE)</f>
        <v>Caa1</v>
      </c>
      <c r="D24" s="21">
        <f t="shared" si="0"/>
        <v>7.4265910405818647E-2</v>
      </c>
      <c r="E24" s="21">
        <f t="shared" si="1"/>
        <v>0.11756591040581865</v>
      </c>
      <c r="F24" s="11">
        <f t="shared" si="2"/>
        <v>7.4265910405818647E-2</v>
      </c>
      <c r="G24" s="140" t="str">
        <f>VLOOKUP(A24,'10-year CDS Spreads'!$A$2:$D$158,4,FALSE)</f>
        <v>NA</v>
      </c>
      <c r="H24" s="11" t="str">
        <f t="shared" si="3"/>
        <v>NA</v>
      </c>
      <c r="I24" s="14" t="str">
        <f t="shared" si="4"/>
        <v>NA</v>
      </c>
      <c r="J24" s="4" t="s">
        <v>123</v>
      </c>
      <c r="K24" s="152">
        <f t="shared" si="5"/>
        <v>217.67594429291677</v>
      </c>
    </row>
    <row r="25" spans="1:11" ht="15.5">
      <c r="A25" s="105" t="str">
        <f>'Sovereign Ratings (Moody''s,S&amp;P)'!A19</f>
        <v>Benin</v>
      </c>
      <c r="B25" s="101" t="str">
        <f>VLOOKUP(A25,'Regional lookup table'!$A$2:$B$162,2,FALSE)</f>
        <v>Africa</v>
      </c>
      <c r="C25" s="9" t="str">
        <f>VLOOKUP(A25,'Sovereign Ratings (Moody''s,S&amp;P)'!$A$2:$D$158,4,FALSE)</f>
        <v>B1</v>
      </c>
      <c r="D25" s="21">
        <f t="shared" si="0"/>
        <v>4.4582827093148182E-2</v>
      </c>
      <c r="E25" s="21">
        <f t="shared" si="1"/>
        <v>8.788282709314818E-2</v>
      </c>
      <c r="F25" s="11">
        <f t="shared" si="2"/>
        <v>4.4582827093148182E-2</v>
      </c>
      <c r="G25" s="140" t="str">
        <f>VLOOKUP(A25,'10-year CDS Spreads'!$A$2:$D$158,4,FALSE)</f>
        <v>NA</v>
      </c>
      <c r="H25" s="11" t="str">
        <f t="shared" si="3"/>
        <v>NA</v>
      </c>
      <c r="I25" s="14" t="str">
        <f t="shared" si="4"/>
        <v>NA</v>
      </c>
      <c r="J25" s="4" t="s">
        <v>136</v>
      </c>
      <c r="K25" s="152">
        <f t="shared" si="5"/>
        <v>1750</v>
      </c>
    </row>
    <row r="26" spans="1:11" ht="15.5">
      <c r="A26" s="105" t="str">
        <f>'Sovereign Ratings (Moody''s,S&amp;P)'!A20</f>
        <v>Bermuda</v>
      </c>
      <c r="B26" s="101" t="str">
        <f>VLOOKUP(A26,'Regional lookup table'!$A$2:$B$162,2,FALSE)</f>
        <v>Caribbean</v>
      </c>
      <c r="C26" s="9" t="str">
        <f>VLOOKUP(A26,'Sovereign Ratings (Moody''s,S&amp;P)'!$A$2:$D$158,4,FALSE)</f>
        <v>A2</v>
      </c>
      <c r="D26" s="21">
        <f t="shared" si="0"/>
        <v>8.3811058765187203E-3</v>
      </c>
      <c r="E26" s="21">
        <f t="shared" si="1"/>
        <v>5.1681105876518717E-2</v>
      </c>
      <c r="F26" s="11">
        <f t="shared" si="2"/>
        <v>8.3811058765187203E-3</v>
      </c>
      <c r="G26" s="140" t="str">
        <f>VLOOKUP(A26,'10-year CDS Spreads'!$A$2:$D$158,4,FALSE)</f>
        <v>NA</v>
      </c>
      <c r="H26" s="11" t="str">
        <f t="shared" si="3"/>
        <v>NA</v>
      </c>
      <c r="I26" s="14" t="str">
        <f t="shared" si="4"/>
        <v>NA</v>
      </c>
      <c r="J26" s="4" t="s">
        <v>338</v>
      </c>
      <c r="K26" s="152">
        <f t="shared" si="5"/>
        <v>1188.4873749896685</v>
      </c>
    </row>
    <row r="27" spans="1:11" ht="15.5">
      <c r="A27" s="105" t="str">
        <f>'Sovereign Ratings (Moody''s,S&amp;P)'!A21</f>
        <v>Bolivia</v>
      </c>
      <c r="B27" s="101" t="str">
        <f>VLOOKUP(A27,'Regional lookup table'!$A$2:$B$162,2,FALSE)</f>
        <v>Central and South America</v>
      </c>
      <c r="C27" s="9" t="str">
        <f>VLOOKUP(A27,'Sovereign Ratings (Moody''s,S&amp;P)'!$A$2:$D$158,4,FALSE)</f>
        <v>Caa3</v>
      </c>
      <c r="D27" s="21">
        <f t="shared" si="0"/>
        <v>9.9060015290519873E-2</v>
      </c>
      <c r="E27" s="21">
        <f t="shared" si="1"/>
        <v>0.14236001529051986</v>
      </c>
      <c r="F27" s="11">
        <f t="shared" si="2"/>
        <v>9.9060015290519873E-2</v>
      </c>
      <c r="G27" s="140" t="str">
        <f>VLOOKUP(A27,'10-year CDS Spreads'!$A$2:$D$158,4,FALSE)</f>
        <v>NA</v>
      </c>
      <c r="H27" s="11" t="str">
        <f t="shared" si="3"/>
        <v>NA</v>
      </c>
      <c r="I27" s="14" t="str">
        <f t="shared" si="4"/>
        <v>NA</v>
      </c>
      <c r="J27" s="4" t="str">
        <f>B208</f>
        <v>Caa1</v>
      </c>
      <c r="K27" s="152">
        <f t="shared" si="5"/>
        <v>742.65910405818647</v>
      </c>
    </row>
    <row r="28" spans="1:11" ht="15.5">
      <c r="A28" s="105" t="str">
        <f>'Sovereign Ratings (Moody''s,S&amp;P)'!A22</f>
        <v>Bosnia and Herzegovina</v>
      </c>
      <c r="B28" s="101" t="str">
        <f>VLOOKUP(A28,'Regional lookup table'!$A$2:$B$162,2,FALSE)</f>
        <v>Eastern Europe &amp; Russia</v>
      </c>
      <c r="C28" s="9" t="str">
        <f>VLOOKUP(A28,'Sovereign Ratings (Moody''s,S&amp;P)'!$A$2:$D$158,4,FALSE)</f>
        <v>B3</v>
      </c>
      <c r="D28" s="21">
        <f t="shared" si="0"/>
        <v>6.4371549301595152E-2</v>
      </c>
      <c r="E28" s="21">
        <f t="shared" si="1"/>
        <v>0.10767154930159514</v>
      </c>
      <c r="F28" s="11">
        <f t="shared" si="2"/>
        <v>6.4371549301595152E-2</v>
      </c>
      <c r="G28" s="140" t="str">
        <f>VLOOKUP(A28,'10-year CDS Spreads'!$A$2:$D$158,4,FALSE)</f>
        <v>NA</v>
      </c>
      <c r="H28" s="11" t="str">
        <f t="shared" si="3"/>
        <v>NA</v>
      </c>
      <c r="I28" s="14" t="str">
        <f t="shared" si="4"/>
        <v>NA</v>
      </c>
      <c r="J28" s="4" t="str">
        <f>B209</f>
        <v>Caa2</v>
      </c>
      <c r="K28" s="152">
        <f t="shared" si="5"/>
        <v>891.65654186296365</v>
      </c>
    </row>
    <row r="29" spans="1:11" ht="15.5">
      <c r="A29" s="105" t="str">
        <f>'Sovereign Ratings (Moody''s,S&amp;P)'!A23</f>
        <v>Botswana</v>
      </c>
      <c r="B29" s="101" t="str">
        <f>VLOOKUP(A29,'Regional lookup table'!$A$2:$B$162,2,FALSE)</f>
        <v>Africa</v>
      </c>
      <c r="C29" s="9" t="str">
        <f>VLOOKUP(A29,'Sovereign Ratings (Moody''s,S&amp;P)'!$A$2:$D$158,4,FALSE)</f>
        <v>A3</v>
      </c>
      <c r="D29" s="21">
        <f t="shared" si="0"/>
        <v>1.1873233325068186E-2</v>
      </c>
      <c r="E29" s="21">
        <f t="shared" si="1"/>
        <v>5.5173233325068183E-2</v>
      </c>
      <c r="F29" s="11">
        <f t="shared" si="2"/>
        <v>1.1873233325068186E-2</v>
      </c>
      <c r="G29" s="140" t="str">
        <f>VLOOKUP(A29,'10-year CDS Spreads'!$A$2:$D$158,4,FALSE)</f>
        <v>NA</v>
      </c>
      <c r="H29" s="11" t="str">
        <f t="shared" si="3"/>
        <v>NA</v>
      </c>
      <c r="I29" s="14" t="str">
        <f t="shared" si="4"/>
        <v>NA</v>
      </c>
      <c r="J29" s="4" t="str">
        <f>B210</f>
        <v>Caa3</v>
      </c>
      <c r="K29" s="152">
        <f t="shared" si="5"/>
        <v>990.60015290519868</v>
      </c>
    </row>
    <row r="30" spans="1:11" ht="15.5">
      <c r="A30" s="105" t="str">
        <f>'Sovereign Ratings (Moody''s,S&amp;P)'!A24</f>
        <v>Brazil</v>
      </c>
      <c r="B30" s="101" t="str">
        <f>VLOOKUP(A30,'Regional lookup table'!$A$2:$B$162,2,FALSE)</f>
        <v>Central and South America</v>
      </c>
      <c r="C30" s="9" t="str">
        <f>VLOOKUP(A30,'Sovereign Ratings (Moody''s,S&amp;P)'!$A$2:$D$158,4,FALSE)</f>
        <v>Ba1</v>
      </c>
      <c r="D30" s="21">
        <f t="shared" si="0"/>
        <v>2.4794104884701216E-2</v>
      </c>
      <c r="E30" s="21">
        <f t="shared" si="1"/>
        <v>6.8094104884701218E-2</v>
      </c>
      <c r="F30" s="11">
        <f t="shared" si="2"/>
        <v>2.4794104884701216E-2</v>
      </c>
      <c r="G30" s="140">
        <f>VLOOKUP(A30,'10-year CDS Spreads'!$A$2:$D$158,4,FALSE)</f>
        <v>2.8200000000000003E-2</v>
      </c>
      <c r="H30" s="11">
        <f t="shared" si="3"/>
        <v>8.1299439567226073E-2</v>
      </c>
      <c r="I30" s="14">
        <f t="shared" si="4"/>
        <v>3.7999439567226068E-2</v>
      </c>
      <c r="J30" s="4" t="s">
        <v>273</v>
      </c>
      <c r="K30" s="153" t="str">
        <f t="shared" si="5"/>
        <v>NA</v>
      </c>
    </row>
    <row r="31" spans="1:11" ht="15.5">
      <c r="A31" s="105" t="str">
        <f>'Sovereign Ratings (Moody''s,S&amp;P)'!A25</f>
        <v>Bulgaria</v>
      </c>
      <c r="B31" s="101" t="str">
        <f>VLOOKUP(A31,'Regional lookup table'!$A$2:$B$162,2,FALSE)</f>
        <v>Eastern Europe &amp; Russia</v>
      </c>
      <c r="C31" s="9" t="str">
        <f>VLOOKUP(A31,'Sovereign Ratings (Moody''s,S&amp;P)'!$A$2:$D$158,4,FALSE)</f>
        <v>Baa1</v>
      </c>
      <c r="D31" s="21">
        <f t="shared" si="0"/>
        <v>1.5830977766757577E-2</v>
      </c>
      <c r="E31" s="21">
        <f t="shared" si="1"/>
        <v>5.9130977766757575E-2</v>
      </c>
      <c r="F31" s="11">
        <f t="shared" si="2"/>
        <v>1.5830977766757577E-2</v>
      </c>
      <c r="G31" s="140">
        <f>VLOOKUP(A31,'10-year CDS Spreads'!$A$2:$D$158,4,FALSE)</f>
        <v>1.0200000000000001E-2</v>
      </c>
      <c r="H31" s="11">
        <f t="shared" si="3"/>
        <v>5.704447814133709E-2</v>
      </c>
      <c r="I31" s="14">
        <f t="shared" si="4"/>
        <v>1.3744478141337089E-2</v>
      </c>
    </row>
    <row r="32" spans="1:11" ht="15.5">
      <c r="A32" s="105" t="str">
        <f>'Sovereign Ratings (Moody''s,S&amp;P)'!A26</f>
        <v>Burkina Faso</v>
      </c>
      <c r="B32" s="101" t="str">
        <f>VLOOKUP(A32,'Regional lookup table'!$A$2:$B$162,2,FALSE)</f>
        <v>Africa</v>
      </c>
      <c r="C32" s="9" t="str">
        <f>VLOOKUP(A32,'Sovereign Ratings (Moody''s,S&amp;P)'!$A$2:$D$158,4,FALSE)</f>
        <v>Caa1</v>
      </c>
      <c r="D32" s="21">
        <f t="shared" si="0"/>
        <v>7.4265910405818647E-2</v>
      </c>
      <c r="E32" s="21">
        <f t="shared" si="1"/>
        <v>0.11756591040581865</v>
      </c>
      <c r="F32" s="11">
        <f t="shared" si="2"/>
        <v>7.4265910405818647E-2</v>
      </c>
      <c r="G32" s="140" t="str">
        <f>VLOOKUP(A32,'10-year CDS Spreads'!$A$2:$D$158,4,FALSE)</f>
        <v>NA</v>
      </c>
      <c r="H32" s="11" t="str">
        <f t="shared" si="3"/>
        <v>NA</v>
      </c>
      <c r="I32" s="14" t="str">
        <f t="shared" si="4"/>
        <v>NA</v>
      </c>
    </row>
    <row r="33" spans="1:9" ht="15.5">
      <c r="A33" s="105" t="str">
        <f>'Sovereign Ratings (Moody''s,S&amp;P)'!A27</f>
        <v>Cambodia</v>
      </c>
      <c r="B33" s="101" t="str">
        <f>VLOOKUP(A33,'Regional lookup table'!$A$2:$B$162,2,FALSE)</f>
        <v>Asia</v>
      </c>
      <c r="C33" s="9" t="str">
        <f>VLOOKUP(A33,'Sovereign Ratings (Moody''s,S&amp;P)'!$A$2:$D$158,4,FALSE)</f>
        <v>B2</v>
      </c>
      <c r="D33" s="21">
        <f t="shared" si="0"/>
        <v>5.4477188197371677E-2</v>
      </c>
      <c r="E33" s="21">
        <f t="shared" si="1"/>
        <v>9.7777188197371676E-2</v>
      </c>
      <c r="F33" s="11">
        <f t="shared" si="2"/>
        <v>5.4477188197371677E-2</v>
      </c>
      <c r="G33" s="140" t="str">
        <f>VLOOKUP(A33,'10-year CDS Spreads'!$A$2:$D$158,4,FALSE)</f>
        <v>NA</v>
      </c>
      <c r="H33" s="11" t="str">
        <f t="shared" si="3"/>
        <v>NA</v>
      </c>
      <c r="I33" s="14" t="str">
        <f t="shared" si="4"/>
        <v>NA</v>
      </c>
    </row>
    <row r="34" spans="1:9" ht="15.5">
      <c r="A34" s="105" t="str">
        <f>'Sovereign Ratings (Moody''s,S&amp;P)'!A28</f>
        <v>Cameroon</v>
      </c>
      <c r="B34" s="101" t="str">
        <f>VLOOKUP(A34,'Regional lookup table'!$A$2:$B$162,2,FALSE)</f>
        <v>Africa</v>
      </c>
      <c r="C34" s="9" t="str">
        <f>VLOOKUP(A34,'Sovereign Ratings (Moody''s,S&amp;P)'!$A$2:$D$158,4,FALSE)</f>
        <v>Caa1</v>
      </c>
      <c r="D34" s="21">
        <f t="shared" si="0"/>
        <v>7.4265910405818647E-2</v>
      </c>
      <c r="E34" s="21">
        <f t="shared" si="1"/>
        <v>0.11756591040581865</v>
      </c>
      <c r="F34" s="11">
        <f t="shared" si="2"/>
        <v>7.4265910405818647E-2</v>
      </c>
      <c r="G34" s="140">
        <f>VLOOKUP(A34,'10-year CDS Spreads'!$A$2:$D$158,4,FALSE)</f>
        <v>6.6599999999999993E-2</v>
      </c>
      <c r="H34" s="11">
        <f t="shared" si="3"/>
        <v>0.1330433572757892</v>
      </c>
      <c r="I34" s="14">
        <f t="shared" si="4"/>
        <v>8.9743357275789207E-2</v>
      </c>
    </row>
    <row r="35" spans="1:9" ht="15.5">
      <c r="A35" s="105" t="str">
        <f>'Sovereign Ratings (Moody''s,S&amp;P)'!A29</f>
        <v>Canada</v>
      </c>
      <c r="B35" s="101" t="str">
        <f>VLOOKUP(A35,'Regional lookup table'!$A$2:$B$162,2,FALSE)</f>
        <v>North America</v>
      </c>
      <c r="C35" s="9" t="str">
        <f>VLOOKUP(A35,'Sovereign Ratings (Moody''s,S&amp;P)'!$A$2:$D$158,4,FALSE)</f>
        <v>Aaa</v>
      </c>
      <c r="D35" s="21">
        <f t="shared" si="0"/>
        <v>0</v>
      </c>
      <c r="E35" s="21">
        <f t="shared" si="1"/>
        <v>4.3299999999999998E-2</v>
      </c>
      <c r="F35" s="11">
        <f t="shared" si="2"/>
        <v>0</v>
      </c>
      <c r="G35" s="140">
        <f>VLOOKUP(A35,'10-year CDS Spreads'!$A$2:$D$158,4,FALSE)</f>
        <v>0</v>
      </c>
      <c r="H35" s="11">
        <f t="shared" si="3"/>
        <v>4.3299999999999998E-2</v>
      </c>
      <c r="I35" s="14">
        <f t="shared" si="4"/>
        <v>0</v>
      </c>
    </row>
    <row r="36" spans="1:9" ht="15.5">
      <c r="A36" s="105" t="str">
        <f>'Sovereign Ratings (Moody''s,S&amp;P)'!A30</f>
        <v>Cape Verde</v>
      </c>
      <c r="B36" s="101" t="str">
        <f>VLOOKUP(A36,'Regional lookup table'!$A$2:$B$162,2,FALSE)</f>
        <v>Africa</v>
      </c>
      <c r="C36" s="9" t="str">
        <f>VLOOKUP(A36,'Sovereign Ratings (Moody''s,S&amp;P)'!$A$2:$D$158,4,FALSE)</f>
        <v>B2</v>
      </c>
      <c r="D36" s="21">
        <f t="shared" si="0"/>
        <v>5.4477188197371677E-2</v>
      </c>
      <c r="E36" s="21">
        <f t="shared" si="1"/>
        <v>9.7777188197371676E-2</v>
      </c>
      <c r="F36" s="11">
        <f t="shared" si="2"/>
        <v>5.4477188197371677E-2</v>
      </c>
      <c r="G36" s="140" t="str">
        <f>VLOOKUP(A36,'10-year CDS Spreads'!$A$2:$D$158,4,FALSE)</f>
        <v>NA</v>
      </c>
      <c r="H36" s="11" t="str">
        <f t="shared" si="3"/>
        <v>NA</v>
      </c>
      <c r="I36" s="14" t="str">
        <f t="shared" si="4"/>
        <v>NA</v>
      </c>
    </row>
    <row r="37" spans="1:9" ht="15.5">
      <c r="A37" s="105" t="str">
        <f>'Sovereign Ratings (Moody''s,S&amp;P)'!A31</f>
        <v>Cayman Islands</v>
      </c>
      <c r="B37" s="101" t="str">
        <f>VLOOKUP(A37,'Regional lookup table'!$A$2:$B$162,2,FALSE)</f>
        <v>Caribbean</v>
      </c>
      <c r="C37" s="9" t="str">
        <f>VLOOKUP(A37,'Sovereign Ratings (Moody''s,S&amp;P)'!$A$2:$D$158,4,FALSE)</f>
        <v>Aa3</v>
      </c>
      <c r="D37" s="21">
        <f t="shared" si="0"/>
        <v>5.9366166625340932E-3</v>
      </c>
      <c r="E37" s="21">
        <f t="shared" si="1"/>
        <v>4.9236616662534094E-2</v>
      </c>
      <c r="F37" s="11">
        <f t="shared" si="2"/>
        <v>5.9366166625340932E-3</v>
      </c>
      <c r="G37" s="140" t="str">
        <f>VLOOKUP(A37,'10-year CDS Spreads'!$A$2:$D$158,4,FALSE)</f>
        <v>NA</v>
      </c>
      <c r="H37" s="11" t="str">
        <f t="shared" si="3"/>
        <v>NA</v>
      </c>
      <c r="I37" s="14" t="str">
        <f t="shared" si="4"/>
        <v>NA</v>
      </c>
    </row>
    <row r="38" spans="1:9" ht="15.5">
      <c r="A38" s="105" t="str">
        <f>'Sovereign Ratings (Moody''s,S&amp;P)'!A32</f>
        <v>Chile</v>
      </c>
      <c r="B38" s="101" t="str">
        <f>VLOOKUP(A38,'Regional lookup table'!$A$2:$B$162,2,FALSE)</f>
        <v>Central and South America</v>
      </c>
      <c r="C38" s="9" t="str">
        <f>VLOOKUP(A38,'Sovereign Ratings (Moody''s,S&amp;P)'!$A$2:$D$158,4,FALSE)</f>
        <v>A2</v>
      </c>
      <c r="D38" s="21">
        <f t="shared" si="0"/>
        <v>8.3811058765187203E-3</v>
      </c>
      <c r="E38" s="21">
        <f t="shared" si="1"/>
        <v>5.1681105876518717E-2</v>
      </c>
      <c r="F38" s="11">
        <f t="shared" si="2"/>
        <v>8.3811058765187203E-3</v>
      </c>
      <c r="G38" s="140">
        <f>VLOOKUP(A38,'10-year CDS Spreads'!$A$2:$D$158,4,FALSE)</f>
        <v>7.6E-3</v>
      </c>
      <c r="H38" s="11">
        <f t="shared" si="3"/>
        <v>5.354098371315312E-2</v>
      </c>
      <c r="I38" s="14">
        <f t="shared" si="4"/>
        <v>1.0240983713153124E-2</v>
      </c>
    </row>
    <row r="39" spans="1:9" ht="15.5">
      <c r="A39" s="105" t="str">
        <f>'Sovereign Ratings (Moody''s,S&amp;P)'!A33</f>
        <v>China</v>
      </c>
      <c r="B39" s="101" t="str">
        <f>VLOOKUP(A39,'Regional lookup table'!$A$2:$B$162,2,FALSE)</f>
        <v>Asia</v>
      </c>
      <c r="C39" s="9" t="str">
        <f>VLOOKUP(A39,'Sovereign Ratings (Moody''s,S&amp;P)'!$A$2:$D$158,4,FALSE)</f>
        <v>A1</v>
      </c>
      <c r="D39" s="21">
        <f t="shared" si="0"/>
        <v>6.9842548970989338E-3</v>
      </c>
      <c r="E39" s="21">
        <f t="shared" si="1"/>
        <v>5.028425489709893E-2</v>
      </c>
      <c r="F39" s="11">
        <f t="shared" si="2"/>
        <v>6.9842548970989338E-3</v>
      </c>
      <c r="G39" s="140">
        <f>VLOOKUP(A39,'10-year CDS Spreads'!$A$2:$D$158,4,FALSE)</f>
        <v>5.5999999999999999E-3</v>
      </c>
      <c r="H39" s="11">
        <f t="shared" si="3"/>
        <v>5.0845987999165454E-2</v>
      </c>
      <c r="I39" s="14">
        <f t="shared" si="4"/>
        <v>7.5459879991654592E-3</v>
      </c>
    </row>
    <row r="40" spans="1:9" ht="15.5">
      <c r="A40" s="105" t="str">
        <f>'Sovereign Ratings (Moody''s,S&amp;P)'!A34</f>
        <v>Colombia</v>
      </c>
      <c r="B40" s="101" t="str">
        <f>VLOOKUP(A40,'Regional lookup table'!$A$2:$B$162,2,FALSE)</f>
        <v>Central and South America</v>
      </c>
      <c r="C40" s="9" t="str">
        <f>VLOOKUP(A40,'Sovereign Ratings (Moody''s,S&amp;P)'!$A$2:$D$158,4,FALSE)</f>
        <v>Baa2</v>
      </c>
      <c r="D40" s="21">
        <f t="shared" si="0"/>
        <v>1.885748822216712E-2</v>
      </c>
      <c r="E40" s="21">
        <f t="shared" si="1"/>
        <v>6.2157488222167115E-2</v>
      </c>
      <c r="F40" s="11">
        <f t="shared" si="2"/>
        <v>1.885748822216712E-2</v>
      </c>
      <c r="G40" s="140">
        <f>VLOOKUP(A40,'10-year CDS Spreads'!$A$2:$D$158,4,FALSE)</f>
        <v>2.9600000000000001E-2</v>
      </c>
      <c r="H40" s="11">
        <f t="shared" si="3"/>
        <v>8.3185936567017421E-2</v>
      </c>
      <c r="I40" s="14">
        <f t="shared" si="4"/>
        <v>3.988593656701743E-2</v>
      </c>
    </row>
    <row r="41" spans="1:9" ht="15.5">
      <c r="A41" s="105" t="str">
        <f>'Sovereign Ratings (Moody''s,S&amp;P)'!A35</f>
        <v>Congo (Democratic Republic of)</v>
      </c>
      <c r="B41" s="101" t="str">
        <f>VLOOKUP(A41,'Regional lookup table'!$A$2:$B$162,2,FALSE)</f>
        <v>Africa</v>
      </c>
      <c r="C41" s="9" t="str">
        <f>VLOOKUP(A41,'Sovereign Ratings (Moody''s,S&amp;P)'!$A$2:$D$158,4,FALSE)</f>
        <v>B3</v>
      </c>
      <c r="D41" s="21">
        <f t="shared" si="0"/>
        <v>6.4371549301595152E-2</v>
      </c>
      <c r="E41" s="21">
        <f t="shared" si="1"/>
        <v>0.10767154930159514</v>
      </c>
      <c r="F41" s="11">
        <f t="shared" si="2"/>
        <v>6.4371549301595152E-2</v>
      </c>
      <c r="G41" s="140" t="str">
        <f>VLOOKUP(A41,'10-year CDS Spreads'!$A$2:$D$158,4,FALSE)</f>
        <v>NA</v>
      </c>
      <c r="H41" s="11" t="str">
        <f t="shared" si="3"/>
        <v>NA</v>
      </c>
      <c r="I41" s="14" t="str">
        <f t="shared" si="4"/>
        <v>NA</v>
      </c>
    </row>
    <row r="42" spans="1:9" ht="15.5">
      <c r="A42" s="105" t="str">
        <f>'Sovereign Ratings (Moody''s,S&amp;P)'!A36</f>
        <v>Congo (Republic of)</v>
      </c>
      <c r="B42" s="101" t="str">
        <f>VLOOKUP(A42,'Regional lookup table'!$A$2:$B$162,2,FALSE)</f>
        <v>Africa</v>
      </c>
      <c r="C42" s="9" t="str">
        <f>VLOOKUP(A42,'Sovereign Ratings (Moody''s,S&amp;P)'!$A$2:$D$158,4,FALSE)</f>
        <v>Caa2</v>
      </c>
      <c r="D42" s="21">
        <f t="shared" si="0"/>
        <v>8.9165654186296364E-2</v>
      </c>
      <c r="E42" s="21">
        <f t="shared" si="1"/>
        <v>0.13246565418629636</v>
      </c>
      <c r="F42" s="11">
        <f t="shared" si="2"/>
        <v>8.9165654186296364E-2</v>
      </c>
      <c r="G42" s="140" t="str">
        <f>VLOOKUP(A42,'10-year CDS Spreads'!$A$2:$D$158,4,FALSE)</f>
        <v>NA</v>
      </c>
      <c r="H42" s="11" t="str">
        <f t="shared" si="3"/>
        <v>NA</v>
      </c>
      <c r="I42" s="14" t="str">
        <f t="shared" si="4"/>
        <v>NA</v>
      </c>
    </row>
    <row r="43" spans="1:9" ht="15.5">
      <c r="A43" s="105" t="str">
        <f>'Sovereign Ratings (Moody''s,S&amp;P)'!A37</f>
        <v>Cook Islands</v>
      </c>
      <c r="B43" s="101" t="str">
        <f>VLOOKUP(A43,'Regional lookup table'!$A$2:$B$162,2,FALSE)</f>
        <v>Australia &amp; New Zealand</v>
      </c>
      <c r="C43" s="9" t="str">
        <f>VLOOKUP(A43,'Sovereign Ratings (Moody''s,S&amp;P)'!$A$2:$D$158,4,FALSE)</f>
        <v>B1</v>
      </c>
      <c r="D43" s="21">
        <f t="shared" si="0"/>
        <v>4.4582827093148182E-2</v>
      </c>
      <c r="E43" s="21">
        <f t="shared" si="1"/>
        <v>8.788282709314818E-2</v>
      </c>
      <c r="F43" s="11">
        <f t="shared" si="2"/>
        <v>4.4582827093148182E-2</v>
      </c>
      <c r="G43" s="140" t="str">
        <f>VLOOKUP(A43,'10-year CDS Spreads'!$A$2:$D$158,4,FALSE)</f>
        <v>NA</v>
      </c>
      <c r="H43" s="11" t="str">
        <f t="shared" si="3"/>
        <v>NA</v>
      </c>
      <c r="I43" s="14" t="str">
        <f t="shared" si="4"/>
        <v>NA</v>
      </c>
    </row>
    <row r="44" spans="1:9" ht="15.5">
      <c r="A44" s="105" t="str">
        <f>'Sovereign Ratings (Moody''s,S&amp;P)'!A38</f>
        <v>Costa Rica</v>
      </c>
      <c r="B44" s="101" t="str">
        <f>VLOOKUP(A44,'Regional lookup table'!$A$2:$B$162,2,FALSE)</f>
        <v>Central and South America</v>
      </c>
      <c r="C44" s="9" t="str">
        <f>VLOOKUP(A44,'Sovereign Ratings (Moody''s,S&amp;P)'!$A$2:$D$158,4,FALSE)</f>
        <v>Ba3</v>
      </c>
      <c r="D44" s="21">
        <f t="shared" si="0"/>
        <v>3.5619699975204554E-2</v>
      </c>
      <c r="E44" s="21">
        <f t="shared" si="1"/>
        <v>7.8919699975204552E-2</v>
      </c>
      <c r="F44" s="11">
        <f t="shared" si="2"/>
        <v>3.5619699975204554E-2</v>
      </c>
      <c r="G44" s="140">
        <f>VLOOKUP(A44,'10-year CDS Spreads'!$A$2:$D$158,4,FALSE)</f>
        <v>2.0400000000000001E-2</v>
      </c>
      <c r="H44" s="11">
        <f t="shared" si="3"/>
        <v>7.0788956282674176E-2</v>
      </c>
      <c r="I44" s="14">
        <f t="shared" si="4"/>
        <v>2.7488956282674178E-2</v>
      </c>
    </row>
    <row r="45" spans="1:9" ht="15.5">
      <c r="A45" s="105" t="str">
        <f>'Sovereign Ratings (Moody''s,S&amp;P)'!A39</f>
        <v>Côte d'Ivoire</v>
      </c>
      <c r="B45" s="101" t="str">
        <f>VLOOKUP(A45,'Regional lookup table'!$A$2:$B$162,2,FALSE)</f>
        <v>Africa</v>
      </c>
      <c r="C45" s="9" t="str">
        <f>VLOOKUP(A45,'Sovereign Ratings (Moody''s,S&amp;P)'!$A$2:$D$158,4,FALSE)</f>
        <v>Ba2</v>
      </c>
      <c r="D45" s="21">
        <f t="shared" si="0"/>
        <v>2.9799487560955448E-2</v>
      </c>
      <c r="E45" s="21">
        <f t="shared" si="1"/>
        <v>7.309948756095544E-2</v>
      </c>
      <c r="F45" s="11">
        <f t="shared" si="2"/>
        <v>2.9799487560955448E-2</v>
      </c>
      <c r="G45" s="140" t="str">
        <f>VLOOKUP(A45,'10-year CDS Spreads'!$A$2:$D$158,4,FALSE)</f>
        <v>NA</v>
      </c>
      <c r="H45" s="11" t="str">
        <f t="shared" si="3"/>
        <v>NA</v>
      </c>
      <c r="I45" s="14" t="str">
        <f t="shared" si="4"/>
        <v>NA</v>
      </c>
    </row>
    <row r="46" spans="1:9" ht="15.5">
      <c r="A46" s="105" t="str">
        <f>'Sovereign Ratings (Moody''s,S&amp;P)'!A40</f>
        <v>Croatia</v>
      </c>
      <c r="B46" s="101" t="str">
        <f>VLOOKUP(A46,'Regional lookup table'!$A$2:$B$162,2,FALSE)</f>
        <v>Eastern Europe &amp; Russia</v>
      </c>
      <c r="C46" s="9" t="str">
        <f>VLOOKUP(A46,'Sovereign Ratings (Moody''s,S&amp;P)'!$A$2:$D$158,4,FALSE)</f>
        <v>A3</v>
      </c>
      <c r="D46" s="21">
        <f t="shared" si="0"/>
        <v>1.1873233325068186E-2</v>
      </c>
      <c r="E46" s="21">
        <f t="shared" si="1"/>
        <v>5.5173233325068183E-2</v>
      </c>
      <c r="F46" s="11">
        <f t="shared" si="2"/>
        <v>1.1873233325068186E-2</v>
      </c>
      <c r="G46" s="140">
        <f>VLOOKUP(A46,'10-year CDS Spreads'!$A$2:$D$158,4,FALSE)</f>
        <v>8.5000000000000006E-3</v>
      </c>
      <c r="H46" s="11">
        <f t="shared" si="3"/>
        <v>5.4753731784447569E-2</v>
      </c>
      <c r="I46" s="14">
        <f t="shared" si="4"/>
        <v>1.1453731784447573E-2</v>
      </c>
    </row>
    <row r="47" spans="1:9" ht="15.5">
      <c r="A47" s="105" t="str">
        <f>'Sovereign Ratings (Moody''s,S&amp;P)'!A41</f>
        <v>Cuba</v>
      </c>
      <c r="B47" s="101" t="str">
        <f>VLOOKUP(A47,'Regional lookup table'!$A$2:$B$162,2,FALSE)</f>
        <v>Caribbean</v>
      </c>
      <c r="C47" s="9" t="str">
        <f>VLOOKUP(A47,'Sovereign Ratings (Moody''s,S&amp;P)'!$A$2:$D$158,4,FALSE)</f>
        <v>Ca</v>
      </c>
      <c r="D47" s="21">
        <f t="shared" si="0"/>
        <v>0.11884873749896685</v>
      </c>
      <c r="E47" s="21">
        <f t="shared" si="1"/>
        <v>0.16214873749896686</v>
      </c>
      <c r="F47" s="11">
        <f t="shared" si="2"/>
        <v>0.11884873749896685</v>
      </c>
      <c r="G47" s="140" t="str">
        <f>VLOOKUP(A47,'10-year CDS Spreads'!$A$2:$D$158,4,FALSE)</f>
        <v>NA</v>
      </c>
      <c r="H47" s="11" t="str">
        <f t="shared" si="3"/>
        <v>NA</v>
      </c>
      <c r="I47" s="14" t="str">
        <f t="shared" si="4"/>
        <v>NA</v>
      </c>
    </row>
    <row r="48" spans="1:9" ht="15.5">
      <c r="A48" s="105" t="str">
        <f>'Sovereign Ratings (Moody''s,S&amp;P)'!A42</f>
        <v>Curacao</v>
      </c>
      <c r="B48" s="101" t="str">
        <f>VLOOKUP(A48,'Regional lookup table'!$A$2:$B$162,2,FALSE)</f>
        <v>Caribbean</v>
      </c>
      <c r="C48" s="9" t="str">
        <f>VLOOKUP(A48,'Sovereign Ratings (Moody''s,S&amp;P)'!$A$2:$D$158,4,FALSE)</f>
        <v>Baa3</v>
      </c>
      <c r="D48" s="21">
        <f t="shared" si="0"/>
        <v>2.1767594429291676E-2</v>
      </c>
      <c r="E48" s="21">
        <f t="shared" si="1"/>
        <v>6.5067594429291678E-2</v>
      </c>
      <c r="F48" s="11">
        <f t="shared" si="2"/>
        <v>2.1767594429291676E-2</v>
      </c>
      <c r="G48" s="140" t="str">
        <f>VLOOKUP(A48,'10-year CDS Spreads'!$A$2:$D$158,4,FALSE)</f>
        <v>NA</v>
      </c>
      <c r="H48" s="11" t="str">
        <f t="shared" si="3"/>
        <v>NA</v>
      </c>
      <c r="I48" s="14" t="str">
        <f t="shared" si="4"/>
        <v>NA</v>
      </c>
    </row>
    <row r="49" spans="1:9" ht="15.5">
      <c r="A49" s="105" t="str">
        <f>'Sovereign Ratings (Moody''s,S&amp;P)'!A43</f>
        <v>Cyprus</v>
      </c>
      <c r="B49" s="101" t="str">
        <f>VLOOKUP(A49,'Regional lookup table'!$A$2:$B$162,2,FALSE)</f>
        <v>Western Europe</v>
      </c>
      <c r="C49" s="9" t="str">
        <f>VLOOKUP(A49,'Sovereign Ratings (Moody''s,S&amp;P)'!$A$2:$D$158,4,FALSE)</f>
        <v>A3</v>
      </c>
      <c r="D49" s="21">
        <f t="shared" si="0"/>
        <v>1.1873233325068186E-2</v>
      </c>
      <c r="E49" s="21">
        <f t="shared" si="1"/>
        <v>5.5173233325068183E-2</v>
      </c>
      <c r="F49" s="11">
        <f t="shared" si="2"/>
        <v>1.1873233325068186E-2</v>
      </c>
      <c r="G49" s="140">
        <f>VLOOKUP(A49,'10-year CDS Spreads'!$A$2:$D$158,4,FALSE)</f>
        <v>5.8000000000000005E-3</v>
      </c>
      <c r="H49" s="11">
        <f t="shared" si="3"/>
        <v>5.1115487570564222E-2</v>
      </c>
      <c r="I49" s="14">
        <f t="shared" si="4"/>
        <v>7.8154875705642272E-3</v>
      </c>
    </row>
    <row r="50" spans="1:9" ht="15.5">
      <c r="A50" s="105" t="str">
        <f>'Sovereign Ratings (Moody''s,S&amp;P)'!A44</f>
        <v>Czech Republic</v>
      </c>
      <c r="B50" s="101" t="str">
        <f>VLOOKUP(A50,'Regional lookup table'!$A$2:$B$162,2,FALSE)</f>
        <v>Eastern Europe &amp; Russia</v>
      </c>
      <c r="C50" s="9" t="str">
        <f>VLOOKUP(A50,'Sovereign Ratings (Moody''s,S&amp;P)'!$A$2:$D$158,4,FALSE)</f>
        <v>Aa3</v>
      </c>
      <c r="D50" s="21">
        <f t="shared" si="0"/>
        <v>5.9366166625340932E-3</v>
      </c>
      <c r="E50" s="21">
        <f t="shared" si="1"/>
        <v>4.9236616662534094E-2</v>
      </c>
      <c r="F50" s="11">
        <f t="shared" si="2"/>
        <v>5.9366166625340932E-3</v>
      </c>
      <c r="G50" s="140">
        <f>VLOOKUP(A50,'10-year CDS Spreads'!$A$2:$D$158,4,FALSE)</f>
        <v>8.9999999999999976E-4</v>
      </c>
      <c r="H50" s="11">
        <f t="shared" si="3"/>
        <v>4.4512748071294447E-2</v>
      </c>
      <c r="I50" s="14">
        <f t="shared" si="4"/>
        <v>1.2127480712944485E-3</v>
      </c>
    </row>
    <row r="51" spans="1:9" ht="15.5">
      <c r="A51" s="105" t="str">
        <f>'Sovereign Ratings (Moody''s,S&amp;P)'!A45</f>
        <v>Denmark</v>
      </c>
      <c r="B51" s="101" t="str">
        <f>VLOOKUP(A51,'Regional lookup table'!$A$2:$B$162,2,FALSE)</f>
        <v>Western Europe</v>
      </c>
      <c r="C51" s="9" t="str">
        <f>VLOOKUP(A51,'Sovereign Ratings (Moody''s,S&amp;P)'!$A$2:$D$158,4,FALSE)</f>
        <v>Aaa</v>
      </c>
      <c r="D51" s="21">
        <f t="shared" si="0"/>
        <v>0</v>
      </c>
      <c r="E51" s="21">
        <f t="shared" si="1"/>
        <v>4.3299999999999998E-2</v>
      </c>
      <c r="F51" s="11">
        <f t="shared" si="2"/>
        <v>0</v>
      </c>
      <c r="G51" s="140">
        <f>VLOOKUP(A51,'10-year CDS Spreads'!$A$2:$D$158,4,FALSE)</f>
        <v>0</v>
      </c>
      <c r="H51" s="11">
        <f t="shared" si="3"/>
        <v>4.3299999999999998E-2</v>
      </c>
      <c r="I51" s="14">
        <f t="shared" si="4"/>
        <v>0</v>
      </c>
    </row>
    <row r="52" spans="1:9" ht="15.5">
      <c r="A52" s="105" t="str">
        <f>'Sovereign Ratings (Moody''s,S&amp;P)'!A46</f>
        <v>Dominican Republic</v>
      </c>
      <c r="B52" s="101" t="str">
        <f>VLOOKUP(A52,'Regional lookup table'!$A$2:$B$162,2,FALSE)</f>
        <v>Caribbean</v>
      </c>
      <c r="C52" s="9" t="str">
        <f>VLOOKUP(A52,'Sovereign Ratings (Moody''s,S&amp;P)'!$A$2:$D$158,4,FALSE)</f>
        <v>Ba3</v>
      </c>
      <c r="D52" s="21">
        <f t="shared" si="0"/>
        <v>3.5619699975204554E-2</v>
      </c>
      <c r="E52" s="21">
        <f t="shared" si="1"/>
        <v>7.8919699975204552E-2</v>
      </c>
      <c r="F52" s="11">
        <f t="shared" si="2"/>
        <v>3.5619699975204554E-2</v>
      </c>
      <c r="G52" s="140" t="str">
        <f>VLOOKUP(A52,'10-year CDS Spreads'!$A$2:$D$158,4,FALSE)</f>
        <v>NA</v>
      </c>
      <c r="H52" s="11" t="str">
        <f t="shared" si="3"/>
        <v>NA</v>
      </c>
      <c r="I52" s="14" t="str">
        <f t="shared" si="4"/>
        <v>NA</v>
      </c>
    </row>
    <row r="53" spans="1:9" ht="15.5">
      <c r="A53" s="105" t="str">
        <f>'Sovereign Ratings (Moody''s,S&amp;P)'!A47</f>
        <v>Ecuador</v>
      </c>
      <c r="B53" s="101" t="str">
        <f>VLOOKUP(A53,'Regional lookup table'!$A$2:$B$162,2,FALSE)</f>
        <v>Central and South America</v>
      </c>
      <c r="C53" s="9" t="str">
        <f>VLOOKUP(A53,'Sovereign Ratings (Moody''s,S&amp;P)'!$A$2:$D$158,4,FALSE)</f>
        <v>Caa3</v>
      </c>
      <c r="D53" s="21">
        <f t="shared" si="0"/>
        <v>9.9060015290519873E-2</v>
      </c>
      <c r="E53" s="21">
        <f t="shared" si="1"/>
        <v>0.14236001529051986</v>
      </c>
      <c r="F53" s="11">
        <f t="shared" si="2"/>
        <v>9.9060015290519873E-2</v>
      </c>
      <c r="G53" s="140">
        <f>VLOOKUP(A53,'10-year CDS Spreads'!$A$2:$D$158,4,FALSE)</f>
        <v>0.1867</v>
      </c>
      <c r="H53" s="11">
        <f t="shared" si="3"/>
        <v>0.29487784990074845</v>
      </c>
      <c r="I53" s="14">
        <f t="shared" si="4"/>
        <v>0.25157784990074844</v>
      </c>
    </row>
    <row r="54" spans="1:9" ht="15.5">
      <c r="A54" s="105" t="str">
        <f>'Sovereign Ratings (Moody''s,S&amp;P)'!A48</f>
        <v>Egypt</v>
      </c>
      <c r="B54" s="101" t="str">
        <f>VLOOKUP(A54,'Regional lookup table'!$A$2:$B$162,2,FALSE)</f>
        <v>Africa</v>
      </c>
      <c r="C54" s="9" t="str">
        <f>VLOOKUP(A54,'Sovereign Ratings (Moody''s,S&amp;P)'!$A$2:$D$158,4,FALSE)</f>
        <v>Caa1</v>
      </c>
      <c r="D54" s="21">
        <f t="shared" si="0"/>
        <v>7.4265910405818647E-2</v>
      </c>
      <c r="E54" s="21">
        <f t="shared" si="1"/>
        <v>0.11756591040581865</v>
      </c>
      <c r="F54" s="11">
        <f t="shared" si="2"/>
        <v>7.4265910405818647E-2</v>
      </c>
      <c r="G54" s="140">
        <f>VLOOKUP(A54,'10-year CDS Spreads'!$A$2:$D$158,4,FALSE)</f>
        <v>5.9400000000000001E-2</v>
      </c>
      <c r="H54" s="11">
        <f t="shared" si="3"/>
        <v>0.12334137270543363</v>
      </c>
      <c r="I54" s="14">
        <f t="shared" si="4"/>
        <v>8.0041372705433628E-2</v>
      </c>
    </row>
    <row r="55" spans="1:9" ht="15.5">
      <c r="A55" s="105" t="str">
        <f>'Sovereign Ratings (Moody''s,S&amp;P)'!A49</f>
        <v>El Salvador</v>
      </c>
      <c r="B55" s="101" t="str">
        <f>VLOOKUP(A55,'Regional lookup table'!$A$2:$B$162,2,FALSE)</f>
        <v>Central and South America</v>
      </c>
      <c r="C55" s="9" t="str">
        <f>VLOOKUP(A55,'Sovereign Ratings (Moody''s,S&amp;P)'!$A$2:$D$158,4,FALSE)</f>
        <v>B3</v>
      </c>
      <c r="D55" s="21">
        <f t="shared" si="0"/>
        <v>6.4371549301595152E-2</v>
      </c>
      <c r="E55" s="21">
        <f t="shared" si="1"/>
        <v>0.10767154930159514</v>
      </c>
      <c r="F55" s="11">
        <f t="shared" si="2"/>
        <v>6.4371549301595152E-2</v>
      </c>
      <c r="G55" s="140">
        <f>VLOOKUP(A55,'10-year CDS Spreads'!$A$2:$D$158,4,FALSE)</f>
        <v>3.7900000000000003E-2</v>
      </c>
      <c r="H55" s="11">
        <f t="shared" si="3"/>
        <v>9.4370168780066238E-2</v>
      </c>
      <c r="I55" s="14">
        <f t="shared" si="4"/>
        <v>5.107016878006624E-2</v>
      </c>
    </row>
    <row r="56" spans="1:9" ht="15.5">
      <c r="A56" s="105" t="str">
        <f>'Sovereign Ratings (Moody''s,S&amp;P)'!A50</f>
        <v>Estonia</v>
      </c>
      <c r="B56" s="101" t="str">
        <f>VLOOKUP(A56,'Regional lookup table'!$A$2:$B$162,2,FALSE)</f>
        <v>Eastern Europe &amp; Russia</v>
      </c>
      <c r="C56" s="9" t="str">
        <f>VLOOKUP(A56,'Sovereign Ratings (Moody''s,S&amp;P)'!$A$2:$D$158,4,FALSE)</f>
        <v>A1</v>
      </c>
      <c r="D56" s="21">
        <f t="shared" si="0"/>
        <v>6.9842548970989338E-3</v>
      </c>
      <c r="E56" s="21">
        <f t="shared" si="1"/>
        <v>5.028425489709893E-2</v>
      </c>
      <c r="F56" s="11">
        <f t="shared" si="2"/>
        <v>6.9842548970989338E-3</v>
      </c>
      <c r="G56" s="140">
        <f>VLOOKUP(A56,'10-year CDS Spreads'!$A$2:$D$158,4,FALSE)</f>
        <v>3.9999999999999992E-3</v>
      </c>
      <c r="H56" s="11">
        <f t="shared" si="3"/>
        <v>4.8689991427975324E-2</v>
      </c>
      <c r="I56" s="14">
        <f t="shared" si="4"/>
        <v>5.3899914279753273E-3</v>
      </c>
    </row>
    <row r="57" spans="1:9" ht="15.5">
      <c r="A57" s="105" t="str">
        <f>'Sovereign Ratings (Moody''s,S&amp;P)'!A51</f>
        <v>Ethiopia</v>
      </c>
      <c r="B57" s="101" t="str">
        <f>VLOOKUP(A57,'Regional lookup table'!$A$2:$B$162,2,FALSE)</f>
        <v>Africa</v>
      </c>
      <c r="C57" s="9" t="str">
        <f>VLOOKUP(A57,'Sovereign Ratings (Moody''s,S&amp;P)'!$A$2:$D$158,4,FALSE)</f>
        <v>Caa2</v>
      </c>
      <c r="D57" s="21">
        <f t="shared" si="0"/>
        <v>8.9165654186296364E-2</v>
      </c>
      <c r="E57" s="21">
        <f t="shared" si="1"/>
        <v>0.13246565418629636</v>
      </c>
      <c r="F57" s="11">
        <f t="shared" si="2"/>
        <v>8.9165654186296364E-2</v>
      </c>
      <c r="G57" s="140">
        <f>VLOOKUP(A57,'10-year CDS Spreads'!$A$2:$D$158,4,FALSE)</f>
        <v>0.3256</v>
      </c>
      <c r="H57" s="11">
        <f t="shared" si="3"/>
        <v>0.48204530223719172</v>
      </c>
      <c r="I57" s="14">
        <f t="shared" si="4"/>
        <v>0.43874530223719171</v>
      </c>
    </row>
    <row r="58" spans="1:9" ht="15.5">
      <c r="A58" s="105" t="str">
        <f>'Sovereign Ratings (Moody''s,S&amp;P)'!A52</f>
        <v>Fiji</v>
      </c>
      <c r="B58" s="101" t="str">
        <f>VLOOKUP(A58,'Regional lookup table'!$A$2:$B$162,2,FALSE)</f>
        <v>Asia</v>
      </c>
      <c r="C58" s="9" t="str">
        <f>VLOOKUP(A58,'Sovereign Ratings (Moody''s,S&amp;P)'!$A$2:$D$158,4,FALSE)</f>
        <v>B1</v>
      </c>
      <c r="D58" s="21">
        <f t="shared" si="0"/>
        <v>4.4582827093148182E-2</v>
      </c>
      <c r="E58" s="21">
        <f t="shared" si="1"/>
        <v>8.788282709314818E-2</v>
      </c>
      <c r="F58" s="11">
        <f t="shared" si="2"/>
        <v>4.4582827093148182E-2</v>
      </c>
      <c r="G58" s="140" t="str">
        <f>VLOOKUP(A58,'10-year CDS Spreads'!$A$2:$D$158,4,FALSE)</f>
        <v>NA</v>
      </c>
      <c r="H58" s="11" t="str">
        <f t="shared" si="3"/>
        <v>NA</v>
      </c>
      <c r="I58" s="14" t="str">
        <f t="shared" si="4"/>
        <v>NA</v>
      </c>
    </row>
    <row r="59" spans="1:9" ht="15.5">
      <c r="A59" s="105" t="str">
        <f>'Sovereign Ratings (Moody''s,S&amp;P)'!A53</f>
        <v>Finland</v>
      </c>
      <c r="B59" s="101" t="str">
        <f>VLOOKUP(A59,'Regional lookup table'!$A$2:$B$162,2,FALSE)</f>
        <v>Western Europe</v>
      </c>
      <c r="C59" s="9" t="str">
        <f>VLOOKUP(A59,'Sovereign Ratings (Moody''s,S&amp;P)'!$A$2:$D$158,4,FALSE)</f>
        <v>Aa1</v>
      </c>
      <c r="D59" s="21">
        <f t="shared" si="0"/>
        <v>3.9577444416893943E-3</v>
      </c>
      <c r="E59" s="21">
        <f t="shared" si="1"/>
        <v>4.7257744441689391E-2</v>
      </c>
      <c r="F59" s="11">
        <f t="shared" si="2"/>
        <v>3.9577444416893943E-3</v>
      </c>
      <c r="G59" s="140">
        <f>VLOOKUP(A59,'10-year CDS Spreads'!$A$2:$D$158,4,FALSE)</f>
        <v>0</v>
      </c>
      <c r="H59" s="11">
        <f t="shared" si="3"/>
        <v>4.3299999999999998E-2</v>
      </c>
      <c r="I59" s="14">
        <f t="shared" si="4"/>
        <v>0</v>
      </c>
    </row>
    <row r="60" spans="1:9" ht="15.5">
      <c r="A60" s="105" t="str">
        <f>'Sovereign Ratings (Moody''s,S&amp;P)'!A54</f>
        <v>France</v>
      </c>
      <c r="B60" s="101" t="str">
        <f>VLOOKUP(A60,'Regional lookup table'!$A$2:$B$162,2,FALSE)</f>
        <v>Western Europe</v>
      </c>
      <c r="C60" s="9" t="str">
        <f>VLOOKUP(A60,'Sovereign Ratings (Moody''s,S&amp;P)'!$A$2:$D$158,4,FALSE)</f>
        <v>Aa3</v>
      </c>
      <c r="D60" s="21">
        <f t="shared" si="0"/>
        <v>5.9366166625340932E-3</v>
      </c>
      <c r="E60" s="21">
        <f t="shared" si="1"/>
        <v>4.9236616662534094E-2</v>
      </c>
      <c r="F60" s="11">
        <f t="shared" si="2"/>
        <v>5.9366166625340932E-3</v>
      </c>
      <c r="G60" s="140">
        <f>VLOOKUP(A60,'10-year CDS Spreads'!$A$2:$D$158,4,FALSE)</f>
        <v>2.7999999999999995E-3</v>
      </c>
      <c r="H60" s="11">
        <f t="shared" si="3"/>
        <v>4.707299399958273E-2</v>
      </c>
      <c r="I60" s="14">
        <f t="shared" si="4"/>
        <v>3.7729939995827292E-3</v>
      </c>
    </row>
    <row r="61" spans="1:9" ht="15.5">
      <c r="A61" s="105" t="str">
        <f>'Sovereign Ratings (Moody''s,S&amp;P)'!A55</f>
        <v>Gabon</v>
      </c>
      <c r="B61" s="101" t="str">
        <f>VLOOKUP(A61,'Regional lookup table'!$A$2:$B$162,2,FALSE)</f>
        <v>Africa</v>
      </c>
      <c r="C61" s="9" t="str">
        <f>VLOOKUP(A61,'Sovereign Ratings (Moody''s,S&amp;P)'!$A$2:$D$158,4,FALSE)</f>
        <v>Caa2</v>
      </c>
      <c r="D61" s="21">
        <f t="shared" si="0"/>
        <v>8.9165654186296364E-2</v>
      </c>
      <c r="E61" s="21">
        <f t="shared" si="1"/>
        <v>0.13246565418629636</v>
      </c>
      <c r="F61" s="11">
        <f t="shared" si="2"/>
        <v>8.9165654186296364E-2</v>
      </c>
      <c r="G61" s="140" t="str">
        <f>VLOOKUP(A61,'10-year CDS Spreads'!$A$2:$D$158,4,FALSE)</f>
        <v>NA</v>
      </c>
      <c r="H61" s="11" t="str">
        <f t="shared" si="3"/>
        <v>NA</v>
      </c>
      <c r="I61" s="14" t="str">
        <f t="shared" si="4"/>
        <v>NA</v>
      </c>
    </row>
    <row r="62" spans="1:9" ht="15.5">
      <c r="A62" s="105" t="str">
        <f>'Sovereign Ratings (Moody''s,S&amp;P)'!A56</f>
        <v>Georgia</v>
      </c>
      <c r="B62" s="101" t="str">
        <f>VLOOKUP(A62,'Regional lookup table'!$A$2:$B$162,2,FALSE)</f>
        <v>Eastern Europe &amp; Russia</v>
      </c>
      <c r="C62" s="9" t="str">
        <f>VLOOKUP(A62,'Sovereign Ratings (Moody''s,S&amp;P)'!$A$2:$D$158,4,FALSE)</f>
        <v>Ba2</v>
      </c>
      <c r="D62" s="21">
        <f t="shared" si="0"/>
        <v>2.9799487560955448E-2</v>
      </c>
      <c r="E62" s="21">
        <f t="shared" si="1"/>
        <v>7.309948756095544E-2</v>
      </c>
      <c r="F62" s="11">
        <f t="shared" si="2"/>
        <v>2.9799487560955448E-2</v>
      </c>
      <c r="G62" s="140" t="str">
        <f>VLOOKUP(A62,'10-year CDS Spreads'!$A$2:$D$158,4,FALSE)</f>
        <v>NA</v>
      </c>
      <c r="H62" s="11" t="str">
        <f t="shared" si="3"/>
        <v>NA</v>
      </c>
      <c r="I62" s="14" t="str">
        <f t="shared" si="4"/>
        <v>NA</v>
      </c>
    </row>
    <row r="63" spans="1:9" ht="15.5">
      <c r="A63" s="105" t="str">
        <f>'Sovereign Ratings (Moody''s,S&amp;P)'!A57</f>
        <v>Germany</v>
      </c>
      <c r="B63" s="101" t="str">
        <f>VLOOKUP(A63,'Regional lookup table'!$A$2:$B$162,2,FALSE)</f>
        <v>Western Europe</v>
      </c>
      <c r="C63" s="9" t="str">
        <f>VLOOKUP(A63,'Sovereign Ratings (Moody''s,S&amp;P)'!$A$2:$D$158,4,FALSE)</f>
        <v>Aaa</v>
      </c>
      <c r="D63" s="21">
        <f t="shared" si="0"/>
        <v>0</v>
      </c>
      <c r="E63" s="21">
        <f t="shared" si="1"/>
        <v>4.3299999999999998E-2</v>
      </c>
      <c r="F63" s="11">
        <f t="shared" si="2"/>
        <v>0</v>
      </c>
      <c r="G63" s="140">
        <f>VLOOKUP(A63,'10-year CDS Spreads'!$A$2:$D$158,4,FALSE)</f>
        <v>0</v>
      </c>
      <c r="H63" s="11">
        <f t="shared" si="3"/>
        <v>4.3299999999999998E-2</v>
      </c>
      <c r="I63" s="14">
        <f t="shared" si="4"/>
        <v>0</v>
      </c>
    </row>
    <row r="64" spans="1:9" ht="15.5">
      <c r="A64" s="105" t="str">
        <f>'Sovereign Ratings (Moody''s,S&amp;P)'!A58</f>
        <v>Ghana</v>
      </c>
      <c r="B64" s="101" t="str">
        <f>VLOOKUP(A64,'Regional lookup table'!$A$2:$B$162,2,FALSE)</f>
        <v>Africa</v>
      </c>
      <c r="C64" s="9" t="str">
        <f>VLOOKUP(A64,'Sovereign Ratings (Moody''s,S&amp;P)'!$A$2:$D$158,4,FALSE)</f>
        <v>Caa2</v>
      </c>
      <c r="D64" s="21">
        <f t="shared" si="0"/>
        <v>8.9165654186296364E-2</v>
      </c>
      <c r="E64" s="21">
        <f t="shared" si="1"/>
        <v>0.13246565418629636</v>
      </c>
      <c r="F64" s="11">
        <f t="shared" si="2"/>
        <v>8.9165654186296364E-2</v>
      </c>
      <c r="G64" s="140" t="str">
        <f>VLOOKUP(A64,'10-year CDS Spreads'!$A$2:$D$158,4,FALSE)</f>
        <v>NA</v>
      </c>
      <c r="H64" s="11" t="str">
        <f t="shared" si="3"/>
        <v>NA</v>
      </c>
      <c r="I64" s="14" t="str">
        <f t="shared" si="4"/>
        <v>NA</v>
      </c>
    </row>
    <row r="65" spans="1:9" ht="15.5">
      <c r="A65" s="105" t="str">
        <f>'Sovereign Ratings (Moody''s,S&amp;P)'!A59</f>
        <v>Greece</v>
      </c>
      <c r="B65" s="101" t="str">
        <f>VLOOKUP(A65,'Regional lookup table'!$A$2:$B$162,2,FALSE)</f>
        <v>Western Europe</v>
      </c>
      <c r="C65" s="9" t="str">
        <f>VLOOKUP(A65,'Sovereign Ratings (Moody''s,S&amp;P)'!$A$2:$D$158,4,FALSE)</f>
        <v>Ba1</v>
      </c>
      <c r="D65" s="21">
        <f t="shared" si="0"/>
        <v>2.4794104884701216E-2</v>
      </c>
      <c r="E65" s="21">
        <f t="shared" si="1"/>
        <v>6.8094104884701218E-2</v>
      </c>
      <c r="F65" s="11">
        <f t="shared" si="2"/>
        <v>2.4794104884701216E-2</v>
      </c>
      <c r="G65" s="140">
        <f>VLOOKUP(A65,'10-year CDS Spreads'!$A$2:$D$158,4,FALSE)</f>
        <v>7.6E-3</v>
      </c>
      <c r="H65" s="11">
        <f t="shared" si="3"/>
        <v>5.354098371315312E-2</v>
      </c>
      <c r="I65" s="14">
        <f t="shared" si="4"/>
        <v>1.0240983713153124E-2</v>
      </c>
    </row>
    <row r="66" spans="1:9" ht="15.5">
      <c r="A66" s="105" t="str">
        <f>'Sovereign Ratings (Moody''s,S&amp;P)'!A60</f>
        <v>Guatemala</v>
      </c>
      <c r="B66" s="101" t="str">
        <f>VLOOKUP(A66,'Regional lookup table'!$A$2:$B$162,2,FALSE)</f>
        <v>Central and South America</v>
      </c>
      <c r="C66" s="9" t="str">
        <f>VLOOKUP(A66,'Sovereign Ratings (Moody''s,S&amp;P)'!$A$2:$D$158,4,FALSE)</f>
        <v>Ba1</v>
      </c>
      <c r="D66" s="21">
        <f t="shared" si="0"/>
        <v>2.4794104884701216E-2</v>
      </c>
      <c r="E66" s="21">
        <f t="shared" si="1"/>
        <v>6.8094104884701218E-2</v>
      </c>
      <c r="F66" s="11">
        <f t="shared" si="2"/>
        <v>2.4794104884701216E-2</v>
      </c>
      <c r="G66" s="140" t="str">
        <f>VLOOKUP(A66,'10-year CDS Spreads'!$A$2:$D$158,4,FALSE)</f>
        <v>NA</v>
      </c>
      <c r="H66" s="11" t="str">
        <f t="shared" si="3"/>
        <v>NA</v>
      </c>
      <c r="I66" s="14" t="str">
        <f t="shared" si="4"/>
        <v>NA</v>
      </c>
    </row>
    <row r="67" spans="1:9" ht="15.5">
      <c r="A67" s="105" t="str">
        <f>'Sovereign Ratings (Moody''s,S&amp;P)'!A61</f>
        <v>Guernsey (States of)</v>
      </c>
      <c r="B67" s="101" t="str">
        <f>VLOOKUP(A67,'Regional lookup table'!$A$2:$B$162,2,FALSE)</f>
        <v>Western Europe</v>
      </c>
      <c r="C67" s="9" t="str">
        <f>VLOOKUP(A67,'Sovereign Ratings (Moody''s,S&amp;P)'!$A$2:$D$158,4,FALSE)</f>
        <v>A1</v>
      </c>
      <c r="D67" s="21">
        <f t="shared" si="0"/>
        <v>6.9842548970989338E-3</v>
      </c>
      <c r="E67" s="21">
        <f t="shared" si="1"/>
        <v>5.028425489709893E-2</v>
      </c>
      <c r="F67" s="11">
        <f t="shared" si="2"/>
        <v>6.9842548970989338E-3</v>
      </c>
      <c r="G67" s="140" t="str">
        <f>VLOOKUP(A67,'10-year CDS Spreads'!$A$2:$D$158,4,FALSE)</f>
        <v>NA</v>
      </c>
      <c r="H67" s="11" t="str">
        <f t="shared" si="3"/>
        <v>NA</v>
      </c>
      <c r="I67" s="14" t="str">
        <f t="shared" si="4"/>
        <v>NA</v>
      </c>
    </row>
    <row r="68" spans="1:9" ht="15.5">
      <c r="A68" s="105" t="str">
        <f>'Sovereign Ratings (Moody''s,S&amp;P)'!A62</f>
        <v>Honduras</v>
      </c>
      <c r="B68" s="101" t="str">
        <f>VLOOKUP(A68,'Regional lookup table'!$A$2:$B$162,2,FALSE)</f>
        <v>Central and South America</v>
      </c>
      <c r="C68" s="9" t="str">
        <f>VLOOKUP(A68,'Sovereign Ratings (Moody''s,S&amp;P)'!$A$2:$D$158,4,FALSE)</f>
        <v>B1</v>
      </c>
      <c r="D68" s="21">
        <f t="shared" si="0"/>
        <v>4.4582827093148182E-2</v>
      </c>
      <c r="E68" s="21">
        <f t="shared" si="1"/>
        <v>8.788282709314818E-2</v>
      </c>
      <c r="F68" s="11">
        <f t="shared" si="2"/>
        <v>4.4582827093148182E-2</v>
      </c>
      <c r="G68" s="140" t="str">
        <f>VLOOKUP(A68,'10-year CDS Spreads'!$A$2:$D$158,4,FALSE)</f>
        <v>NA</v>
      </c>
      <c r="H68" s="11" t="str">
        <f t="shared" si="3"/>
        <v>NA</v>
      </c>
      <c r="I68" s="14" t="str">
        <f t="shared" si="4"/>
        <v>NA</v>
      </c>
    </row>
    <row r="69" spans="1:9" ht="15.5">
      <c r="A69" s="105" t="str">
        <f>'Sovereign Ratings (Moody''s,S&amp;P)'!A63</f>
        <v>Hong Kong</v>
      </c>
      <c r="B69" s="101" t="str">
        <f>VLOOKUP(A69,'Regional lookup table'!$A$2:$B$162,2,FALSE)</f>
        <v>Asia</v>
      </c>
      <c r="C69" s="9" t="str">
        <f>VLOOKUP(A69,'Sovereign Ratings (Moody''s,S&amp;P)'!$A$2:$D$158,4,FALSE)</f>
        <v>Aa3</v>
      </c>
      <c r="D69" s="21">
        <f t="shared" si="0"/>
        <v>5.9366166625340932E-3</v>
      </c>
      <c r="E69" s="21">
        <f t="shared" si="1"/>
        <v>4.9236616662534094E-2</v>
      </c>
      <c r="F69" s="11">
        <f t="shared" si="2"/>
        <v>5.9366166625340932E-3</v>
      </c>
      <c r="G69" s="140">
        <f>VLOOKUP(A69,'10-year CDS Spreads'!$A$2:$D$158,4,FALSE)</f>
        <v>2.3E-3</v>
      </c>
      <c r="H69" s="11">
        <f t="shared" si="3"/>
        <v>4.639924507108581E-2</v>
      </c>
      <c r="I69" s="14">
        <f t="shared" si="4"/>
        <v>3.0992450710858135E-3</v>
      </c>
    </row>
    <row r="70" spans="1:9" ht="15.5">
      <c r="A70" s="105" t="str">
        <f>'Sovereign Ratings (Moody''s,S&amp;P)'!A64</f>
        <v>Hungary</v>
      </c>
      <c r="B70" s="101" t="str">
        <f>VLOOKUP(A70,'Regional lookup table'!$A$2:$B$162,2,FALSE)</f>
        <v>Eastern Europe &amp; Russia</v>
      </c>
      <c r="C70" s="9" t="str">
        <f>VLOOKUP(A70,'Sovereign Ratings (Moody''s,S&amp;P)'!$A$2:$D$158,4,FALSE)</f>
        <v>Baa2</v>
      </c>
      <c r="D70" s="21">
        <f t="shared" si="0"/>
        <v>1.885748822216712E-2</v>
      </c>
      <c r="E70" s="21">
        <f t="shared" si="1"/>
        <v>6.2157488222167115E-2</v>
      </c>
      <c r="F70" s="11">
        <f t="shared" si="2"/>
        <v>1.885748822216712E-2</v>
      </c>
      <c r="G70" s="140">
        <f>VLOOKUP(A70,'10-year CDS Spreads'!$A$2:$D$158,4,FALSE)</f>
        <v>1.38E-2</v>
      </c>
      <c r="H70" s="11">
        <f t="shared" si="3"/>
        <v>6.189547042651488E-2</v>
      </c>
      <c r="I70" s="14">
        <f t="shared" si="4"/>
        <v>1.8595470426514882E-2</v>
      </c>
    </row>
    <row r="71" spans="1:9" ht="15.5">
      <c r="A71" s="105" t="str">
        <f>'Sovereign Ratings (Moody''s,S&amp;P)'!A65</f>
        <v>Iceland</v>
      </c>
      <c r="B71" s="101" t="str">
        <f>VLOOKUP(A71,'Regional lookup table'!$A$2:$B$162,2,FALSE)</f>
        <v>Western Europe</v>
      </c>
      <c r="C71" s="9" t="str">
        <f>VLOOKUP(A71,'Sovereign Ratings (Moody''s,S&amp;P)'!$A$2:$D$158,4,FALSE)</f>
        <v>A1</v>
      </c>
      <c r="D71" s="21">
        <f t="shared" si="0"/>
        <v>6.9842548970989338E-3</v>
      </c>
      <c r="E71" s="21">
        <f t="shared" si="1"/>
        <v>5.028425489709893E-2</v>
      </c>
      <c r="F71" s="11">
        <f t="shared" si="2"/>
        <v>6.9842548970989338E-3</v>
      </c>
      <c r="G71" s="140">
        <f>VLOOKUP(A71,'10-year CDS Spreads'!$A$2:$D$158,4,FALSE)</f>
        <v>0</v>
      </c>
      <c r="H71" s="11">
        <f t="shared" si="3"/>
        <v>4.3299999999999998E-2</v>
      </c>
      <c r="I71" s="14">
        <f t="shared" si="4"/>
        <v>0</v>
      </c>
    </row>
    <row r="72" spans="1:9" ht="15.5">
      <c r="A72" s="105" t="str">
        <f>'Sovereign Ratings (Moody''s,S&amp;P)'!A66</f>
        <v>India</v>
      </c>
      <c r="B72" s="101" t="str">
        <f>VLOOKUP(A72,'Regional lookup table'!$A$2:$B$162,2,FALSE)</f>
        <v>Asia</v>
      </c>
      <c r="C72" s="9" t="str">
        <f>VLOOKUP(A72,'Sovereign Ratings (Moody''s,S&amp;P)'!$A$2:$D$158,4,FALSE)</f>
        <v>Baa3</v>
      </c>
      <c r="D72" s="21">
        <f t="shared" si="0"/>
        <v>2.1767594429291676E-2</v>
      </c>
      <c r="E72" s="21">
        <f t="shared" si="1"/>
        <v>6.5067594429291678E-2</v>
      </c>
      <c r="F72" s="11">
        <f t="shared" si="2"/>
        <v>2.1767594429291676E-2</v>
      </c>
      <c r="G72" s="140">
        <f>VLOOKUP(A72,'10-year CDS Spreads'!$A$2:$D$158,4,FALSE)</f>
        <v>5.3999999999999994E-3</v>
      </c>
      <c r="H72" s="11">
        <f t="shared" si="3"/>
        <v>5.0576488427766693E-2</v>
      </c>
      <c r="I72" s="14">
        <f t="shared" si="4"/>
        <v>7.2764884277666921E-3</v>
      </c>
    </row>
    <row r="73" spans="1:9" ht="15.5">
      <c r="A73" s="105" t="str">
        <f>'Sovereign Ratings (Moody''s,S&amp;P)'!A67</f>
        <v>Indonesia</v>
      </c>
      <c r="B73" s="101" t="str">
        <f>VLOOKUP(A73,'Regional lookup table'!$A$2:$B$162,2,FALSE)</f>
        <v>Asia</v>
      </c>
      <c r="C73" s="9" t="str">
        <f>VLOOKUP(A73,'Sovereign Ratings (Moody''s,S&amp;P)'!$A$2:$D$158,4,FALSE)</f>
        <v>Baa2</v>
      </c>
      <c r="D73" s="21">
        <f t="shared" ref="D73:D137" si="6">VLOOKUP(C73,$J$9:$K$31,2,FALSE)/10000</f>
        <v>1.885748822216712E-2</v>
      </c>
      <c r="E73" s="21">
        <f t="shared" ref="E73:E137" si="7">$E$3+F73</f>
        <v>6.2157488222167115E-2</v>
      </c>
      <c r="F73" s="11">
        <f t="shared" ref="F73:F137" si="8">IF($E$4="Yes",D73*$E$5,D73)</f>
        <v>1.885748822216712E-2</v>
      </c>
      <c r="G73" s="140">
        <f>VLOOKUP(A73,'10-year CDS Spreads'!$A$2:$D$158,4,FALSE)</f>
        <v>9.0000000000000011E-3</v>
      </c>
      <c r="H73" s="11">
        <f>IF(I73="NA","NA",$E$3+I73)</f>
        <v>5.5427480712944489E-2</v>
      </c>
      <c r="I73" s="14">
        <f t="shared" ref="I73:I140" si="9">IF(G73="NA","NA",G73*$E$5)</f>
        <v>1.2127480712944489E-2</v>
      </c>
    </row>
    <row r="74" spans="1:9" ht="15.5">
      <c r="A74" s="105" t="str">
        <f>'Sovereign Ratings (Moody''s,S&amp;P)'!A68</f>
        <v>Iraq</v>
      </c>
      <c r="B74" s="101" t="str">
        <f>VLOOKUP(A74,'Regional lookup table'!$A$2:$B$162,2,FALSE)</f>
        <v>Middle East</v>
      </c>
      <c r="C74" s="9" t="str">
        <f>VLOOKUP(A74,'Sovereign Ratings (Moody''s,S&amp;P)'!$A$2:$D$158,4,FALSE)</f>
        <v>Caa1</v>
      </c>
      <c r="D74" s="21">
        <f t="shared" si="6"/>
        <v>7.4265910405818647E-2</v>
      </c>
      <c r="E74" s="21">
        <f t="shared" si="7"/>
        <v>0.11756591040581865</v>
      </c>
      <c r="F74" s="11">
        <f t="shared" si="8"/>
        <v>7.4265910405818647E-2</v>
      </c>
      <c r="G74" s="140">
        <f>VLOOKUP(A74,'10-year CDS Spreads'!$A$2:$D$158,4,FALSE)</f>
        <v>3.7400000000000003E-2</v>
      </c>
      <c r="H74" s="11">
        <f t="shared" ref="H74:H144" si="10">IF(I74="NA","NA",$E$3+I74)</f>
        <v>9.3696419851569318E-2</v>
      </c>
      <c r="I74" s="14">
        <f t="shared" si="9"/>
        <v>5.039641985156932E-2</v>
      </c>
    </row>
    <row r="75" spans="1:9" ht="15.5">
      <c r="A75" s="105" t="str">
        <f>'Sovereign Ratings (Moody''s,S&amp;P)'!A69</f>
        <v>Ireland</v>
      </c>
      <c r="B75" s="101" t="str">
        <f>VLOOKUP(A75,'Regional lookup table'!$A$2:$B$162,2,FALSE)</f>
        <v>Western Europe</v>
      </c>
      <c r="C75" s="9" t="str">
        <f>VLOOKUP(A75,'Sovereign Ratings (Moody''s,S&amp;P)'!$A$2:$D$158,4,FALSE)</f>
        <v>Aa3</v>
      </c>
      <c r="D75" s="21">
        <f t="shared" si="6"/>
        <v>5.9366166625340932E-3</v>
      </c>
      <c r="E75" s="21">
        <f t="shared" si="7"/>
        <v>4.9236616662534094E-2</v>
      </c>
      <c r="F75" s="11">
        <f t="shared" si="8"/>
        <v>5.9366166625340932E-3</v>
      </c>
      <c r="G75" s="140">
        <f>VLOOKUP(A75,'10-year CDS Spreads'!$A$2:$D$158,4,FALSE)</f>
        <v>0</v>
      </c>
      <c r="H75" s="11">
        <f t="shared" si="10"/>
        <v>4.3299999999999998E-2</v>
      </c>
      <c r="I75" s="14">
        <f t="shared" si="9"/>
        <v>0</v>
      </c>
    </row>
    <row r="76" spans="1:9" ht="15.5">
      <c r="A76" s="105" t="str">
        <f>'Sovereign Ratings (Moody''s,S&amp;P)'!A70</f>
        <v>Isle of Man</v>
      </c>
      <c r="B76" s="101" t="str">
        <f>VLOOKUP(A76,'Regional lookup table'!$A$2:$B$162,2,FALSE)</f>
        <v>Western Europe</v>
      </c>
      <c r="C76" s="9" t="str">
        <f>VLOOKUP(A76,'Sovereign Ratings (Moody''s,S&amp;P)'!$A$2:$D$158,4,FALSE)</f>
        <v>Aa3</v>
      </c>
      <c r="D76" s="21">
        <f t="shared" si="6"/>
        <v>5.9366166625340932E-3</v>
      </c>
      <c r="E76" s="21">
        <f t="shared" si="7"/>
        <v>4.9236616662534094E-2</v>
      </c>
      <c r="F76" s="11">
        <f t="shared" si="8"/>
        <v>5.9366166625340932E-3</v>
      </c>
      <c r="G76" s="140" t="str">
        <f>VLOOKUP(A76,'10-year CDS Spreads'!$A$2:$D$158,4,FALSE)</f>
        <v>NA</v>
      </c>
      <c r="H76" s="11" t="str">
        <f t="shared" si="10"/>
        <v>NA</v>
      </c>
      <c r="I76" s="14" t="str">
        <f t="shared" si="9"/>
        <v>NA</v>
      </c>
    </row>
    <row r="77" spans="1:9" ht="15.5">
      <c r="A77" s="105" t="str">
        <f>'Sovereign Ratings (Moody''s,S&amp;P)'!A71</f>
        <v>Israel</v>
      </c>
      <c r="B77" s="101" t="str">
        <f>VLOOKUP(A77,'Regional lookup table'!$A$2:$B$162,2,FALSE)</f>
        <v>Middle East</v>
      </c>
      <c r="C77" s="9" t="str">
        <f>VLOOKUP(A77,'Sovereign Ratings (Moody''s,S&amp;P)'!$A$2:$D$158,4,FALSE)</f>
        <v>Baa1</v>
      </c>
      <c r="D77" s="21">
        <f t="shared" si="6"/>
        <v>1.5830977766757577E-2</v>
      </c>
      <c r="E77" s="21">
        <f t="shared" si="7"/>
        <v>5.9130977766757575E-2</v>
      </c>
      <c r="F77" s="11">
        <f t="shared" si="8"/>
        <v>1.5830977766757577E-2</v>
      </c>
      <c r="G77" s="140">
        <f>VLOOKUP(A77,'10-year CDS Spreads'!$A$2:$D$158,4,FALSE)</f>
        <v>1.03E-2</v>
      </c>
      <c r="H77" s="11">
        <f t="shared" si="10"/>
        <v>5.7179227927036468E-2</v>
      </c>
      <c r="I77" s="14">
        <f t="shared" si="9"/>
        <v>1.3879227927036471E-2</v>
      </c>
    </row>
    <row r="78" spans="1:9" ht="15.5">
      <c r="A78" s="105" t="str">
        <f>'Sovereign Ratings (Moody''s,S&amp;P)'!A72</f>
        <v>Italy</v>
      </c>
      <c r="B78" s="101" t="str">
        <f>VLOOKUP(A78,'Regional lookup table'!$A$2:$B$162,2,FALSE)</f>
        <v>Western Europe</v>
      </c>
      <c r="C78" s="9" t="str">
        <f>VLOOKUP(A78,'Sovereign Ratings (Moody''s,S&amp;P)'!$A$2:$D$158,4,FALSE)</f>
        <v>Baa3</v>
      </c>
      <c r="D78" s="21">
        <f t="shared" si="6"/>
        <v>2.1767594429291676E-2</v>
      </c>
      <c r="E78" s="21">
        <f t="shared" si="7"/>
        <v>6.5067594429291678E-2</v>
      </c>
      <c r="F78" s="11">
        <f t="shared" si="8"/>
        <v>2.1767594429291676E-2</v>
      </c>
      <c r="G78" s="140">
        <f>VLOOKUP(A78,'10-year CDS Spreads'!$A$2:$D$158,4,FALSE)</f>
        <v>7.6999999999999994E-3</v>
      </c>
      <c r="H78" s="11">
        <f t="shared" si="10"/>
        <v>5.3675733498852504E-2</v>
      </c>
      <c r="I78" s="14">
        <f t="shared" si="9"/>
        <v>1.0375733498852506E-2</v>
      </c>
    </row>
    <row r="79" spans="1:9" ht="15.5">
      <c r="A79" s="105" t="str">
        <f>'Sovereign Ratings (Moody''s,S&amp;P)'!A73</f>
        <v>Jamaica</v>
      </c>
      <c r="B79" s="101" t="str">
        <f>VLOOKUP(A79,'Regional lookup table'!$A$2:$B$162,2,FALSE)</f>
        <v>Caribbean</v>
      </c>
      <c r="C79" s="9" t="str">
        <f>VLOOKUP(A79,'Sovereign Ratings (Moody''s,S&amp;P)'!$A$2:$D$158,4,FALSE)</f>
        <v>B1</v>
      </c>
      <c r="D79" s="21">
        <f t="shared" si="6"/>
        <v>4.4582827093148182E-2</v>
      </c>
      <c r="E79" s="21">
        <f t="shared" si="7"/>
        <v>8.788282709314818E-2</v>
      </c>
      <c r="F79" s="11">
        <f t="shared" si="8"/>
        <v>4.4582827093148182E-2</v>
      </c>
      <c r="G79" s="140" t="str">
        <f>VLOOKUP(A79,'10-year CDS Spreads'!$A$2:$D$158,4,FALSE)</f>
        <v>NA</v>
      </c>
      <c r="H79" s="11" t="str">
        <f t="shared" si="10"/>
        <v>NA</v>
      </c>
      <c r="I79" s="14" t="str">
        <f t="shared" si="9"/>
        <v>NA</v>
      </c>
    </row>
    <row r="80" spans="1:9" ht="15.5">
      <c r="A80" s="105" t="str">
        <f>'Sovereign Ratings (Moody''s,S&amp;P)'!A74</f>
        <v>Japan</v>
      </c>
      <c r="B80" s="101" t="str">
        <f>VLOOKUP(A80,'Regional lookup table'!$A$2:$B$162,2,FALSE)</f>
        <v>Asia</v>
      </c>
      <c r="C80" s="9" t="str">
        <f>VLOOKUP(A80,'Sovereign Ratings (Moody''s,S&amp;P)'!$A$2:$D$158,4,FALSE)</f>
        <v>A1</v>
      </c>
      <c r="D80" s="21">
        <f t="shared" si="6"/>
        <v>6.9842548970989338E-3</v>
      </c>
      <c r="E80" s="21">
        <f t="shared" si="7"/>
        <v>5.028425489709893E-2</v>
      </c>
      <c r="F80" s="11">
        <f t="shared" si="8"/>
        <v>6.9842548970989338E-3</v>
      </c>
      <c r="G80" s="140">
        <f>VLOOKUP(A80,'10-year CDS Spreads'!$A$2:$D$158,4,FALSE)</f>
        <v>0</v>
      </c>
      <c r="H80" s="11">
        <f t="shared" si="10"/>
        <v>4.3299999999999998E-2</v>
      </c>
      <c r="I80" s="14">
        <f t="shared" si="9"/>
        <v>0</v>
      </c>
    </row>
    <row r="81" spans="1:9" ht="15.5">
      <c r="A81" s="105" t="str">
        <f>'Sovereign Ratings (Moody''s,S&amp;P)'!A75</f>
        <v>Jersey (States of)</v>
      </c>
      <c r="B81" s="101" t="str">
        <f>VLOOKUP(A81,'Regional lookup table'!$A$2:$B$162,2,FALSE)</f>
        <v>Western Europe</v>
      </c>
      <c r="C81" s="9" t="str">
        <f>VLOOKUP(A81,'Sovereign Ratings (Moody''s,S&amp;P)'!$A$2:$D$158,4,FALSE)</f>
        <v>Aa2</v>
      </c>
      <c r="D81" s="21">
        <f t="shared" si="6"/>
        <v>4.8889784279692525E-3</v>
      </c>
      <c r="E81" s="21">
        <f t="shared" si="7"/>
        <v>4.8188978427969251E-2</v>
      </c>
      <c r="F81" s="11">
        <f t="shared" si="8"/>
        <v>4.8889784279692525E-3</v>
      </c>
      <c r="G81" s="140" t="str">
        <f>VLOOKUP(A81,'10-year CDS Spreads'!$A$2:$D$158,4,FALSE)</f>
        <v>NA</v>
      </c>
      <c r="H81" s="11" t="str">
        <f t="shared" si="10"/>
        <v>NA</v>
      </c>
      <c r="I81" s="14" t="str">
        <f t="shared" si="9"/>
        <v>NA</v>
      </c>
    </row>
    <row r="82" spans="1:9" ht="15.5">
      <c r="A82" s="105" t="str">
        <f>'Sovereign Ratings (Moody''s,S&amp;P)'!A76</f>
        <v>Jordan</v>
      </c>
      <c r="B82" s="101" t="str">
        <f>VLOOKUP(A82,'Regional lookup table'!$A$2:$B$162,2,FALSE)</f>
        <v>Middle East</v>
      </c>
      <c r="C82" s="9" t="str">
        <f>VLOOKUP(A82,'Sovereign Ratings (Moody''s,S&amp;P)'!$A$2:$D$158,4,FALSE)</f>
        <v>Ba3</v>
      </c>
      <c r="D82" s="21">
        <f t="shared" si="6"/>
        <v>3.5619699975204554E-2</v>
      </c>
      <c r="E82" s="21">
        <f t="shared" si="7"/>
        <v>7.8919699975204552E-2</v>
      </c>
      <c r="F82" s="11">
        <f t="shared" si="8"/>
        <v>3.5619699975204554E-2</v>
      </c>
      <c r="G82" s="140" t="str">
        <f>VLOOKUP(A82,'10-year CDS Spreads'!$A$2:$D$158,4,FALSE)</f>
        <v>NA</v>
      </c>
      <c r="H82" s="11" t="str">
        <f t="shared" si="10"/>
        <v>NA</v>
      </c>
      <c r="I82" s="14" t="str">
        <f t="shared" si="9"/>
        <v>NA</v>
      </c>
    </row>
    <row r="83" spans="1:9" ht="15.5">
      <c r="A83" s="105" t="str">
        <f>'Sovereign Ratings (Moody''s,S&amp;P)'!A77</f>
        <v>Kazakhstan</v>
      </c>
      <c r="B83" s="101" t="str">
        <f>VLOOKUP(A83,'Regional lookup table'!$A$2:$B$162,2,FALSE)</f>
        <v>Eastern Europe &amp; Russia</v>
      </c>
      <c r="C83" s="9" t="str">
        <f>VLOOKUP(A83,'Sovereign Ratings (Moody''s,S&amp;P)'!$A$2:$D$158,4,FALSE)</f>
        <v>Baa1</v>
      </c>
      <c r="D83" s="21">
        <f t="shared" si="6"/>
        <v>1.5830977766757577E-2</v>
      </c>
      <c r="E83" s="21">
        <f t="shared" si="7"/>
        <v>5.9130977766757575E-2</v>
      </c>
      <c r="F83" s="11">
        <f t="shared" si="8"/>
        <v>1.5830977766757577E-2</v>
      </c>
      <c r="G83" s="140">
        <f>VLOOKUP(A83,'10-year CDS Spreads'!$A$2:$D$158,4,FALSE)</f>
        <v>9.499999999999998E-3</v>
      </c>
      <c r="H83" s="11">
        <f t="shared" si="10"/>
        <v>5.6101229641441402E-2</v>
      </c>
      <c r="I83" s="14">
        <f t="shared" si="9"/>
        <v>1.2801229641441403E-2</v>
      </c>
    </row>
    <row r="84" spans="1:9" ht="15.5">
      <c r="A84" s="105" t="str">
        <f>'Sovereign Ratings (Moody''s,S&amp;P)'!A78</f>
        <v>Kenya</v>
      </c>
      <c r="B84" s="101" t="str">
        <f>VLOOKUP(A84,'Regional lookup table'!$A$2:$B$162,2,FALSE)</f>
        <v>Africa</v>
      </c>
      <c r="C84" s="9" t="str">
        <f>VLOOKUP(A84,'Sovereign Ratings (Moody''s,S&amp;P)'!$A$2:$D$158,4,FALSE)</f>
        <v>Caa1</v>
      </c>
      <c r="D84" s="21">
        <f t="shared" si="6"/>
        <v>7.4265910405818647E-2</v>
      </c>
      <c r="E84" s="21">
        <f t="shared" si="7"/>
        <v>0.11756591040581865</v>
      </c>
      <c r="F84" s="11">
        <f t="shared" si="8"/>
        <v>7.4265910405818647E-2</v>
      </c>
      <c r="G84" s="140">
        <f>VLOOKUP(A84,'10-year CDS Spreads'!$A$2:$D$158,4,FALSE)</f>
        <v>5.5100000000000003E-2</v>
      </c>
      <c r="H84" s="11">
        <f t="shared" si="10"/>
        <v>0.11754713192036015</v>
      </c>
      <c r="I84" s="14">
        <f t="shared" si="9"/>
        <v>7.4247131920360157E-2</v>
      </c>
    </row>
    <row r="85" spans="1:9" ht="15.5">
      <c r="A85" s="105" t="str">
        <f>'Sovereign Ratings (Moody''s,S&amp;P)'!A79</f>
        <v>Korea</v>
      </c>
      <c r="B85" s="101" t="str">
        <f>VLOOKUP(A85,'Regional lookup table'!$A$2:$B$162,2,FALSE)</f>
        <v>Asia</v>
      </c>
      <c r="C85" s="9" t="str">
        <f>VLOOKUP(A85,'Sovereign Ratings (Moody''s,S&amp;P)'!$A$2:$D$158,4,FALSE)</f>
        <v>Aa2</v>
      </c>
      <c r="D85" s="21">
        <f t="shared" si="6"/>
        <v>4.8889784279692525E-3</v>
      </c>
      <c r="E85" s="21">
        <f t="shared" si="7"/>
        <v>4.8188978427969251E-2</v>
      </c>
      <c r="F85" s="11">
        <f t="shared" si="8"/>
        <v>4.8889784279692525E-3</v>
      </c>
      <c r="G85" s="140">
        <f>VLOOKUP(A85,'10-year CDS Spreads'!$A$2:$D$158,4,FALSE)</f>
        <v>6.9999999999999923E-4</v>
      </c>
      <c r="H85" s="11">
        <f>IF(I85="NA","NA",$E$3+I85)</f>
        <v>4.4243248499895679E-2</v>
      </c>
      <c r="I85" s="14">
        <f t="shared" si="9"/>
        <v>9.4324849989568143E-4</v>
      </c>
    </row>
    <row r="86" spans="1:9" ht="15.5">
      <c r="A86" s="105" t="str">
        <f>'Sovereign Ratings (Moody''s,S&amp;P)'!A80</f>
        <v>Kuwait</v>
      </c>
      <c r="B86" s="101" t="str">
        <f>VLOOKUP(A86,'Regional lookup table'!$A$2:$B$162,2,FALSE)</f>
        <v>Middle East</v>
      </c>
      <c r="C86" s="9" t="str">
        <f>VLOOKUP(A86,'Sovereign Ratings (Moody''s,S&amp;P)'!$A$2:$D$158,4,FALSE)</f>
        <v>A1</v>
      </c>
      <c r="D86" s="21">
        <f t="shared" si="6"/>
        <v>6.9842548970989338E-3</v>
      </c>
      <c r="E86" s="21">
        <f t="shared" si="7"/>
        <v>5.028425489709893E-2</v>
      </c>
      <c r="F86" s="11">
        <f t="shared" si="8"/>
        <v>6.9842548970989338E-3</v>
      </c>
      <c r="G86" s="140">
        <f>VLOOKUP(A86,'10-year CDS Spreads'!$A$2:$D$158,4,FALSE)</f>
        <v>5.3E-3</v>
      </c>
      <c r="H86" s="11">
        <f t="shared" si="10"/>
        <v>5.0441738642067309E-2</v>
      </c>
      <c r="I86" s="14">
        <f t="shared" si="9"/>
        <v>7.1417386420673098E-3</v>
      </c>
    </row>
    <row r="87" spans="1:9" ht="15.5">
      <c r="A87" s="105" t="str">
        <f>'Sovereign Ratings (Moody''s,S&amp;P)'!A81</f>
        <v>Kyrgyzstan</v>
      </c>
      <c r="B87" s="101" t="str">
        <f>VLOOKUP(A87,'Regional lookup table'!$A$2:$B$162,2,FALSE)</f>
        <v>Eastern Europe &amp; Russia</v>
      </c>
      <c r="C87" s="9" t="str">
        <f>VLOOKUP(A87,'Sovereign Ratings (Moody''s,S&amp;P)'!$A$2:$D$158,4,FALSE)</f>
        <v>B3</v>
      </c>
      <c r="D87" s="21">
        <f t="shared" si="6"/>
        <v>6.4371549301595152E-2</v>
      </c>
      <c r="E87" s="21">
        <f t="shared" si="7"/>
        <v>0.10767154930159514</v>
      </c>
      <c r="F87" s="11">
        <f t="shared" si="8"/>
        <v>6.4371549301595152E-2</v>
      </c>
      <c r="G87" s="140" t="str">
        <f>VLOOKUP(A87,'10-year CDS Spreads'!$A$2:$D$158,4,FALSE)</f>
        <v>NA</v>
      </c>
      <c r="H87" s="11" t="str">
        <f t="shared" si="10"/>
        <v>NA</v>
      </c>
      <c r="I87" s="14" t="str">
        <f t="shared" si="9"/>
        <v>NA</v>
      </c>
    </row>
    <row r="88" spans="1:9" ht="15.5">
      <c r="A88" s="105" t="str">
        <f>'Sovereign Ratings (Moody''s,S&amp;P)'!A82</f>
        <v>Laos</v>
      </c>
      <c r="B88" s="101" t="str">
        <f>VLOOKUP(A88,'Regional lookup table'!$A$2:$B$162,2,FALSE)</f>
        <v>Asia</v>
      </c>
      <c r="C88" s="9" t="str">
        <f>VLOOKUP(A88,'Sovereign Ratings (Moody''s,S&amp;P)'!$A$2:$D$158,4,FALSE)</f>
        <v>Caa3</v>
      </c>
      <c r="D88" s="21">
        <f t="shared" si="6"/>
        <v>9.9060015290519873E-2</v>
      </c>
      <c r="E88" s="21">
        <f t="shared" si="7"/>
        <v>0.14236001529051986</v>
      </c>
      <c r="F88" s="11">
        <f t="shared" si="8"/>
        <v>9.9060015290519873E-2</v>
      </c>
      <c r="G88" s="140" t="str">
        <f>VLOOKUP(A88,'10-year CDS Spreads'!$A$2:$D$158,4,FALSE)</f>
        <v>NA</v>
      </c>
      <c r="H88" s="11" t="str">
        <f>IF(I88="NA","NA",$E$3+I88)</f>
        <v>NA</v>
      </c>
      <c r="I88" s="14" t="str">
        <f>IF(G88="NA","NA",G88*$E$5)</f>
        <v>NA</v>
      </c>
    </row>
    <row r="89" spans="1:9" ht="15.5">
      <c r="A89" s="105" t="str">
        <f>'Sovereign Ratings (Moody''s,S&amp;P)'!A83</f>
        <v>Latvia</v>
      </c>
      <c r="B89" s="101" t="str">
        <f>VLOOKUP(A89,'Regional lookup table'!$A$2:$B$162,2,FALSE)</f>
        <v>Eastern Europe &amp; Russia</v>
      </c>
      <c r="C89" s="9" t="str">
        <f>VLOOKUP(A89,'Sovereign Ratings (Moody''s,S&amp;P)'!$A$2:$D$158,4,FALSE)</f>
        <v>A3</v>
      </c>
      <c r="D89" s="21">
        <f t="shared" si="6"/>
        <v>1.1873233325068186E-2</v>
      </c>
      <c r="E89" s="21">
        <f t="shared" si="7"/>
        <v>5.5173233325068183E-2</v>
      </c>
      <c r="F89" s="11">
        <f t="shared" si="8"/>
        <v>1.1873233325068186E-2</v>
      </c>
      <c r="G89" s="140">
        <f>VLOOKUP(A89,'10-year CDS Spreads'!$A$2:$D$158,4,FALSE)</f>
        <v>4.4000000000000003E-3</v>
      </c>
      <c r="H89" s="11">
        <f t="shared" si="10"/>
        <v>4.922899057077286E-2</v>
      </c>
      <c r="I89" s="14">
        <f t="shared" si="9"/>
        <v>5.9289905707728616E-3</v>
      </c>
    </row>
    <row r="90" spans="1:9" ht="15.5">
      <c r="A90" s="105" t="str">
        <f>'Sovereign Ratings (Moody''s,S&amp;P)'!A84</f>
        <v>Lebanon</v>
      </c>
      <c r="B90" s="101" t="str">
        <f>VLOOKUP(A90,'Regional lookup table'!$A$2:$B$162,2,FALSE)</f>
        <v>Middle East</v>
      </c>
      <c r="C90" s="9" t="str">
        <f>VLOOKUP(A90,'Sovereign Ratings (Moody''s,S&amp;P)'!$A$2:$D$158,4,FALSE)</f>
        <v>C</v>
      </c>
      <c r="D90" s="21">
        <f t="shared" si="6"/>
        <v>0.17499999999999999</v>
      </c>
      <c r="E90" s="21">
        <f t="shared" si="7"/>
        <v>0.21829999999999999</v>
      </c>
      <c r="F90" s="11">
        <f t="shared" si="8"/>
        <v>0.17499999999999999</v>
      </c>
      <c r="G90" s="140" t="str">
        <f>VLOOKUP(A90,'10-year CDS Spreads'!$A$2:$D$158,4,FALSE)</f>
        <v>NA</v>
      </c>
      <c r="H90" s="11" t="str">
        <f t="shared" si="10"/>
        <v>NA</v>
      </c>
      <c r="I90" s="14" t="str">
        <f t="shared" si="9"/>
        <v>NA</v>
      </c>
    </row>
    <row r="91" spans="1:9" ht="15.5">
      <c r="A91" s="105" t="str">
        <f>'Sovereign Ratings (Moody''s,S&amp;P)'!A85</f>
        <v>Liechtenstein</v>
      </c>
      <c r="B91" s="101" t="str">
        <f>VLOOKUP(A91,'Regional lookup table'!$A$2:$B$162,2,FALSE)</f>
        <v>Western Europe</v>
      </c>
      <c r="C91" s="9" t="str">
        <f>VLOOKUP(A91,'Sovereign Ratings (Moody''s,S&amp;P)'!$A$2:$D$158,4,FALSE)</f>
        <v>Aaa</v>
      </c>
      <c r="D91" s="21">
        <f t="shared" si="6"/>
        <v>0</v>
      </c>
      <c r="E91" s="21">
        <f t="shared" si="7"/>
        <v>4.3299999999999998E-2</v>
      </c>
      <c r="F91" s="11">
        <f t="shared" si="8"/>
        <v>0</v>
      </c>
      <c r="G91" s="140" t="str">
        <f>VLOOKUP(A91,'10-year CDS Spreads'!$A$2:$D$158,4,FALSE)</f>
        <v>NA</v>
      </c>
      <c r="H91" s="11" t="str">
        <f t="shared" si="10"/>
        <v>NA</v>
      </c>
      <c r="I91" s="14" t="str">
        <f t="shared" si="9"/>
        <v>NA</v>
      </c>
    </row>
    <row r="92" spans="1:9" ht="15.5">
      <c r="A92" s="105" t="str">
        <f>'Sovereign Ratings (Moody''s,S&amp;P)'!A86</f>
        <v>Lithuania</v>
      </c>
      <c r="B92" s="101" t="str">
        <f>VLOOKUP(A92,'Regional lookup table'!$A$2:$B$162,2,FALSE)</f>
        <v>Eastern Europe &amp; Russia</v>
      </c>
      <c r="C92" s="9" t="str">
        <f>VLOOKUP(A92,'Sovereign Ratings (Moody''s,S&amp;P)'!$A$2:$D$158,4,FALSE)</f>
        <v>A2</v>
      </c>
      <c r="D92" s="21">
        <f t="shared" si="6"/>
        <v>8.3811058765187203E-3</v>
      </c>
      <c r="E92" s="21">
        <f t="shared" si="7"/>
        <v>5.1681105876518717E-2</v>
      </c>
      <c r="F92" s="11">
        <f t="shared" si="8"/>
        <v>8.3811058765187203E-3</v>
      </c>
      <c r="G92" s="140">
        <f>VLOOKUP(A92,'10-year CDS Spreads'!$A$2:$D$158,4,FALSE)</f>
        <v>5.4999999999999988E-3</v>
      </c>
      <c r="H92" s="11">
        <f t="shared" si="10"/>
        <v>5.071123821346607E-2</v>
      </c>
      <c r="I92" s="14">
        <f t="shared" si="9"/>
        <v>7.4112382134660744E-3</v>
      </c>
    </row>
    <row r="93" spans="1:9" ht="15.5">
      <c r="A93" s="105" t="str">
        <f>'Sovereign Ratings (Moody''s,S&amp;P)'!A87</f>
        <v>Luxembourg</v>
      </c>
      <c r="B93" s="101" t="str">
        <f>VLOOKUP(A93,'Regional lookup table'!$A$2:$B$162,2,FALSE)</f>
        <v>Western Europe</v>
      </c>
      <c r="C93" s="9" t="str">
        <f>VLOOKUP(A93,'Sovereign Ratings (Moody''s,S&amp;P)'!$A$2:$D$158,4,FALSE)</f>
        <v>Aaa</v>
      </c>
      <c r="D93" s="21">
        <f t="shared" si="6"/>
        <v>0</v>
      </c>
      <c r="E93" s="21">
        <f t="shared" si="7"/>
        <v>4.3299999999999998E-2</v>
      </c>
      <c r="F93" s="11">
        <f t="shared" si="8"/>
        <v>0</v>
      </c>
      <c r="G93" s="140" t="str">
        <f>VLOOKUP(A93,'10-year CDS Spreads'!$A$2:$D$158,4,FALSE)</f>
        <v>NA</v>
      </c>
      <c r="H93" s="11" t="str">
        <f t="shared" si="10"/>
        <v>NA</v>
      </c>
      <c r="I93" s="14" t="str">
        <f t="shared" si="9"/>
        <v>NA</v>
      </c>
    </row>
    <row r="94" spans="1:9" ht="15.5">
      <c r="A94" s="105" t="str">
        <f>'Sovereign Ratings (Moody''s,S&amp;P)'!A88</f>
        <v>Macao</v>
      </c>
      <c r="B94" s="101" t="str">
        <f>VLOOKUP(A94,'Regional lookup table'!$A$2:$B$162,2,FALSE)</f>
        <v>Asia</v>
      </c>
      <c r="C94" s="9" t="str">
        <f>VLOOKUP(A94,'Sovereign Ratings (Moody''s,S&amp;P)'!$A$2:$D$158,4,FALSE)</f>
        <v>Aa3</v>
      </c>
      <c r="D94" s="21">
        <f t="shared" si="6"/>
        <v>5.9366166625340932E-3</v>
      </c>
      <c r="E94" s="21">
        <f t="shared" si="7"/>
        <v>4.9236616662534094E-2</v>
      </c>
      <c r="F94" s="11">
        <f t="shared" si="8"/>
        <v>5.9366166625340932E-3</v>
      </c>
      <c r="G94" s="140" t="str">
        <f>VLOOKUP(A94,'10-year CDS Spreads'!$A$2:$D$158,4,FALSE)</f>
        <v>NA</v>
      </c>
      <c r="H94" s="11" t="str">
        <f t="shared" si="10"/>
        <v>NA</v>
      </c>
      <c r="I94" s="14" t="str">
        <f t="shared" si="9"/>
        <v>NA</v>
      </c>
    </row>
    <row r="95" spans="1:9" ht="15.5">
      <c r="A95" s="105" t="str">
        <f>'Sovereign Ratings (Moody''s,S&amp;P)'!A89</f>
        <v>Macedonia</v>
      </c>
      <c r="B95" s="101" t="str">
        <f>VLOOKUP(A95,'Regional lookup table'!$A$2:$B$162,2,FALSE)</f>
        <v>Eastern Europe &amp; Russia</v>
      </c>
      <c r="C95" s="9" t="str">
        <f>VLOOKUP(A95,'Sovereign Ratings (Moody''s,S&amp;P)'!$A$2:$D$158,4,FALSE)</f>
        <v>Ba3</v>
      </c>
      <c r="D95" s="21">
        <f t="shared" si="6"/>
        <v>3.5619699975204554E-2</v>
      </c>
      <c r="E95" s="21">
        <f t="shared" si="7"/>
        <v>7.8919699975204552E-2</v>
      </c>
      <c r="F95" s="11">
        <f t="shared" si="8"/>
        <v>3.5619699975204554E-2</v>
      </c>
      <c r="G95" s="140" t="str">
        <f>VLOOKUP(A95,'10-year CDS Spreads'!$A$2:$D$158,4,FALSE)</f>
        <v>NA</v>
      </c>
      <c r="H95" s="11" t="str">
        <f t="shared" si="10"/>
        <v>NA</v>
      </c>
      <c r="I95" s="14" t="str">
        <f t="shared" si="9"/>
        <v>NA</v>
      </c>
    </row>
    <row r="96" spans="1:9" ht="15.5">
      <c r="A96" s="105" t="str">
        <f>'Sovereign Ratings (Moody''s,S&amp;P)'!A90</f>
        <v>Malaysia</v>
      </c>
      <c r="B96" s="101" t="str">
        <f>VLOOKUP(A96,'Regional lookup table'!$A$2:$B$162,2,FALSE)</f>
        <v>Asia</v>
      </c>
      <c r="C96" s="9" t="str">
        <f>VLOOKUP(A96,'Sovereign Ratings (Moody''s,S&amp;P)'!$A$2:$D$158,4,FALSE)</f>
        <v>A3</v>
      </c>
      <c r="D96" s="21">
        <f t="shared" si="6"/>
        <v>1.1873233325068186E-2</v>
      </c>
      <c r="E96" s="21">
        <f t="shared" si="7"/>
        <v>5.5173233325068183E-2</v>
      </c>
      <c r="F96" s="11">
        <f t="shared" si="8"/>
        <v>1.1873233325068186E-2</v>
      </c>
      <c r="G96" s="140">
        <f>VLOOKUP(A96,'10-year CDS Spreads'!$A$2:$D$158,4,FALSE)</f>
        <v>4.4000000000000003E-3</v>
      </c>
      <c r="H96" s="11">
        <f>IF(I96="NA","NA",$E$3+I96)</f>
        <v>4.922899057077286E-2</v>
      </c>
      <c r="I96" s="14">
        <f>IF(G96="NA","NA",G96*$E$5)</f>
        <v>5.9289905707728616E-3</v>
      </c>
    </row>
    <row r="97" spans="1:9" ht="15.5">
      <c r="A97" s="105" t="str">
        <f>'Sovereign Ratings (Moody''s,S&amp;P)'!A91</f>
        <v>Maldives</v>
      </c>
      <c r="B97" s="101" t="str">
        <f>VLOOKUP(A97,'Regional lookup table'!$A$2:$B$162,2,FALSE)</f>
        <v>Asia</v>
      </c>
      <c r="C97" s="9" t="str">
        <f>VLOOKUP(A97,'Sovereign Ratings (Moody''s,S&amp;P)'!$A$2:$D$158,4,FALSE)</f>
        <v>Caa2</v>
      </c>
      <c r="D97" s="21">
        <f t="shared" si="6"/>
        <v>8.9165654186296364E-2</v>
      </c>
      <c r="E97" s="21">
        <f t="shared" si="7"/>
        <v>0.13246565418629636</v>
      </c>
      <c r="F97" s="11">
        <f t="shared" si="8"/>
        <v>8.9165654186296364E-2</v>
      </c>
      <c r="G97" s="140" t="str">
        <f>VLOOKUP(A97,'10-year CDS Spreads'!$A$2:$D$158,4,FALSE)</f>
        <v>NA</v>
      </c>
      <c r="H97" s="11" t="str">
        <f t="shared" si="10"/>
        <v>NA</v>
      </c>
      <c r="I97" s="14" t="str">
        <f t="shared" si="9"/>
        <v>NA</v>
      </c>
    </row>
    <row r="98" spans="1:9" ht="15.5">
      <c r="A98" s="105" t="str">
        <f>'Sovereign Ratings (Moody''s,S&amp;P)'!A92</f>
        <v>Mali</v>
      </c>
      <c r="B98" s="101" t="str">
        <f>VLOOKUP(A98,'Regional lookup table'!$A$2:$B$162,2,FALSE)</f>
        <v>Africa</v>
      </c>
      <c r="C98" s="9" t="str">
        <f>VLOOKUP(A98,'Sovereign Ratings (Moody''s,S&amp;P)'!$A$2:$D$158,4,FALSE)</f>
        <v>Caa2</v>
      </c>
      <c r="D98" s="21">
        <f t="shared" si="6"/>
        <v>8.9165654186296364E-2</v>
      </c>
      <c r="E98" s="21">
        <f t="shared" si="7"/>
        <v>0.13246565418629636</v>
      </c>
      <c r="F98" s="11">
        <f t="shared" si="8"/>
        <v>8.9165654186296364E-2</v>
      </c>
      <c r="G98" s="140" t="str">
        <f>VLOOKUP(A98,'10-year CDS Spreads'!$A$2:$D$158,4,FALSE)</f>
        <v>NA</v>
      </c>
      <c r="H98" s="11" t="str">
        <f t="shared" si="10"/>
        <v>NA</v>
      </c>
      <c r="I98" s="14" t="str">
        <f t="shared" si="9"/>
        <v>NA</v>
      </c>
    </row>
    <row r="99" spans="1:9" ht="15.5">
      <c r="A99" s="105" t="str">
        <f>'Sovereign Ratings (Moody''s,S&amp;P)'!A93</f>
        <v>Malta</v>
      </c>
      <c r="B99" s="101" t="str">
        <f>VLOOKUP(A99,'Regional lookup table'!$A$2:$B$162,2,FALSE)</f>
        <v>Western Europe</v>
      </c>
      <c r="C99" s="9" t="str">
        <f>VLOOKUP(A99,'Sovereign Ratings (Moody''s,S&amp;P)'!$A$2:$D$158,4,FALSE)</f>
        <v>A2</v>
      </c>
      <c r="D99" s="21">
        <f t="shared" si="6"/>
        <v>8.3811058765187203E-3</v>
      </c>
      <c r="E99" s="21">
        <f t="shared" si="7"/>
        <v>5.1681105876518717E-2</v>
      </c>
      <c r="F99" s="11">
        <f t="shared" si="8"/>
        <v>8.3811058765187203E-3</v>
      </c>
      <c r="G99" s="140" t="str">
        <f>VLOOKUP(A99,'10-year CDS Spreads'!$A$2:$D$158,4,FALSE)</f>
        <v>NA</v>
      </c>
      <c r="H99" s="11" t="str">
        <f t="shared" si="10"/>
        <v>NA</v>
      </c>
      <c r="I99" s="14" t="str">
        <f t="shared" si="9"/>
        <v>NA</v>
      </c>
    </row>
    <row r="100" spans="1:9" ht="15.5">
      <c r="A100" s="105" t="str">
        <f>'Sovereign Ratings (Moody''s,S&amp;P)'!A94</f>
        <v>Mauritius</v>
      </c>
      <c r="B100" s="101" t="str">
        <f>VLOOKUP(A100,'Regional lookup table'!$A$2:$B$162,2,FALSE)</f>
        <v>Africa</v>
      </c>
      <c r="C100" s="9" t="str">
        <f>VLOOKUP(A100,'Sovereign Ratings (Moody''s,S&amp;P)'!$A$2:$D$158,4,FALSE)</f>
        <v>Baa3</v>
      </c>
      <c r="D100" s="21">
        <f t="shared" si="6"/>
        <v>2.1767594429291676E-2</v>
      </c>
      <c r="E100" s="21">
        <f t="shared" si="7"/>
        <v>6.5067594429291678E-2</v>
      </c>
      <c r="F100" s="11">
        <f t="shared" si="8"/>
        <v>2.1767594429291676E-2</v>
      </c>
      <c r="G100" s="140" t="str">
        <f>VLOOKUP(A100,'10-year CDS Spreads'!$A$2:$D$158,4,FALSE)</f>
        <v>NA</v>
      </c>
      <c r="H100" s="11" t="str">
        <f t="shared" si="10"/>
        <v>NA</v>
      </c>
      <c r="I100" s="14" t="str">
        <f t="shared" si="9"/>
        <v>NA</v>
      </c>
    </row>
    <row r="101" spans="1:9" ht="15.5">
      <c r="A101" s="105" t="str">
        <f>'Sovereign Ratings (Moody''s,S&amp;P)'!A95</f>
        <v>Mexico</v>
      </c>
      <c r="B101" s="101" t="str">
        <f>VLOOKUP(A101,'Regional lookup table'!$A$2:$B$162,2,FALSE)</f>
        <v>Central and South America</v>
      </c>
      <c r="C101" s="9" t="str">
        <f>VLOOKUP(A101,'Sovereign Ratings (Moody''s,S&amp;P)'!$A$2:$D$158,4,FALSE)</f>
        <v>Baa2</v>
      </c>
      <c r="D101" s="21">
        <f t="shared" si="6"/>
        <v>1.885748822216712E-2</v>
      </c>
      <c r="E101" s="21">
        <f t="shared" si="7"/>
        <v>6.2157488222167115E-2</v>
      </c>
      <c r="F101" s="11">
        <f t="shared" si="8"/>
        <v>1.885748822216712E-2</v>
      </c>
      <c r="G101" s="140">
        <f>VLOOKUP(A101,'10-year CDS Spreads'!$A$2:$D$158,4,FALSE)</f>
        <v>1.8100000000000002E-2</v>
      </c>
      <c r="H101" s="11">
        <f t="shared" si="10"/>
        <v>6.7689711211588358E-2</v>
      </c>
      <c r="I101" s="14">
        <f t="shared" si="9"/>
        <v>2.4389711211588363E-2</v>
      </c>
    </row>
    <row r="102" spans="1:9" ht="15.5">
      <c r="A102" s="105" t="str">
        <f>'Sovereign Ratings (Moody''s,S&amp;P)'!A96</f>
        <v>Moldova</v>
      </c>
      <c r="B102" s="101" t="str">
        <f>VLOOKUP(A102,'Regional lookup table'!$A$2:$B$162,2,FALSE)</f>
        <v>Eastern Europe &amp; Russia</v>
      </c>
      <c r="C102" s="9" t="str">
        <f>VLOOKUP(A102,'Sovereign Ratings (Moody''s,S&amp;P)'!$A$2:$D$158,4,FALSE)</f>
        <v>B3</v>
      </c>
      <c r="D102" s="21">
        <f t="shared" si="6"/>
        <v>6.4371549301595152E-2</v>
      </c>
      <c r="E102" s="21">
        <f t="shared" si="7"/>
        <v>0.10767154930159514</v>
      </c>
      <c r="F102" s="11">
        <f t="shared" si="8"/>
        <v>6.4371549301595152E-2</v>
      </c>
      <c r="G102" s="140" t="str">
        <f>VLOOKUP(A102,'10-year CDS Spreads'!$A$2:$D$158,4,FALSE)</f>
        <v>NA</v>
      </c>
      <c r="H102" s="11" t="str">
        <f t="shared" si="10"/>
        <v>NA</v>
      </c>
      <c r="I102" s="14" t="str">
        <f t="shared" si="9"/>
        <v>NA</v>
      </c>
    </row>
    <row r="103" spans="1:9" ht="15.5">
      <c r="A103" s="105" t="str">
        <f>'Sovereign Ratings (Moody''s,S&amp;P)'!A97</f>
        <v>Mongolia</v>
      </c>
      <c r="B103" s="101" t="str">
        <f>VLOOKUP(A103,'Regional lookup table'!$A$2:$B$162,2,FALSE)</f>
        <v>Asia</v>
      </c>
      <c r="C103" s="9" t="str">
        <f>VLOOKUP(A103,'Sovereign Ratings (Moody''s,S&amp;P)'!$A$2:$D$158,4,FALSE)</f>
        <v>B2</v>
      </c>
      <c r="D103" s="21">
        <f t="shared" si="6"/>
        <v>5.4477188197371677E-2</v>
      </c>
      <c r="E103" s="21">
        <f t="shared" si="7"/>
        <v>9.7777188197371676E-2</v>
      </c>
      <c r="F103" s="11">
        <f t="shared" si="8"/>
        <v>5.4477188197371677E-2</v>
      </c>
      <c r="G103" s="140" t="str">
        <f>VLOOKUP(A103,'10-year CDS Spreads'!$A$2:$D$158,4,FALSE)</f>
        <v>NA</v>
      </c>
      <c r="H103" s="11" t="str">
        <f t="shared" si="10"/>
        <v>NA</v>
      </c>
      <c r="I103" s="14" t="str">
        <f t="shared" si="9"/>
        <v>NA</v>
      </c>
    </row>
    <row r="104" spans="1:9" ht="15.5">
      <c r="A104" s="105" t="str">
        <f>'Sovereign Ratings (Moody''s,S&amp;P)'!A98</f>
        <v>Montenegro</v>
      </c>
      <c r="B104" s="101" t="str">
        <f>VLOOKUP(A104,'Regional lookup table'!$A$2:$B$162,2,FALSE)</f>
        <v>Eastern Europe &amp; Russia</v>
      </c>
      <c r="C104" s="9" t="str">
        <f>VLOOKUP(A104,'Sovereign Ratings (Moody''s,S&amp;P)'!$A$2:$D$158,4,FALSE)</f>
        <v>B1</v>
      </c>
      <c r="D104" s="21">
        <f t="shared" si="6"/>
        <v>4.4582827093148182E-2</v>
      </c>
      <c r="E104" s="21">
        <f t="shared" si="7"/>
        <v>8.788282709314818E-2</v>
      </c>
      <c r="F104" s="11">
        <f t="shared" si="8"/>
        <v>4.4582827093148182E-2</v>
      </c>
      <c r="G104" s="140" t="str">
        <f>VLOOKUP(A104,'10-year CDS Spreads'!$A$2:$D$158,4,FALSE)</f>
        <v>NA</v>
      </c>
      <c r="H104" s="11" t="str">
        <f t="shared" si="10"/>
        <v>NA</v>
      </c>
      <c r="I104" s="14" t="str">
        <f t="shared" si="9"/>
        <v>NA</v>
      </c>
    </row>
    <row r="105" spans="1:9" ht="15.5">
      <c r="A105" s="105" t="str">
        <f>'Sovereign Ratings (Moody''s,S&amp;P)'!A99</f>
        <v>Montserrat</v>
      </c>
      <c r="B105" s="101" t="str">
        <f>VLOOKUP(A105,'Regional lookup table'!$A$2:$B$162,2,FALSE)</f>
        <v>Caribbean</v>
      </c>
      <c r="C105" s="9" t="str">
        <f>VLOOKUP(A105,'Sovereign Ratings (Moody''s,S&amp;P)'!$A$2:$D$158,4,FALSE)</f>
        <v>Baa3</v>
      </c>
      <c r="D105" s="21">
        <f t="shared" si="6"/>
        <v>2.1767594429291676E-2</v>
      </c>
      <c r="E105" s="21">
        <f t="shared" si="7"/>
        <v>6.5067594429291678E-2</v>
      </c>
      <c r="F105" s="11">
        <f t="shared" si="8"/>
        <v>2.1767594429291676E-2</v>
      </c>
      <c r="G105" s="140" t="str">
        <f>VLOOKUP(A105,'10-year CDS Spreads'!$A$2:$D$158,4,FALSE)</f>
        <v>NA</v>
      </c>
      <c r="H105" s="11" t="str">
        <f t="shared" si="10"/>
        <v>NA</v>
      </c>
      <c r="I105" s="14" t="str">
        <f t="shared" si="9"/>
        <v>NA</v>
      </c>
    </row>
    <row r="106" spans="1:9" ht="15.5">
      <c r="A106" s="105" t="str">
        <f>'Sovereign Ratings (Moody''s,S&amp;P)'!A100</f>
        <v>Morocco</v>
      </c>
      <c r="B106" s="101" t="str">
        <f>VLOOKUP(A106,'Regional lookup table'!$A$2:$B$162,2,FALSE)</f>
        <v>Africa</v>
      </c>
      <c r="C106" s="9" t="str">
        <f>VLOOKUP(A106,'Sovereign Ratings (Moody''s,S&amp;P)'!$A$2:$D$158,4,FALSE)</f>
        <v>Ba1</v>
      </c>
      <c r="D106" s="21">
        <f t="shared" si="6"/>
        <v>2.4794104884701216E-2</v>
      </c>
      <c r="E106" s="21">
        <f t="shared" si="7"/>
        <v>6.8094104884701218E-2</v>
      </c>
      <c r="F106" s="11">
        <f t="shared" si="8"/>
        <v>2.4794104884701216E-2</v>
      </c>
      <c r="G106" s="140">
        <f>VLOOKUP(A106,'10-year CDS Spreads'!$A$2:$D$158,4,FALSE)</f>
        <v>1.0999999999999999E-2</v>
      </c>
      <c r="H106" s="11">
        <f t="shared" si="10"/>
        <v>5.8122476426932149E-2</v>
      </c>
      <c r="I106" s="14">
        <f t="shared" si="9"/>
        <v>1.4822476426932152E-2</v>
      </c>
    </row>
    <row r="107" spans="1:9" ht="15.5">
      <c r="A107" s="105" t="str">
        <f>'Sovereign Ratings (Moody''s,S&amp;P)'!A101</f>
        <v>Mozambique</v>
      </c>
      <c r="B107" s="101" t="str">
        <f>VLOOKUP(A107,'Regional lookup table'!$A$2:$B$162,2,FALSE)</f>
        <v>Africa</v>
      </c>
      <c r="C107" s="9" t="str">
        <f>VLOOKUP(A107,'Sovereign Ratings (Moody''s,S&amp;P)'!$A$2:$D$158,4,FALSE)</f>
        <v>Caa2</v>
      </c>
      <c r="D107" s="21">
        <f t="shared" si="6"/>
        <v>8.9165654186296364E-2</v>
      </c>
      <c r="E107" s="21">
        <f t="shared" si="7"/>
        <v>0.13246565418629636</v>
      </c>
      <c r="F107" s="11">
        <f t="shared" si="8"/>
        <v>8.9165654186296364E-2</v>
      </c>
      <c r="G107" s="140" t="str">
        <f>VLOOKUP(A107,'10-year CDS Spreads'!$A$2:$D$158,4,FALSE)</f>
        <v>NA</v>
      </c>
      <c r="H107" s="11" t="str">
        <f t="shared" si="10"/>
        <v>NA</v>
      </c>
      <c r="I107" s="14" t="str">
        <f t="shared" si="9"/>
        <v>NA</v>
      </c>
    </row>
    <row r="108" spans="1:9" ht="15.5">
      <c r="A108" s="105" t="str">
        <f>'Sovereign Ratings (Moody''s,S&amp;P)'!A102</f>
        <v>Namibia</v>
      </c>
      <c r="B108" s="101" t="str">
        <f>VLOOKUP(A108,'Regional lookup table'!$A$2:$B$162,2,FALSE)</f>
        <v>Africa</v>
      </c>
      <c r="C108" s="9" t="str">
        <f>VLOOKUP(A108,'Sovereign Ratings (Moody''s,S&amp;P)'!$A$2:$D$158,4,FALSE)</f>
        <v>B1</v>
      </c>
      <c r="D108" s="21">
        <f t="shared" si="6"/>
        <v>4.4582827093148182E-2</v>
      </c>
      <c r="E108" s="21">
        <f t="shared" si="7"/>
        <v>8.788282709314818E-2</v>
      </c>
      <c r="F108" s="11">
        <f t="shared" si="8"/>
        <v>4.4582827093148182E-2</v>
      </c>
      <c r="G108" s="140" t="str">
        <f>VLOOKUP(A108,'10-year CDS Spreads'!$A$2:$D$158,4,FALSE)</f>
        <v>NA</v>
      </c>
      <c r="H108" s="11" t="str">
        <f t="shared" si="10"/>
        <v>NA</v>
      </c>
      <c r="I108" s="14" t="str">
        <f t="shared" si="9"/>
        <v>NA</v>
      </c>
    </row>
    <row r="109" spans="1:9" ht="15.5">
      <c r="A109" s="105" t="str">
        <f>'Sovereign Ratings (Moody''s,S&amp;P)'!A103</f>
        <v>Nepal</v>
      </c>
      <c r="B109" s="101" t="str">
        <f>VLOOKUP(A109,'Regional lookup table'!$A$2:$B$162,2,FALSE)</f>
        <v>Asia</v>
      </c>
      <c r="C109" s="9" t="str">
        <f>VLOOKUP(A109,'Sovereign Ratings (Moody''s,S&amp;P)'!$A$2:$D$158,4,FALSE)</f>
        <v>Ba3</v>
      </c>
      <c r="D109" s="21">
        <f t="shared" ref="D109" si="11">VLOOKUP(C109,$J$9:$K$31,2,FALSE)/10000</f>
        <v>3.5619699975204554E-2</v>
      </c>
      <c r="E109" s="21">
        <f t="shared" ref="E109" si="12">$E$3+F109</f>
        <v>7.8919699975204552E-2</v>
      </c>
      <c r="F109" s="11">
        <f t="shared" ref="F109" si="13">IF($E$4="Yes",D109*$E$5,D109)</f>
        <v>3.5619699975204554E-2</v>
      </c>
      <c r="G109" s="140" t="str">
        <f>VLOOKUP(A109,'10-year CDS Spreads'!$A$2:$D$158,4,FALSE)</f>
        <v>NA</v>
      </c>
      <c r="H109" s="11" t="str">
        <f t="shared" ref="H109" si="14">IF(I109="NA","NA",$E$3+I109)</f>
        <v>NA</v>
      </c>
      <c r="I109" s="14" t="str">
        <f t="shared" ref="I109" si="15">IF(G109="NA","NA",G109*$E$5)</f>
        <v>NA</v>
      </c>
    </row>
    <row r="110" spans="1:9" ht="15.5">
      <c r="A110" s="105" t="str">
        <f>'Sovereign Ratings (Moody''s,S&amp;P)'!A104</f>
        <v>Netherlands</v>
      </c>
      <c r="B110" s="101" t="str">
        <f>VLOOKUP(A110,'Regional lookup table'!$A$2:$B$162,2,FALSE)</f>
        <v>Western Europe</v>
      </c>
      <c r="C110" s="9" t="str">
        <f>VLOOKUP(A110,'Sovereign Ratings (Moody''s,S&amp;P)'!$A$2:$D$158,4,FALSE)</f>
        <v>Aaa</v>
      </c>
      <c r="D110" s="21">
        <f t="shared" si="6"/>
        <v>0</v>
      </c>
      <c r="E110" s="21">
        <f t="shared" si="7"/>
        <v>4.3299999999999998E-2</v>
      </c>
      <c r="F110" s="11">
        <f t="shared" si="8"/>
        <v>0</v>
      </c>
      <c r="G110" s="140">
        <f>VLOOKUP(A110,'10-year CDS Spreads'!$A$2:$D$158,4,FALSE)</f>
        <v>0</v>
      </c>
      <c r="H110" s="11">
        <f t="shared" si="10"/>
        <v>4.3299999999999998E-2</v>
      </c>
      <c r="I110" s="14">
        <f t="shared" si="9"/>
        <v>0</v>
      </c>
    </row>
    <row r="111" spans="1:9" ht="15.5">
      <c r="A111" s="105" t="str">
        <f>'Sovereign Ratings (Moody''s,S&amp;P)'!A105</f>
        <v>New Zealand</v>
      </c>
      <c r="B111" s="101" t="str">
        <f>VLOOKUP(A111,'Regional lookup table'!$A$2:$B$162,2,FALSE)</f>
        <v>Australia &amp; New Zealand</v>
      </c>
      <c r="C111" s="9" t="str">
        <f>VLOOKUP(A111,'Sovereign Ratings (Moody''s,S&amp;P)'!$A$2:$D$158,4,FALSE)</f>
        <v>Aaa</v>
      </c>
      <c r="D111" s="21">
        <f t="shared" si="6"/>
        <v>0</v>
      </c>
      <c r="E111" s="21">
        <f t="shared" si="7"/>
        <v>4.3299999999999998E-2</v>
      </c>
      <c r="F111" s="11">
        <f t="shared" si="8"/>
        <v>0</v>
      </c>
      <c r="G111" s="140">
        <f>VLOOKUP(A111,'10-year CDS Spreads'!$A$2:$D$158,4,FALSE)</f>
        <v>0</v>
      </c>
      <c r="H111" s="11">
        <f t="shared" si="10"/>
        <v>4.3299999999999998E-2</v>
      </c>
      <c r="I111" s="14">
        <f t="shared" si="9"/>
        <v>0</v>
      </c>
    </row>
    <row r="112" spans="1:9" ht="15.5">
      <c r="A112" s="105" t="str">
        <f>'Sovereign Ratings (Moody''s,S&amp;P)'!A106</f>
        <v>Nicaragua</v>
      </c>
      <c r="B112" s="101" t="str">
        <f>VLOOKUP(A112,'Regional lookup table'!$A$2:$B$162,2,FALSE)</f>
        <v>Central and South America</v>
      </c>
      <c r="C112" s="9" t="str">
        <f>VLOOKUP(A112,'Sovereign Ratings (Moody''s,S&amp;P)'!$A$2:$D$158,4,FALSE)</f>
        <v>B2</v>
      </c>
      <c r="D112" s="21">
        <f t="shared" si="6"/>
        <v>5.4477188197371677E-2</v>
      </c>
      <c r="E112" s="21">
        <f t="shared" si="7"/>
        <v>9.7777188197371676E-2</v>
      </c>
      <c r="F112" s="11">
        <f t="shared" si="8"/>
        <v>5.4477188197371677E-2</v>
      </c>
      <c r="G112" s="140">
        <f>VLOOKUP(A112,'10-year CDS Spreads'!$A$2:$D$158,4,FALSE)</f>
        <v>6.1599999999999995E-2</v>
      </c>
      <c r="H112" s="11">
        <f t="shared" si="10"/>
        <v>0.12630586799082005</v>
      </c>
      <c r="I112" s="14">
        <f t="shared" si="9"/>
        <v>8.3005867990820048E-2</v>
      </c>
    </row>
    <row r="113" spans="1:9" ht="15.5">
      <c r="A113" s="105" t="str">
        <f>'Sovereign Ratings (Moody''s,S&amp;P)'!A107</f>
        <v>Niger</v>
      </c>
      <c r="B113" s="101" t="str">
        <f>VLOOKUP(A113,'Regional lookup table'!$A$2:$B$162,2,FALSE)</f>
        <v>Africa</v>
      </c>
      <c r="C113" s="9" t="str">
        <f>VLOOKUP(A113,'Sovereign Ratings (Moody''s,S&amp;P)'!$A$2:$D$158,4,FALSE)</f>
        <v>Caa3</v>
      </c>
      <c r="D113" s="21">
        <f t="shared" si="6"/>
        <v>9.9060015290519873E-2</v>
      </c>
      <c r="E113" s="21">
        <f t="shared" si="7"/>
        <v>0.14236001529051986</v>
      </c>
      <c r="F113" s="11">
        <f t="shared" si="8"/>
        <v>9.9060015290519873E-2</v>
      </c>
      <c r="G113" s="140" t="str">
        <f>VLOOKUP(A113,'10-year CDS Spreads'!$A$2:$D$158,4,FALSE)</f>
        <v>NA</v>
      </c>
      <c r="H113" s="11" t="str">
        <f>IF(I113="NA","NA",$E$3+I113)</f>
        <v>NA</v>
      </c>
      <c r="I113" s="14" t="str">
        <f>IF(G113="NA","NA",G113*$E$5)</f>
        <v>NA</v>
      </c>
    </row>
    <row r="114" spans="1:9" ht="15.5">
      <c r="A114" s="105" t="str">
        <f>'Sovereign Ratings (Moody''s,S&amp;P)'!A108</f>
        <v>Nigeria</v>
      </c>
      <c r="B114" s="101" t="str">
        <f>VLOOKUP(A114,'Regional lookup table'!$A$2:$B$162,2,FALSE)</f>
        <v>Africa</v>
      </c>
      <c r="C114" s="9" t="str">
        <f>VLOOKUP(A114,'Sovereign Ratings (Moody''s,S&amp;P)'!$A$2:$D$158,4,FALSE)</f>
        <v>Caa1</v>
      </c>
      <c r="D114" s="21">
        <f t="shared" si="6"/>
        <v>7.4265910405818647E-2</v>
      </c>
      <c r="E114" s="21">
        <f t="shared" si="7"/>
        <v>0.11756591040581865</v>
      </c>
      <c r="F114" s="11">
        <f t="shared" si="8"/>
        <v>7.4265910405818647E-2</v>
      </c>
      <c r="G114" s="140">
        <f>VLOOKUP(A114,'10-year CDS Spreads'!$A$2:$D$158,4,FALSE)</f>
        <v>6.0299999999999999E-2</v>
      </c>
      <c r="H114" s="11">
        <f t="shared" si="10"/>
        <v>0.12455412077672806</v>
      </c>
      <c r="I114" s="14">
        <f t="shared" si="9"/>
        <v>8.125412077672807E-2</v>
      </c>
    </row>
    <row r="115" spans="1:9" ht="15.5">
      <c r="A115" s="105" t="str">
        <f>'Sovereign Ratings (Moody''s,S&amp;P)'!A109</f>
        <v>Norway</v>
      </c>
      <c r="B115" s="101" t="str">
        <f>VLOOKUP(A115,'Regional lookup table'!$A$2:$B$162,2,FALSE)</f>
        <v>Western Europe</v>
      </c>
      <c r="C115" s="9" t="str">
        <f>VLOOKUP(A115,'Sovereign Ratings (Moody''s,S&amp;P)'!$A$2:$D$158,4,FALSE)</f>
        <v>Aaa</v>
      </c>
      <c r="D115" s="21">
        <f t="shared" si="6"/>
        <v>0</v>
      </c>
      <c r="E115" s="21">
        <f t="shared" si="7"/>
        <v>4.3299999999999998E-2</v>
      </c>
      <c r="F115" s="11">
        <f t="shared" si="8"/>
        <v>0</v>
      </c>
      <c r="G115" s="140">
        <f>VLOOKUP(A115,'10-year CDS Spreads'!$A$2:$D$158,4,FALSE)</f>
        <v>0</v>
      </c>
      <c r="H115" s="11">
        <f t="shared" si="10"/>
        <v>4.3299999999999998E-2</v>
      </c>
      <c r="I115" s="14">
        <f t="shared" si="9"/>
        <v>0</v>
      </c>
    </row>
    <row r="116" spans="1:9" ht="15.5">
      <c r="A116" s="105" t="str">
        <f>'Sovereign Ratings (Moody''s,S&amp;P)'!A110</f>
        <v>Oman</v>
      </c>
      <c r="B116" s="101" t="str">
        <f>VLOOKUP(A116,'Regional lookup table'!$A$2:$B$162,2,FALSE)</f>
        <v>Middle East</v>
      </c>
      <c r="C116" s="9" t="str">
        <f>VLOOKUP(A116,'Sovereign Ratings (Moody''s,S&amp;P)'!$A$2:$D$158,4,FALSE)</f>
        <v>Ba1</v>
      </c>
      <c r="D116" s="21">
        <f t="shared" si="6"/>
        <v>2.4794104884701216E-2</v>
      </c>
      <c r="E116" s="21">
        <f t="shared" si="7"/>
        <v>6.8094104884701218E-2</v>
      </c>
      <c r="F116" s="11">
        <f t="shared" si="8"/>
        <v>2.4794104884701216E-2</v>
      </c>
      <c r="G116" s="140">
        <f>VLOOKUP(A116,'10-year CDS Spreads'!$A$2:$D$158,4,FALSE)</f>
        <v>1.2199999999999999E-2</v>
      </c>
      <c r="H116" s="11">
        <f t="shared" si="10"/>
        <v>5.973947385532475E-2</v>
      </c>
      <c r="I116" s="14">
        <f t="shared" si="9"/>
        <v>1.6439473855324752E-2</v>
      </c>
    </row>
    <row r="117" spans="1:9" ht="15.5">
      <c r="A117" s="105" t="str">
        <f>'Sovereign Ratings (Moody''s,S&amp;P)'!A111</f>
        <v>Pakistan</v>
      </c>
      <c r="B117" s="101" t="str">
        <f>VLOOKUP(A117,'Regional lookup table'!$A$2:$B$162,2,FALSE)</f>
        <v>Asia</v>
      </c>
      <c r="C117" s="9" t="str">
        <f>VLOOKUP(A117,'Sovereign Ratings (Moody''s,S&amp;P)'!$A$2:$D$158,4,FALSE)</f>
        <v>Caa2</v>
      </c>
      <c r="D117" s="21">
        <f t="shared" si="6"/>
        <v>8.9165654186296364E-2</v>
      </c>
      <c r="E117" s="21">
        <f t="shared" si="7"/>
        <v>0.13246565418629636</v>
      </c>
      <c r="F117" s="11">
        <f t="shared" si="8"/>
        <v>8.9165654186296364E-2</v>
      </c>
      <c r="G117" s="140">
        <f>VLOOKUP(A117,'10-year CDS Spreads'!$A$2:$D$158,4,FALSE)</f>
        <v>0.1608</v>
      </c>
      <c r="H117" s="11">
        <f t="shared" si="10"/>
        <v>0.25997765540460821</v>
      </c>
      <c r="I117" s="14">
        <f t="shared" si="9"/>
        <v>0.2166776554046082</v>
      </c>
    </row>
    <row r="118" spans="1:9" ht="15.5">
      <c r="A118" s="105" t="str">
        <f>'Sovereign Ratings (Moody''s,S&amp;P)'!A112</f>
        <v>Panama</v>
      </c>
      <c r="B118" s="101" t="str">
        <f>VLOOKUP(A118,'Regional lookup table'!$A$2:$B$162,2,FALSE)</f>
        <v>Central and South America</v>
      </c>
      <c r="C118" s="9" t="str">
        <f>VLOOKUP(A118,'Sovereign Ratings (Moody''s,S&amp;P)'!$A$2:$D$158,4,FALSE)</f>
        <v>Baa3</v>
      </c>
      <c r="D118" s="21">
        <f t="shared" si="6"/>
        <v>2.1767594429291676E-2</v>
      </c>
      <c r="E118" s="21">
        <f t="shared" si="7"/>
        <v>6.5067594429291678E-2</v>
      </c>
      <c r="F118" s="11">
        <f t="shared" si="8"/>
        <v>2.1767594429291676E-2</v>
      </c>
      <c r="G118" s="140">
        <f>VLOOKUP(A118,'10-year CDS Spreads'!$A$2:$D$158,4,FALSE)</f>
        <v>2.6700000000000002E-2</v>
      </c>
      <c r="H118" s="11">
        <f t="shared" si="10"/>
        <v>7.9278192781735313E-2</v>
      </c>
      <c r="I118" s="14">
        <f t="shared" si="9"/>
        <v>3.5978192781735321E-2</v>
      </c>
    </row>
    <row r="119" spans="1:9" ht="15.5">
      <c r="A119" s="105" t="str">
        <f>'Sovereign Ratings (Moody''s,S&amp;P)'!A113</f>
        <v>Papua New Guinea</v>
      </c>
      <c r="B119" s="101" t="str">
        <f>VLOOKUP(A119,'Regional lookup table'!$A$2:$B$162,2,FALSE)</f>
        <v>Asia</v>
      </c>
      <c r="C119" s="9" t="str">
        <f>VLOOKUP(A119,'Sovereign Ratings (Moody''s,S&amp;P)'!$A$2:$D$158,4,FALSE)</f>
        <v>B2</v>
      </c>
      <c r="D119" s="21">
        <f t="shared" si="6"/>
        <v>5.4477188197371677E-2</v>
      </c>
      <c r="E119" s="21">
        <f t="shared" si="7"/>
        <v>9.7777188197371676E-2</v>
      </c>
      <c r="F119" s="11">
        <f t="shared" si="8"/>
        <v>5.4477188197371677E-2</v>
      </c>
      <c r="G119" s="140" t="str">
        <f>VLOOKUP(A119,'10-year CDS Spreads'!$A$2:$D$158,4,FALSE)</f>
        <v>NA</v>
      </c>
      <c r="H119" s="11" t="str">
        <f t="shared" si="10"/>
        <v>NA</v>
      </c>
      <c r="I119" s="14" t="str">
        <f t="shared" si="9"/>
        <v>NA</v>
      </c>
    </row>
    <row r="120" spans="1:9" ht="15.5">
      <c r="A120" s="105" t="str">
        <f>'Sovereign Ratings (Moody''s,S&amp;P)'!A114</f>
        <v>Paraguay</v>
      </c>
      <c r="B120" s="101" t="str">
        <f>VLOOKUP(A120,'Regional lookup table'!$A$2:$B$162,2,FALSE)</f>
        <v>Central and South America</v>
      </c>
      <c r="C120" s="9" t="str">
        <f>VLOOKUP(A120,'Sovereign Ratings (Moody''s,S&amp;P)'!$A$2:$D$158,4,FALSE)</f>
        <v>Baa3</v>
      </c>
      <c r="D120" s="21">
        <f t="shared" si="6"/>
        <v>2.1767594429291676E-2</v>
      </c>
      <c r="E120" s="21">
        <f t="shared" si="7"/>
        <v>6.5067594429291678E-2</v>
      </c>
      <c r="F120" s="11">
        <f t="shared" si="8"/>
        <v>2.1767594429291676E-2</v>
      </c>
      <c r="G120" s="140" t="str">
        <f>VLOOKUP(A120,'10-year CDS Spreads'!$A$2:$D$158,4,FALSE)</f>
        <v>NA</v>
      </c>
      <c r="H120" s="11" t="str">
        <f t="shared" si="10"/>
        <v>NA</v>
      </c>
      <c r="I120" s="14" t="str">
        <f t="shared" si="9"/>
        <v>NA</v>
      </c>
    </row>
    <row r="121" spans="1:9" ht="15.5">
      <c r="A121" s="105" t="str">
        <f>'Sovereign Ratings (Moody''s,S&amp;P)'!A115</f>
        <v>Peru</v>
      </c>
      <c r="B121" s="101" t="str">
        <f>VLOOKUP(A121,'Regional lookup table'!$A$2:$B$162,2,FALSE)</f>
        <v>Central and South America</v>
      </c>
      <c r="C121" s="9" t="str">
        <f>VLOOKUP(A121,'Sovereign Ratings (Moody''s,S&amp;P)'!$A$2:$D$158,4,FALSE)</f>
        <v>Baa1</v>
      </c>
      <c r="D121" s="21">
        <f t="shared" si="6"/>
        <v>1.5830977766757577E-2</v>
      </c>
      <c r="E121" s="21">
        <f t="shared" si="7"/>
        <v>5.9130977766757575E-2</v>
      </c>
      <c r="F121" s="11">
        <f t="shared" si="8"/>
        <v>1.5830977766757577E-2</v>
      </c>
      <c r="G121" s="140">
        <f>VLOOKUP(A121,'10-year CDS Spreads'!$A$2:$D$158,4,FALSE)</f>
        <v>1.0599999999999998E-2</v>
      </c>
      <c r="H121" s="11">
        <f t="shared" si="10"/>
        <v>5.7583477284134613E-2</v>
      </c>
      <c r="I121" s="14">
        <f t="shared" si="9"/>
        <v>1.4283477284134618E-2</v>
      </c>
    </row>
    <row r="122" spans="1:9" ht="15.5">
      <c r="A122" s="105" t="str">
        <f>'Sovereign Ratings (Moody''s,S&amp;P)'!A116</f>
        <v>Philippines</v>
      </c>
      <c r="B122" s="101" t="str">
        <f>VLOOKUP(A122,'Regional lookup table'!$A$2:$B$162,2,FALSE)</f>
        <v>Asia</v>
      </c>
      <c r="C122" s="9" t="str">
        <f>VLOOKUP(A122,'Sovereign Ratings (Moody''s,S&amp;P)'!$A$2:$D$158,4,FALSE)</f>
        <v>Baa2</v>
      </c>
      <c r="D122" s="21">
        <f t="shared" si="6"/>
        <v>1.885748822216712E-2</v>
      </c>
      <c r="E122" s="21">
        <f t="shared" si="7"/>
        <v>6.2157488222167115E-2</v>
      </c>
      <c r="F122" s="11">
        <f t="shared" si="8"/>
        <v>1.885748822216712E-2</v>
      </c>
      <c r="G122" s="140">
        <f>VLOOKUP(A122,'10-year CDS Spreads'!$A$2:$D$158,4,FALSE)</f>
        <v>8.0000000000000002E-3</v>
      </c>
      <c r="H122" s="11">
        <f t="shared" si="10"/>
        <v>5.4079982855950656E-2</v>
      </c>
      <c r="I122" s="14">
        <f t="shared" si="9"/>
        <v>1.0779982855950656E-2</v>
      </c>
    </row>
    <row r="123" spans="1:9" ht="15.5">
      <c r="A123" s="105" t="str">
        <f>'Sovereign Ratings (Moody''s,S&amp;P)'!A117</f>
        <v>Poland</v>
      </c>
      <c r="B123" s="101" t="str">
        <f>VLOOKUP(A123,'Regional lookup table'!$A$2:$B$162,2,FALSE)</f>
        <v>Eastern Europe &amp; Russia</v>
      </c>
      <c r="C123" s="9" t="str">
        <f>VLOOKUP(A123,'Sovereign Ratings (Moody''s,S&amp;P)'!$A$2:$D$158,4,FALSE)</f>
        <v>A2</v>
      </c>
      <c r="D123" s="21">
        <f t="shared" si="6"/>
        <v>8.3811058765187203E-3</v>
      </c>
      <c r="E123" s="21">
        <f t="shared" si="7"/>
        <v>5.1681105876518717E-2</v>
      </c>
      <c r="F123" s="11">
        <f t="shared" si="8"/>
        <v>8.3811058765187203E-3</v>
      </c>
      <c r="G123" s="140">
        <f>VLOOKUP(A123,'10-year CDS Spreads'!$A$2:$D$158,4,FALSE)</f>
        <v>6.4000000000000003E-3</v>
      </c>
      <c r="H123" s="11">
        <f t="shared" si="10"/>
        <v>5.1923986284760526E-2</v>
      </c>
      <c r="I123" s="14">
        <f t="shared" si="9"/>
        <v>8.6239862847605261E-3</v>
      </c>
    </row>
    <row r="124" spans="1:9" ht="15.5">
      <c r="A124" s="105" t="str">
        <f>'Sovereign Ratings (Moody''s,S&amp;P)'!A118</f>
        <v>Portugal</v>
      </c>
      <c r="B124" s="101" t="str">
        <f>VLOOKUP(A124,'Regional lookup table'!$A$2:$B$162,2,FALSE)</f>
        <v>Western Europe</v>
      </c>
      <c r="C124" s="9" t="str">
        <f>VLOOKUP(A124,'Sovereign Ratings (Moody''s,S&amp;P)'!$A$2:$D$158,4,FALSE)</f>
        <v>A3</v>
      </c>
      <c r="D124" s="21">
        <f t="shared" si="6"/>
        <v>1.1873233325068186E-2</v>
      </c>
      <c r="E124" s="21">
        <f t="shared" si="7"/>
        <v>5.5173233325068183E-2</v>
      </c>
      <c r="F124" s="11">
        <f t="shared" si="8"/>
        <v>1.1873233325068186E-2</v>
      </c>
      <c r="G124" s="140">
        <f>VLOOKUP(A124,'10-year CDS Spreads'!$A$2:$D$158,4,FALSE)</f>
        <v>1.6999999999999993E-3</v>
      </c>
      <c r="H124" s="11">
        <f t="shared" si="10"/>
        <v>4.5590746356889512E-2</v>
      </c>
      <c r="I124" s="14">
        <f t="shared" si="9"/>
        <v>2.2907463568895134E-3</v>
      </c>
    </row>
    <row r="125" spans="1:9" ht="15.5">
      <c r="A125" s="105" t="str">
        <f>'Sovereign Ratings (Moody''s,S&amp;P)'!A119</f>
        <v>Qatar</v>
      </c>
      <c r="B125" s="101" t="str">
        <f>VLOOKUP(A125,'Regional lookup table'!$A$2:$B$162,2,FALSE)</f>
        <v>Middle East</v>
      </c>
      <c r="C125" s="9" t="str">
        <f>VLOOKUP(A125,'Sovereign Ratings (Moody''s,S&amp;P)'!$A$2:$D$158,4,FALSE)</f>
        <v>Aa2</v>
      </c>
      <c r="D125" s="21">
        <f t="shared" si="6"/>
        <v>4.8889784279692525E-3</v>
      </c>
      <c r="E125" s="21">
        <f t="shared" si="7"/>
        <v>4.8188978427969251E-2</v>
      </c>
      <c r="F125" s="11">
        <f t="shared" si="8"/>
        <v>4.8889784279692525E-3</v>
      </c>
      <c r="G125" s="140">
        <f>VLOOKUP(A125,'10-year CDS Spreads'!$A$2:$D$158,4,FALSE)</f>
        <v>3.5999999999999999E-3</v>
      </c>
      <c r="H125" s="11">
        <f t="shared" si="10"/>
        <v>4.8150992285177795E-2</v>
      </c>
      <c r="I125" s="14">
        <f t="shared" si="9"/>
        <v>4.8509922851777956E-3</v>
      </c>
    </row>
    <row r="126" spans="1:9" ht="15.5">
      <c r="A126" s="105" t="str">
        <f>'Sovereign Ratings (Moody''s,S&amp;P)'!A120</f>
        <v>Ras Al Khaimah (Emirate of)</v>
      </c>
      <c r="B126" s="101" t="str">
        <f>VLOOKUP(A126,'Regional lookup table'!$A$2:$B$162,2,FALSE)</f>
        <v>Middle East</v>
      </c>
      <c r="C126" s="9" t="str">
        <f>VLOOKUP(A126,'Sovereign Ratings (Moody''s,S&amp;P)'!$A$2:$D$158,4,FALSE)</f>
        <v>A3</v>
      </c>
      <c r="D126" s="21">
        <f t="shared" si="6"/>
        <v>1.1873233325068186E-2</v>
      </c>
      <c r="E126" s="21">
        <f t="shared" si="7"/>
        <v>5.5173233325068183E-2</v>
      </c>
      <c r="F126" s="11">
        <f t="shared" si="8"/>
        <v>1.1873233325068186E-2</v>
      </c>
      <c r="G126" s="140" t="str">
        <f>VLOOKUP(A126,'10-year CDS Spreads'!$A$2:$D$158,4,FALSE)</f>
        <v>NA</v>
      </c>
      <c r="H126" s="11" t="str">
        <f t="shared" si="10"/>
        <v>NA</v>
      </c>
      <c r="I126" s="14" t="str">
        <f t="shared" si="9"/>
        <v>NA</v>
      </c>
    </row>
    <row r="127" spans="1:9" ht="15.5">
      <c r="A127" s="105" t="str">
        <f>'Sovereign Ratings (Moody''s,S&amp;P)'!A121</f>
        <v>Romania</v>
      </c>
      <c r="B127" s="101" t="str">
        <f>VLOOKUP(A127,'Regional lookup table'!$A$2:$B$162,2,FALSE)</f>
        <v>Eastern Europe &amp; Russia</v>
      </c>
      <c r="C127" s="9" t="str">
        <f>VLOOKUP(A127,'Sovereign Ratings (Moody''s,S&amp;P)'!$A$2:$D$158,4,FALSE)</f>
        <v>Baa3</v>
      </c>
      <c r="D127" s="21">
        <f t="shared" si="6"/>
        <v>2.1767594429291676E-2</v>
      </c>
      <c r="E127" s="21">
        <f t="shared" si="7"/>
        <v>6.5067594429291678E-2</v>
      </c>
      <c r="F127" s="11">
        <f t="shared" si="8"/>
        <v>2.1767594429291676E-2</v>
      </c>
      <c r="G127" s="140">
        <f>VLOOKUP(A127,'10-year CDS Spreads'!$A$2:$D$158,4,FALSE)</f>
        <v>1.9800000000000002E-2</v>
      </c>
      <c r="H127" s="11">
        <f t="shared" si="10"/>
        <v>6.9980457568477872E-2</v>
      </c>
      <c r="I127" s="14">
        <f t="shared" si="9"/>
        <v>2.6680457568477877E-2</v>
      </c>
    </row>
    <row r="128" spans="1:9" ht="15.5">
      <c r="A128" s="105" t="str">
        <f>'Sovereign Ratings (Moody''s,S&amp;P)'!A122</f>
        <v>Rwanda</v>
      </c>
      <c r="B128" s="101" t="str">
        <f>VLOOKUP(A128,'Regional lookup table'!$A$2:$B$162,2,FALSE)</f>
        <v>Africa</v>
      </c>
      <c r="C128" s="9" t="str">
        <f>VLOOKUP(A128,'Sovereign Ratings (Moody''s,S&amp;P)'!$A$2:$D$158,4,FALSE)</f>
        <v>B2</v>
      </c>
      <c r="D128" s="21">
        <f t="shared" si="6"/>
        <v>5.4477188197371677E-2</v>
      </c>
      <c r="E128" s="21">
        <f t="shared" si="7"/>
        <v>9.7777188197371676E-2</v>
      </c>
      <c r="F128" s="11">
        <f t="shared" si="8"/>
        <v>5.4477188197371677E-2</v>
      </c>
      <c r="G128" s="140">
        <f>VLOOKUP(A128,'10-year CDS Spreads'!$A$2:$D$158,4,FALSE)</f>
        <v>4.1399999999999999E-2</v>
      </c>
      <c r="H128" s="11">
        <f t="shared" si="10"/>
        <v>9.9086411279544651E-2</v>
      </c>
      <c r="I128" s="14">
        <f t="shared" si="9"/>
        <v>5.5786411279544645E-2</v>
      </c>
    </row>
    <row r="129" spans="1:9" ht="15.5">
      <c r="A129" s="105" t="str">
        <f>'Sovereign Ratings (Moody''s,S&amp;P)'!A123</f>
        <v>Saudi Arabia</v>
      </c>
      <c r="B129" s="101" t="str">
        <f>VLOOKUP(A129,'Regional lookup table'!$A$2:$B$162,2,FALSE)</f>
        <v>Middle East</v>
      </c>
      <c r="C129" s="9" t="str">
        <f>VLOOKUP(A129,'Sovereign Ratings (Moody''s,S&amp;P)'!$A$2:$D$158,4,FALSE)</f>
        <v>Aa3</v>
      </c>
      <c r="D129" s="21">
        <f t="shared" si="6"/>
        <v>5.9366166625340932E-3</v>
      </c>
      <c r="E129" s="21">
        <f t="shared" si="7"/>
        <v>4.9236616662534094E-2</v>
      </c>
      <c r="F129" s="11">
        <f t="shared" si="8"/>
        <v>5.9366166625340932E-3</v>
      </c>
      <c r="G129" s="140">
        <f>VLOOKUP(A129,'10-year CDS Spreads'!$A$2:$D$158,4,FALSE)</f>
        <v>6.4000000000000003E-3</v>
      </c>
      <c r="H129" s="11">
        <f t="shared" si="10"/>
        <v>5.1923986284760526E-2</v>
      </c>
      <c r="I129" s="14">
        <f t="shared" si="9"/>
        <v>8.6239862847605261E-3</v>
      </c>
    </row>
    <row r="130" spans="1:9" ht="15.5">
      <c r="A130" s="105" t="str">
        <f>'Sovereign Ratings (Moody''s,S&amp;P)'!A124</f>
        <v>Senegal</v>
      </c>
      <c r="B130" s="101" t="str">
        <f>VLOOKUP(A130,'Regional lookup table'!$A$2:$B$162,2,FALSE)</f>
        <v>Africa</v>
      </c>
      <c r="C130" s="9" t="str">
        <f>VLOOKUP(A130,'Sovereign Ratings (Moody''s,S&amp;P)'!$A$2:$D$158,4,FALSE)</f>
        <v>B1</v>
      </c>
      <c r="D130" s="21">
        <f t="shared" si="6"/>
        <v>4.4582827093148182E-2</v>
      </c>
      <c r="E130" s="21">
        <f t="shared" si="7"/>
        <v>8.788282709314818E-2</v>
      </c>
      <c r="F130" s="11">
        <f t="shared" si="8"/>
        <v>4.4582827093148182E-2</v>
      </c>
      <c r="G130" s="140">
        <f>VLOOKUP(A130,'10-year CDS Spreads'!$A$2:$D$158,4,FALSE)</f>
        <v>5.8200000000000002E-2</v>
      </c>
      <c r="H130" s="11">
        <f t="shared" si="10"/>
        <v>0.12172437527704102</v>
      </c>
      <c r="I130" s="14">
        <f t="shared" si="9"/>
        <v>7.8424375277041034E-2</v>
      </c>
    </row>
    <row r="131" spans="1:9" ht="15.5">
      <c r="A131" s="105" t="str">
        <f>'Sovereign Ratings (Moody''s,S&amp;P)'!A125</f>
        <v>Serbia</v>
      </c>
      <c r="B131" s="101" t="str">
        <f>VLOOKUP(A131,'Regional lookup table'!$A$2:$B$162,2,FALSE)</f>
        <v>Eastern Europe &amp; Russia</v>
      </c>
      <c r="C131" s="9" t="str">
        <f>VLOOKUP(A131,'Sovereign Ratings (Moody''s,S&amp;P)'!$A$2:$D$158,4,FALSE)</f>
        <v>Ba2</v>
      </c>
      <c r="D131" s="21">
        <f t="shared" si="6"/>
        <v>2.9799487560955448E-2</v>
      </c>
      <c r="E131" s="21">
        <f t="shared" si="7"/>
        <v>7.309948756095544E-2</v>
      </c>
      <c r="F131" s="11">
        <f t="shared" si="8"/>
        <v>2.9799487560955448E-2</v>
      </c>
      <c r="G131" s="140">
        <f>VLOOKUP(A131,'10-year CDS Spreads'!$A$2:$D$158,4,FALSE)</f>
        <v>8.5000000000000006E-3</v>
      </c>
      <c r="H131" s="11">
        <f t="shared" si="10"/>
        <v>5.4753731784447569E-2</v>
      </c>
      <c r="I131" s="14">
        <f t="shared" si="9"/>
        <v>1.1453731784447573E-2</v>
      </c>
    </row>
    <row r="132" spans="1:9" ht="15.5">
      <c r="A132" s="105" t="str">
        <f>'Sovereign Ratings (Moody''s,S&amp;P)'!A126</f>
        <v>Sharjah</v>
      </c>
      <c r="B132" s="101" t="str">
        <f>VLOOKUP(A132,'Regional lookup table'!$A$2:$B$162,2,FALSE)</f>
        <v>Middle East</v>
      </c>
      <c r="C132" s="9" t="str">
        <f>VLOOKUP(A132,'Sovereign Ratings (Moody''s,S&amp;P)'!$A$2:$D$158,4,FALSE)</f>
        <v>Ba1</v>
      </c>
      <c r="D132" s="21">
        <f t="shared" si="6"/>
        <v>2.4794104884701216E-2</v>
      </c>
      <c r="E132" s="21">
        <f t="shared" si="7"/>
        <v>6.8094104884701218E-2</v>
      </c>
      <c r="F132" s="11">
        <f t="shared" si="8"/>
        <v>2.4794104884701216E-2</v>
      </c>
      <c r="G132" s="140" t="e">
        <f>VLOOKUP(A132,'10-year CDS Spreads'!$A$2:$D$158,4,FALSE)</f>
        <v>#N/A</v>
      </c>
      <c r="H132" s="11" t="e">
        <f t="shared" si="10"/>
        <v>#N/A</v>
      </c>
      <c r="I132" s="14" t="e">
        <f t="shared" si="9"/>
        <v>#N/A</v>
      </c>
    </row>
    <row r="133" spans="1:9" ht="15.5">
      <c r="A133" s="105" t="str">
        <f>'Sovereign Ratings (Moody''s,S&amp;P)'!A127</f>
        <v>Singapore</v>
      </c>
      <c r="B133" s="101" t="str">
        <f>VLOOKUP(A133,'Regional lookup table'!$A$2:$B$162,2,FALSE)</f>
        <v>Asia</v>
      </c>
      <c r="C133" s="9" t="str">
        <f>VLOOKUP(A133,'Sovereign Ratings (Moody''s,S&amp;P)'!$A$2:$D$158,4,FALSE)</f>
        <v>Aaa</v>
      </c>
      <c r="D133" s="21">
        <f t="shared" si="6"/>
        <v>0</v>
      </c>
      <c r="E133" s="21">
        <f t="shared" si="7"/>
        <v>4.3299999999999998E-2</v>
      </c>
      <c r="F133" s="11">
        <f t="shared" si="8"/>
        <v>0</v>
      </c>
      <c r="G133" s="140" t="e">
        <f>VLOOKUP(A133,'10-year CDS Spreads'!$A$2:$D$158,4,FALSE)</f>
        <v>#N/A</v>
      </c>
      <c r="H133" s="11" t="e">
        <f t="shared" si="10"/>
        <v>#N/A</v>
      </c>
      <c r="I133" s="14" t="e">
        <f t="shared" si="9"/>
        <v>#N/A</v>
      </c>
    </row>
    <row r="134" spans="1:9" ht="15.5">
      <c r="A134" s="105" t="str">
        <f>'Sovereign Ratings (Moody''s,S&amp;P)'!A128</f>
        <v>Slovakia</v>
      </c>
      <c r="B134" s="101" t="str">
        <f>VLOOKUP(A134,'Regional lookup table'!$A$2:$B$162,2,FALSE)</f>
        <v>Eastern Europe &amp; Russia</v>
      </c>
      <c r="C134" s="9" t="str">
        <f>VLOOKUP(A134,'Sovereign Ratings (Moody''s,S&amp;P)'!$A$2:$D$158,4,FALSE)</f>
        <v>A3</v>
      </c>
      <c r="D134" s="21">
        <f t="shared" si="6"/>
        <v>1.1873233325068186E-2</v>
      </c>
      <c r="E134" s="21">
        <f t="shared" si="7"/>
        <v>5.5173233325068183E-2</v>
      </c>
      <c r="F134" s="11">
        <f t="shared" si="8"/>
        <v>1.1873233325068186E-2</v>
      </c>
      <c r="G134" s="140">
        <f>VLOOKUP(A134,'10-year CDS Spreads'!$A$2:$D$158,4,FALSE)</f>
        <v>1.3999999999999993E-3</v>
      </c>
      <c r="H134" s="11">
        <f>IF(I134="NA","NA",$E$3+I134)</f>
        <v>4.518649699979136E-2</v>
      </c>
      <c r="I134" s="14">
        <f>IF(G134="NA","NA",G134*$E$5)</f>
        <v>1.8864969997913639E-3</v>
      </c>
    </row>
    <row r="135" spans="1:9" ht="15.5">
      <c r="A135" s="105" t="str">
        <f>'Sovereign Ratings (Moody''s,S&amp;P)'!A129</f>
        <v>Slovenia</v>
      </c>
      <c r="B135" s="101" t="str">
        <f>VLOOKUP(A135,'Regional lookup table'!$A$2:$B$162,2,FALSE)</f>
        <v>Eastern Europe &amp; Russia</v>
      </c>
      <c r="C135" s="9" t="str">
        <f>VLOOKUP(A135,'Sovereign Ratings (Moody''s,S&amp;P)'!$A$2:$D$158,4,FALSE)</f>
        <v>A3</v>
      </c>
      <c r="D135" s="21">
        <f t="shared" si="6"/>
        <v>1.1873233325068186E-2</v>
      </c>
      <c r="E135" s="21">
        <f t="shared" si="7"/>
        <v>5.5173233325068183E-2</v>
      </c>
      <c r="F135" s="11">
        <f t="shared" si="8"/>
        <v>1.1873233325068186E-2</v>
      </c>
      <c r="G135" s="140">
        <f>VLOOKUP(A135,'10-year CDS Spreads'!$A$2:$D$158,4,FALSE)</f>
        <v>3.0999999999999995E-3</v>
      </c>
      <c r="H135" s="11">
        <f t="shared" si="10"/>
        <v>4.7477243356680875E-2</v>
      </c>
      <c r="I135" s="14">
        <f t="shared" si="9"/>
        <v>4.177243356680879E-3</v>
      </c>
    </row>
    <row r="136" spans="1:9" ht="15.5">
      <c r="A136" s="105" t="str">
        <f>'Sovereign Ratings (Moody''s,S&amp;P)'!A130</f>
        <v>Solomon Islands</v>
      </c>
      <c r="B136" s="101" t="str">
        <f>VLOOKUP(A136,'Regional lookup table'!$A$2:$B$162,2,FALSE)</f>
        <v>Asia</v>
      </c>
      <c r="C136" s="9" t="str">
        <f>VLOOKUP(A136,'Sovereign Ratings (Moody''s,S&amp;P)'!$A$2:$D$158,4,FALSE)</f>
        <v>Caa1</v>
      </c>
      <c r="D136" s="21">
        <f t="shared" si="6"/>
        <v>7.4265910405818647E-2</v>
      </c>
      <c r="E136" s="21">
        <f t="shared" si="7"/>
        <v>0.11756591040581865</v>
      </c>
      <c r="F136" s="11">
        <f t="shared" si="8"/>
        <v>7.4265910405818647E-2</v>
      </c>
      <c r="G136" s="140" t="e">
        <f>VLOOKUP(A136,'10-year CDS Spreads'!$A$2:$D$158,4,FALSE)</f>
        <v>#N/A</v>
      </c>
      <c r="H136" s="11" t="e">
        <f t="shared" si="10"/>
        <v>#N/A</v>
      </c>
      <c r="I136" s="14" t="e">
        <f t="shared" si="9"/>
        <v>#N/A</v>
      </c>
    </row>
    <row r="137" spans="1:9" ht="15.5">
      <c r="A137" s="105" t="str">
        <f>'Sovereign Ratings (Moody''s,S&amp;P)'!A131</f>
        <v>South Africa</v>
      </c>
      <c r="B137" s="101" t="str">
        <f>VLOOKUP(A137,'Regional lookup table'!$A$2:$B$162,2,FALSE)</f>
        <v>Africa</v>
      </c>
      <c r="C137" s="9" t="str">
        <f>VLOOKUP(A137,'Sovereign Ratings (Moody''s,S&amp;P)'!$A$2:$D$158,4,FALSE)</f>
        <v>Ba2</v>
      </c>
      <c r="D137" s="21">
        <f t="shared" si="6"/>
        <v>2.9799487560955448E-2</v>
      </c>
      <c r="E137" s="21">
        <f t="shared" si="7"/>
        <v>7.309948756095544E-2</v>
      </c>
      <c r="F137" s="11">
        <f t="shared" si="8"/>
        <v>2.9799487560955448E-2</v>
      </c>
      <c r="G137" s="140">
        <f>VLOOKUP(A137,'10-year CDS Spreads'!$A$2:$D$158,4,FALSE)</f>
        <v>2.5899999999999999E-2</v>
      </c>
      <c r="H137" s="11">
        <f t="shared" si="10"/>
        <v>7.8200194496140241E-2</v>
      </c>
      <c r="I137" s="14">
        <f t="shared" si="9"/>
        <v>3.4900194496140249E-2</v>
      </c>
    </row>
    <row r="138" spans="1:9" ht="15.5">
      <c r="A138" s="105" t="str">
        <f>'Sovereign Ratings (Moody''s,S&amp;P)'!A132</f>
        <v>Spain</v>
      </c>
      <c r="B138" s="101" t="str">
        <f>VLOOKUP(A138,'Regional lookup table'!$A$2:$B$162,2,FALSE)</f>
        <v>Western Europe</v>
      </c>
      <c r="C138" s="9" t="str">
        <f>VLOOKUP(A138,'Sovereign Ratings (Moody''s,S&amp;P)'!$A$2:$D$158,4,FALSE)</f>
        <v>Baa1</v>
      </c>
      <c r="D138" s="21">
        <f t="shared" ref="D138:D164" si="16">VLOOKUP(C138,$J$9:$K$31,2,FALSE)/10000</f>
        <v>1.5830977766757577E-2</v>
      </c>
      <c r="E138" s="21">
        <f t="shared" ref="E138:E164" si="17">$E$3+F138</f>
        <v>5.9130977766757575E-2</v>
      </c>
      <c r="F138" s="11">
        <f t="shared" ref="F138:F160" si="18">IF($E$4="Yes",D138*$E$5,D138)</f>
        <v>1.5830977766757577E-2</v>
      </c>
      <c r="G138" s="140">
        <f>VLOOKUP(A138,'10-year CDS Spreads'!$A$2:$D$158,4,FALSE)</f>
        <v>2.5999999999999999E-3</v>
      </c>
      <c r="H138" s="11">
        <f t="shared" si="10"/>
        <v>4.6803494428183962E-2</v>
      </c>
      <c r="I138" s="14">
        <f t="shared" si="9"/>
        <v>3.5034944281839633E-3</v>
      </c>
    </row>
    <row r="139" spans="1:9" ht="15.5">
      <c r="A139" s="105" t="str">
        <f>'Sovereign Ratings (Moody''s,S&amp;P)'!A133</f>
        <v>Sri Lanka</v>
      </c>
      <c r="B139" s="101" t="str">
        <f>VLOOKUP(A139,'Regional lookup table'!$A$2:$B$162,2,FALSE)</f>
        <v>Asia</v>
      </c>
      <c r="C139" s="9" t="str">
        <f>VLOOKUP(A139,'Sovereign Ratings (Moody''s,S&amp;P)'!$A$2:$D$158,4,FALSE)</f>
        <v>Ca</v>
      </c>
      <c r="D139" s="21">
        <f t="shared" si="16"/>
        <v>0.11884873749896685</v>
      </c>
      <c r="E139" s="21">
        <f t="shared" si="17"/>
        <v>0.16214873749896686</v>
      </c>
      <c r="F139" s="11">
        <f t="shared" si="18"/>
        <v>0.11884873749896685</v>
      </c>
      <c r="G139" s="140" t="str">
        <f>VLOOKUP(A139,'10-year CDS Spreads'!$A$2:$D$158,4,FALSE)</f>
        <v>NA</v>
      </c>
      <c r="H139" s="11" t="str">
        <f t="shared" si="10"/>
        <v>NA</v>
      </c>
      <c r="I139" s="14" t="str">
        <f t="shared" si="9"/>
        <v>NA</v>
      </c>
    </row>
    <row r="140" spans="1:9" ht="15.5">
      <c r="A140" s="105" t="str">
        <f>'Sovereign Ratings (Moody''s,S&amp;P)'!A134</f>
        <v>St. Maarten</v>
      </c>
      <c r="B140" s="101" t="str">
        <f>VLOOKUP(A140,'Regional lookup table'!$A$2:$B$162,2,FALSE)</f>
        <v>Caribbean</v>
      </c>
      <c r="C140" s="9" t="str">
        <f>VLOOKUP(A140,'Sovereign Ratings (Moody''s,S&amp;P)'!$A$2:$D$158,4,FALSE)</f>
        <v>Ba2</v>
      </c>
      <c r="D140" s="21">
        <f t="shared" si="16"/>
        <v>2.9799487560955448E-2</v>
      </c>
      <c r="E140" s="21">
        <f t="shared" si="17"/>
        <v>7.309948756095544E-2</v>
      </c>
      <c r="F140" s="11">
        <f t="shared" si="18"/>
        <v>2.9799487560955448E-2</v>
      </c>
      <c r="G140" s="140" t="e">
        <f>VLOOKUP(A140,'10-year CDS Spreads'!$A$2:$D$158,4,FALSE)</f>
        <v>#N/A</v>
      </c>
      <c r="H140" s="11" t="e">
        <f t="shared" si="10"/>
        <v>#N/A</v>
      </c>
      <c r="I140" s="14" t="e">
        <f t="shared" si="9"/>
        <v>#N/A</v>
      </c>
    </row>
    <row r="141" spans="1:9" ht="15.5">
      <c r="A141" s="105" t="str">
        <f>'Sovereign Ratings (Moody''s,S&amp;P)'!A135</f>
        <v>St. Vincent &amp; the Grenadines</v>
      </c>
      <c r="B141" s="101" t="str">
        <f>VLOOKUP(A141,'Regional lookup table'!$A$2:$B$162,2,FALSE)</f>
        <v>Caribbean</v>
      </c>
      <c r="C141" s="9" t="str">
        <f>VLOOKUP(A141,'Sovereign Ratings (Moody''s,S&amp;P)'!$A$2:$D$158,4,FALSE)</f>
        <v>B3</v>
      </c>
      <c r="D141" s="21">
        <f t="shared" si="16"/>
        <v>6.4371549301595152E-2</v>
      </c>
      <c r="E141" s="21">
        <f t="shared" si="17"/>
        <v>0.10767154930159514</v>
      </c>
      <c r="F141" s="11">
        <f t="shared" si="18"/>
        <v>6.4371549301595152E-2</v>
      </c>
      <c r="G141" s="140" t="e">
        <f>VLOOKUP(A141,'10-year CDS Spreads'!$A$2:$D$158,4,FALSE)</f>
        <v>#N/A</v>
      </c>
      <c r="H141" s="11" t="e">
        <f>IF(I141="NA","NA",$E$3+I141)</f>
        <v>#N/A</v>
      </c>
      <c r="I141" s="14" t="e">
        <f>IF(G141="NA","NA",G141*$E$5)</f>
        <v>#N/A</v>
      </c>
    </row>
    <row r="142" spans="1:9" ht="15.5">
      <c r="A142" s="105" t="str">
        <f>'Sovereign Ratings (Moody''s,S&amp;P)'!A136</f>
        <v>Suriname</v>
      </c>
      <c r="B142" s="101" t="str">
        <f>VLOOKUP(A142,'Regional lookup table'!$A$2:$B$162,2,FALSE)</f>
        <v>Central and South America</v>
      </c>
      <c r="C142" s="9" t="str">
        <f>VLOOKUP(A142,'Sovereign Ratings (Moody''s,S&amp;P)'!$A$2:$D$158,4,FALSE)</f>
        <v>Caa1</v>
      </c>
      <c r="D142" s="21">
        <f t="shared" si="16"/>
        <v>7.4265910405818647E-2</v>
      </c>
      <c r="E142" s="21">
        <f t="shared" si="17"/>
        <v>0.11756591040581865</v>
      </c>
      <c r="F142" s="11">
        <f t="shared" si="18"/>
        <v>7.4265910405818647E-2</v>
      </c>
      <c r="G142" s="140" t="e">
        <f>VLOOKUP(A142,'10-year CDS Spreads'!$A$2:$D$158,4,FALSE)</f>
        <v>#N/A</v>
      </c>
      <c r="H142" s="11" t="e">
        <f t="shared" si="10"/>
        <v>#N/A</v>
      </c>
      <c r="I142" s="14" t="e">
        <f t="shared" ref="I142:I160" si="19">IF(G142="NA","NA",G142*$E$5)</f>
        <v>#N/A</v>
      </c>
    </row>
    <row r="143" spans="1:9" ht="15.5">
      <c r="A143" s="105" t="str">
        <f>'Sovereign Ratings (Moody''s,S&amp;P)'!A137</f>
        <v>Swaziland</v>
      </c>
      <c r="B143" s="101" t="str">
        <f>VLOOKUP(A143,'Regional lookup table'!$A$2:$B$162,2,FALSE)</f>
        <v>Africa</v>
      </c>
      <c r="C143" s="9" t="str">
        <f>VLOOKUP(A143,'Sovereign Ratings (Moody''s,S&amp;P)'!$A$2:$D$158,4,FALSE)</f>
        <v>B2</v>
      </c>
      <c r="D143" s="21">
        <f t="shared" si="16"/>
        <v>5.4477188197371677E-2</v>
      </c>
      <c r="E143" s="21">
        <f t="shared" si="17"/>
        <v>9.7777188197371676E-2</v>
      </c>
      <c r="F143" s="11">
        <f t="shared" si="18"/>
        <v>5.4477188197371677E-2</v>
      </c>
      <c r="G143" s="140" t="e">
        <f>VLOOKUP(A143,'10-year CDS Spreads'!$A$2:$D$158,4,FALSE)</f>
        <v>#N/A</v>
      </c>
      <c r="H143" s="11" t="e">
        <f t="shared" si="10"/>
        <v>#N/A</v>
      </c>
      <c r="I143" s="14" t="e">
        <f t="shared" si="19"/>
        <v>#N/A</v>
      </c>
    </row>
    <row r="144" spans="1:9" ht="15.5">
      <c r="A144" s="105" t="str">
        <f>'Sovereign Ratings (Moody''s,S&amp;P)'!A138</f>
        <v>Sweden</v>
      </c>
      <c r="B144" s="101" t="str">
        <f>VLOOKUP(A144,'Regional lookup table'!$A$2:$B$162,2,FALSE)</f>
        <v>Western Europe</v>
      </c>
      <c r="C144" s="9" t="str">
        <f>VLOOKUP(A144,'Sovereign Ratings (Moody''s,S&amp;P)'!$A$2:$D$158,4,FALSE)</f>
        <v>Aaa</v>
      </c>
      <c r="D144" s="21">
        <f t="shared" si="16"/>
        <v>0</v>
      </c>
      <c r="E144" s="21">
        <f t="shared" si="17"/>
        <v>4.3299999999999998E-2</v>
      </c>
      <c r="F144" s="11">
        <f t="shared" si="18"/>
        <v>0</v>
      </c>
      <c r="G144" s="140">
        <f>VLOOKUP(A144,'10-year CDS Spreads'!$A$2:$D$158,4,FALSE)</f>
        <v>0</v>
      </c>
      <c r="H144" s="11">
        <f t="shared" si="10"/>
        <v>4.3299999999999998E-2</v>
      </c>
      <c r="I144" s="14">
        <f t="shared" si="19"/>
        <v>0</v>
      </c>
    </row>
    <row r="145" spans="1:9" ht="15.5">
      <c r="A145" s="105" t="str">
        <f>'Sovereign Ratings (Moody''s,S&amp;P)'!A139</f>
        <v>Switzerland</v>
      </c>
      <c r="B145" s="101" t="str">
        <f>VLOOKUP(A145,'Regional lookup table'!$A$2:$B$162,2,FALSE)</f>
        <v>Western Europe</v>
      </c>
      <c r="C145" s="9" t="str">
        <f>VLOOKUP(A145,'Sovereign Ratings (Moody''s,S&amp;P)'!$A$2:$D$158,4,FALSE)</f>
        <v>Aaa</v>
      </c>
      <c r="D145" s="21">
        <f t="shared" si="16"/>
        <v>0</v>
      </c>
      <c r="E145" s="21">
        <f t="shared" si="17"/>
        <v>4.3299999999999998E-2</v>
      </c>
      <c r="F145" s="11">
        <f t="shared" si="18"/>
        <v>0</v>
      </c>
      <c r="G145" s="140">
        <f>VLOOKUP(A145,'10-year CDS Spreads'!$A$2:$D$158,4,FALSE)</f>
        <v>0</v>
      </c>
      <c r="H145" s="11">
        <f>IF(I145="NA","NA",$E$3+I145)</f>
        <v>4.3299999999999998E-2</v>
      </c>
      <c r="I145" s="14">
        <f>IF(G145="NA","NA",G145*$E$5)</f>
        <v>0</v>
      </c>
    </row>
    <row r="146" spans="1:9" ht="15.5">
      <c r="A146" s="105" t="str">
        <f>'Sovereign Ratings (Moody''s,S&amp;P)'!A140</f>
        <v>Taiwan</v>
      </c>
      <c r="B146" s="101" t="str">
        <f>VLOOKUP(A146,'Regional lookup table'!$A$2:$B$162,2,FALSE)</f>
        <v>Asia</v>
      </c>
      <c r="C146" s="9" t="str">
        <f>VLOOKUP(A146,'Sovereign Ratings (Moody''s,S&amp;P)'!$A$2:$D$158,4,FALSE)</f>
        <v>Aa3</v>
      </c>
      <c r="D146" s="21">
        <f t="shared" si="16"/>
        <v>5.9366166625340932E-3</v>
      </c>
      <c r="E146" s="21">
        <f t="shared" si="17"/>
        <v>4.9236616662534094E-2</v>
      </c>
      <c r="F146" s="11">
        <f t="shared" si="18"/>
        <v>5.9366166625340932E-3</v>
      </c>
      <c r="G146" s="140" t="e">
        <f>VLOOKUP(A146,'10-year CDS Spreads'!$A$2:$D$158,4,FALSE)</f>
        <v>#N/A</v>
      </c>
      <c r="H146" s="11" t="e">
        <f>IF(I146="NA","NA",$E$3+I146)</f>
        <v>#N/A</v>
      </c>
      <c r="I146" s="14" t="e">
        <f>IF(G146="NA","NA",G146*$E$5)</f>
        <v>#N/A</v>
      </c>
    </row>
    <row r="147" spans="1:9" ht="15.5">
      <c r="A147" s="105" t="str">
        <f>'Sovereign Ratings (Moody''s,S&amp;P)'!A141</f>
        <v>Tajikistan</v>
      </c>
      <c r="B147" s="101" t="str">
        <f>VLOOKUP(A147,'Regional lookup table'!$A$2:$B$162,2,FALSE)</f>
        <v>Eastern Europe &amp; Russia</v>
      </c>
      <c r="C147" s="9" t="str">
        <f>VLOOKUP(A147,'Sovereign Ratings (Moody''s,S&amp;P)'!$A$2:$D$158,4,FALSE)</f>
        <v>B3</v>
      </c>
      <c r="D147" s="21">
        <f t="shared" si="16"/>
        <v>6.4371549301595152E-2</v>
      </c>
      <c r="E147" s="21">
        <f t="shared" si="17"/>
        <v>0.10767154930159514</v>
      </c>
      <c r="F147" s="11">
        <f t="shared" si="18"/>
        <v>6.4371549301595152E-2</v>
      </c>
      <c r="G147" s="140" t="e">
        <f>VLOOKUP(A147,'10-year CDS Spreads'!$A$2:$D$158,4,FALSE)</f>
        <v>#N/A</v>
      </c>
      <c r="H147" s="11" t="e">
        <f t="shared" ref="H147:H155" si="20">IF(I147="NA","NA",$E$3+I147)</f>
        <v>#N/A</v>
      </c>
      <c r="I147" s="14" t="e">
        <f t="shared" si="19"/>
        <v>#N/A</v>
      </c>
    </row>
    <row r="148" spans="1:9" ht="15.5">
      <c r="A148" s="105" t="str">
        <f>'Sovereign Ratings (Moody''s,S&amp;P)'!A142</f>
        <v>Tanzania</v>
      </c>
      <c r="B148" s="101" t="str">
        <f>VLOOKUP(A148,'Regional lookup table'!$A$2:$B$162,2,FALSE)</f>
        <v>Africa</v>
      </c>
      <c r="C148" s="9" t="str">
        <f>VLOOKUP(A148,'Sovereign Ratings (Moody''s,S&amp;P)'!$A$2:$D$158,4,FALSE)</f>
        <v>B1</v>
      </c>
      <c r="D148" s="21">
        <f t="shared" si="16"/>
        <v>4.4582827093148182E-2</v>
      </c>
      <c r="E148" s="21">
        <f t="shared" si="17"/>
        <v>8.788282709314818E-2</v>
      </c>
      <c r="F148" s="11">
        <f t="shared" si="18"/>
        <v>4.4582827093148182E-2</v>
      </c>
      <c r="G148" s="140" t="e">
        <f>VLOOKUP(A148,'10-year CDS Spreads'!$A$2:$D$158,4,FALSE)</f>
        <v>#N/A</v>
      </c>
      <c r="H148" s="11" t="e">
        <f t="shared" si="20"/>
        <v>#N/A</v>
      </c>
      <c r="I148" s="14" t="e">
        <f t="shared" si="19"/>
        <v>#N/A</v>
      </c>
    </row>
    <row r="149" spans="1:9" ht="15.5">
      <c r="A149" s="105" t="str">
        <f>'Sovereign Ratings (Moody''s,S&amp;P)'!A143</f>
        <v>Thailand</v>
      </c>
      <c r="B149" s="101" t="str">
        <f>VLOOKUP(A149,'Regional lookup table'!$A$2:$B$162,2,FALSE)</f>
        <v>Asia</v>
      </c>
      <c r="C149" s="9" t="str">
        <f>VLOOKUP(A149,'Sovereign Ratings (Moody''s,S&amp;P)'!$A$2:$D$158,4,FALSE)</f>
        <v>Baa1</v>
      </c>
      <c r="D149" s="21">
        <f t="shared" si="16"/>
        <v>1.5830977766757577E-2</v>
      </c>
      <c r="E149" s="21">
        <f t="shared" si="17"/>
        <v>5.9130977766757575E-2</v>
      </c>
      <c r="F149" s="11">
        <f t="shared" si="18"/>
        <v>1.5830977766757577E-2</v>
      </c>
      <c r="G149" s="140">
        <f>VLOOKUP(A149,'10-year CDS Spreads'!$A$2:$D$158,4,FALSE)</f>
        <v>2.8999999999999998E-3</v>
      </c>
      <c r="H149" s="11">
        <f t="shared" si="20"/>
        <v>4.7207743785282114E-2</v>
      </c>
      <c r="I149" s="14">
        <f t="shared" si="19"/>
        <v>3.9077437852821128E-3</v>
      </c>
    </row>
    <row r="150" spans="1:9" ht="15.5">
      <c r="A150" s="105" t="str">
        <f>'Sovereign Ratings (Moody''s,S&amp;P)'!A144</f>
        <v>Togo</v>
      </c>
      <c r="B150" s="101" t="str">
        <f>VLOOKUP(A150,'Regional lookup table'!$A$2:$B$162,2,FALSE)</f>
        <v>Africa</v>
      </c>
      <c r="C150" s="9" t="str">
        <f>VLOOKUP(A150,'Sovereign Ratings (Moody''s,S&amp;P)'!$A$2:$D$158,4,FALSE)</f>
        <v>B3</v>
      </c>
      <c r="D150" s="21">
        <f t="shared" si="16"/>
        <v>6.4371549301595152E-2</v>
      </c>
      <c r="E150" s="21">
        <f t="shared" si="17"/>
        <v>0.10767154930159514</v>
      </c>
      <c r="F150" s="11">
        <f t="shared" si="18"/>
        <v>6.4371549301595152E-2</v>
      </c>
      <c r="G150" s="140" t="e">
        <f>VLOOKUP(A150,'10-year CDS Spreads'!$A$2:$D$158,4,FALSE)</f>
        <v>#N/A</v>
      </c>
      <c r="H150" s="11" t="e">
        <f t="shared" si="20"/>
        <v>#N/A</v>
      </c>
      <c r="I150" s="14" t="e">
        <f t="shared" si="19"/>
        <v>#N/A</v>
      </c>
    </row>
    <row r="151" spans="1:9" ht="15.5">
      <c r="A151" s="105" t="str">
        <f>'Sovereign Ratings (Moody''s,S&amp;P)'!A145</f>
        <v>Trinidad and Tobago</v>
      </c>
      <c r="B151" s="101" t="str">
        <f>VLOOKUP(A151,'Regional lookup table'!$A$2:$B$162,2,FALSE)</f>
        <v>Caribbean</v>
      </c>
      <c r="C151" s="9" t="str">
        <f>VLOOKUP(A151,'Sovereign Ratings (Moody''s,S&amp;P)'!$A$2:$D$158,4,FALSE)</f>
        <v>Ba2</v>
      </c>
      <c r="D151" s="21">
        <f t="shared" si="16"/>
        <v>2.9799487560955448E-2</v>
      </c>
      <c r="E151" s="21">
        <f t="shared" si="17"/>
        <v>7.309948756095544E-2</v>
      </c>
      <c r="F151" s="11">
        <f t="shared" si="18"/>
        <v>2.9799487560955448E-2</v>
      </c>
      <c r="G151" s="140" t="e">
        <f>VLOOKUP(A151,'10-year CDS Spreads'!$A$2:$D$158,4,FALSE)</f>
        <v>#N/A</v>
      </c>
      <c r="H151" s="11" t="e">
        <f t="shared" si="20"/>
        <v>#N/A</v>
      </c>
      <c r="I151" s="14" t="e">
        <f t="shared" si="19"/>
        <v>#N/A</v>
      </c>
    </row>
    <row r="152" spans="1:9" ht="15.5">
      <c r="A152" s="105" t="str">
        <f>'Sovereign Ratings (Moody''s,S&amp;P)'!A146</f>
        <v>Tunisia</v>
      </c>
      <c r="B152" s="101" t="str">
        <f>VLOOKUP(A152,'Regional lookup table'!$A$2:$B$162,2,FALSE)</f>
        <v>Africa</v>
      </c>
      <c r="C152" s="9" t="str">
        <f>VLOOKUP(A152,'Sovereign Ratings (Moody''s,S&amp;P)'!$A$2:$D$158,4,FALSE)</f>
        <v>Caa2</v>
      </c>
      <c r="D152" s="21">
        <f t="shared" si="16"/>
        <v>8.9165654186296364E-2</v>
      </c>
      <c r="E152" s="21">
        <f t="shared" si="17"/>
        <v>0.13246565418629636</v>
      </c>
      <c r="F152" s="11">
        <f t="shared" si="18"/>
        <v>8.9165654186296364E-2</v>
      </c>
      <c r="G152" s="140">
        <f>VLOOKUP(A152,'10-year CDS Spreads'!$A$2:$D$158,4,FALSE)</f>
        <v>9.8299999999999998E-2</v>
      </c>
      <c r="H152" s="11">
        <f t="shared" si="20"/>
        <v>0.17575903934249371</v>
      </c>
      <c r="I152" s="14">
        <f t="shared" si="19"/>
        <v>0.1324590393424937</v>
      </c>
    </row>
    <row r="153" spans="1:9" ht="15.5">
      <c r="A153" s="105" t="str">
        <f>'Sovereign Ratings (Moody''s,S&amp;P)'!A147</f>
        <v>Turkey</v>
      </c>
      <c r="B153" s="101" t="str">
        <f>VLOOKUP(A153,'Regional lookup table'!$A$2:$B$162,2,FALSE)</f>
        <v>Western Europe</v>
      </c>
      <c r="C153" s="9" t="str">
        <f>VLOOKUP(A153,'Sovereign Ratings (Moody''s,S&amp;P)'!$A$2:$D$158,4,FALSE)</f>
        <v>B1</v>
      </c>
      <c r="D153" s="21">
        <f t="shared" si="16"/>
        <v>4.4582827093148182E-2</v>
      </c>
      <c r="E153" s="21">
        <f t="shared" si="17"/>
        <v>8.788282709314818E-2</v>
      </c>
      <c r="F153" s="11">
        <f t="shared" si="18"/>
        <v>4.4582827093148182E-2</v>
      </c>
      <c r="G153" s="140">
        <f>VLOOKUP(A153,'10-year CDS Spreads'!$A$2:$D$158,4,FALSE)</f>
        <v>3.2100000000000004E-2</v>
      </c>
      <c r="H153" s="11">
        <f t="shared" si="20"/>
        <v>8.6554681209502021E-2</v>
      </c>
      <c r="I153" s="14">
        <f t="shared" si="19"/>
        <v>4.3254681209502016E-2</v>
      </c>
    </row>
    <row r="154" spans="1:9" ht="15.5">
      <c r="A154" s="105" t="str">
        <f>'Sovereign Ratings (Moody''s,S&amp;P)'!A148</f>
        <v>Turks and Caicos Islands</v>
      </c>
      <c r="B154" s="101" t="str">
        <f>VLOOKUP(A154,'Regional lookup table'!$A$2:$B$162,2,FALSE)</f>
        <v>Caribbean</v>
      </c>
      <c r="C154" s="9" t="str">
        <f>VLOOKUP(A154,'Sovereign Ratings (Moody''s,S&amp;P)'!$A$2:$D$158,4,FALSE)</f>
        <v>Baa1</v>
      </c>
      <c r="D154" s="21">
        <f t="shared" si="16"/>
        <v>1.5830977766757577E-2</v>
      </c>
      <c r="E154" s="21">
        <f t="shared" si="17"/>
        <v>5.9130977766757575E-2</v>
      </c>
      <c r="F154" s="11">
        <f t="shared" si="18"/>
        <v>1.5830977766757577E-2</v>
      </c>
      <c r="G154" s="140" t="e">
        <f>VLOOKUP(A154,'10-year CDS Spreads'!$A$2:$D$158,4,FALSE)</f>
        <v>#N/A</v>
      </c>
      <c r="H154" s="11" t="e">
        <f t="shared" si="20"/>
        <v>#N/A</v>
      </c>
      <c r="I154" s="14" t="e">
        <f t="shared" si="19"/>
        <v>#N/A</v>
      </c>
    </row>
    <row r="155" spans="1:9" ht="15.5">
      <c r="A155" s="105" t="str">
        <f>'Sovereign Ratings (Moody''s,S&amp;P)'!A149</f>
        <v>Uganda</v>
      </c>
      <c r="B155" s="101" t="str">
        <f>VLOOKUP(A155,'Regional lookup table'!$A$2:$B$162,2,FALSE)</f>
        <v>Africa</v>
      </c>
      <c r="C155" s="9" t="str">
        <f>VLOOKUP(A155,'Sovereign Ratings (Moody''s,S&amp;P)'!$A$2:$D$158,4,FALSE)</f>
        <v>B3</v>
      </c>
      <c r="D155" s="21">
        <f t="shared" si="16"/>
        <v>6.4371549301595152E-2</v>
      </c>
      <c r="E155" s="21">
        <f t="shared" si="17"/>
        <v>0.10767154930159514</v>
      </c>
      <c r="F155" s="11">
        <f t="shared" si="18"/>
        <v>6.4371549301595152E-2</v>
      </c>
      <c r="G155" s="140" t="e">
        <f>VLOOKUP(A155,'10-year CDS Spreads'!$A$2:$D$158,4,FALSE)</f>
        <v>#N/A</v>
      </c>
      <c r="H155" s="11" t="e">
        <f t="shared" si="20"/>
        <v>#N/A</v>
      </c>
      <c r="I155" s="14" t="e">
        <f t="shared" si="19"/>
        <v>#N/A</v>
      </c>
    </row>
    <row r="156" spans="1:9" ht="15.5">
      <c r="A156" s="105" t="str">
        <f>'Sovereign Ratings (Moody''s,S&amp;P)'!A150</f>
        <v>Ukraine</v>
      </c>
      <c r="B156" s="101" t="str">
        <f>VLOOKUP(A156,'Regional lookup table'!$A$2:$B$162,2,FALSE)</f>
        <v>Eastern Europe &amp; Russia</v>
      </c>
      <c r="C156" s="9" t="str">
        <f>VLOOKUP(A156,'Sovereign Ratings (Moody''s,S&amp;P)'!$A$2:$D$158,4,FALSE)</f>
        <v>Ca</v>
      </c>
      <c r="D156" s="21">
        <f t="shared" si="16"/>
        <v>0.11884873749896685</v>
      </c>
      <c r="E156" s="21">
        <f t="shared" si="17"/>
        <v>0.16214873749896686</v>
      </c>
      <c r="F156" s="11">
        <f t="shared" si="18"/>
        <v>0.11884873749896685</v>
      </c>
      <c r="G156" s="140" t="str">
        <f>VLOOKUP(A156,'10-year CDS Spreads'!$A$2:$D$158,4,FALSE)</f>
        <v>NA</v>
      </c>
      <c r="H156" s="11" t="str">
        <f t="shared" ref="H156:H160" si="21">IF(I156="NA","NA",$E$3+I156)</f>
        <v>NA</v>
      </c>
      <c r="I156" s="14" t="str">
        <f t="shared" si="19"/>
        <v>NA</v>
      </c>
    </row>
    <row r="157" spans="1:9" ht="15.5">
      <c r="A157" s="105" t="str">
        <f>'Sovereign Ratings (Moody''s,S&amp;P)'!A151</f>
        <v>United Arab Emirates</v>
      </c>
      <c r="B157" s="101" t="str">
        <f>VLOOKUP(A157,'Regional lookup table'!$A$2:$B$162,2,FALSE)</f>
        <v>Middle East</v>
      </c>
      <c r="C157" s="9" t="str">
        <f>VLOOKUP(A157,'Sovereign Ratings (Moody''s,S&amp;P)'!$A$2:$D$158,4,FALSE)</f>
        <v>Aa2</v>
      </c>
      <c r="D157" s="21">
        <f t="shared" si="16"/>
        <v>4.8889784279692525E-3</v>
      </c>
      <c r="E157" s="21">
        <f t="shared" si="17"/>
        <v>4.8188978427969251E-2</v>
      </c>
      <c r="F157" s="11">
        <f t="shared" si="18"/>
        <v>4.8889784279692525E-3</v>
      </c>
      <c r="G157" s="140" t="e">
        <f>VLOOKUP(A157,'10-year CDS Spreads'!$A$2:$D$158,4,FALSE)</f>
        <v>#N/A</v>
      </c>
      <c r="H157" s="11" t="e">
        <f t="shared" si="21"/>
        <v>#N/A</v>
      </c>
      <c r="I157" s="14" t="e">
        <f t="shared" si="19"/>
        <v>#N/A</v>
      </c>
    </row>
    <row r="158" spans="1:9" ht="15.5">
      <c r="A158" s="105" t="str">
        <f>'Sovereign Ratings (Moody''s,S&amp;P)'!A152</f>
        <v>United Kingdom</v>
      </c>
      <c r="B158" s="101" t="str">
        <f>VLOOKUP(A158,'Regional lookup table'!$A$2:$B$162,2,FALSE)</f>
        <v>Western Europe</v>
      </c>
      <c r="C158" s="9" t="str">
        <f>VLOOKUP(A158,'Sovereign Ratings (Moody''s,S&amp;P)'!$A$2:$D$158,4,FALSE)</f>
        <v>Aa3</v>
      </c>
      <c r="D158" s="21">
        <f t="shared" si="16"/>
        <v>5.9366166625340932E-3</v>
      </c>
      <c r="E158" s="21">
        <f t="shared" si="17"/>
        <v>4.9236616662534094E-2</v>
      </c>
      <c r="F158" s="11">
        <f t="shared" si="18"/>
        <v>5.9366166625340932E-3</v>
      </c>
      <c r="G158" s="140">
        <f>VLOOKUP(A158,'10-year CDS Spreads'!$A$2:$D$158,4,FALSE)</f>
        <v>0</v>
      </c>
      <c r="H158" s="11">
        <f t="shared" si="21"/>
        <v>4.3299999999999998E-2</v>
      </c>
      <c r="I158" s="14">
        <f t="shared" si="19"/>
        <v>0</v>
      </c>
    </row>
    <row r="159" spans="1:9" ht="15.5">
      <c r="A159" s="105" t="str">
        <f>'Sovereign Ratings (Moody''s,S&amp;P)'!A153</f>
        <v>United States</v>
      </c>
      <c r="B159" s="101" t="str">
        <f>VLOOKUP(A159,'Regional lookup table'!$A$2:$B$162,2,FALSE)</f>
        <v>North America</v>
      </c>
      <c r="C159" s="9" t="str">
        <f>VLOOKUP(A159,'Sovereign Ratings (Moody''s,S&amp;P)'!$A$2:$D$158,4,FALSE)</f>
        <v>Aaa</v>
      </c>
      <c r="D159" s="21">
        <f t="shared" si="16"/>
        <v>0</v>
      </c>
      <c r="E159" s="21">
        <f t="shared" si="17"/>
        <v>4.3299999999999998E-2</v>
      </c>
      <c r="F159" s="11">
        <f t="shared" si="18"/>
        <v>0</v>
      </c>
      <c r="G159" s="140">
        <f>VLOOKUP(A159,'10-year CDS Spreads'!$A$2:$D$158,4,FALSE)</f>
        <v>0</v>
      </c>
      <c r="H159" s="11">
        <f t="shared" si="21"/>
        <v>4.3299999999999998E-2</v>
      </c>
      <c r="I159" s="14">
        <f t="shared" si="19"/>
        <v>0</v>
      </c>
    </row>
    <row r="160" spans="1:9" ht="15.5">
      <c r="A160" s="105" t="str">
        <f>'Sovereign Ratings (Moody''s,S&amp;P)'!A154</f>
        <v>Uruguay</v>
      </c>
      <c r="B160" s="101" t="str">
        <f>VLOOKUP(A160,'Regional lookup table'!$A$2:$B$162,2,FALSE)</f>
        <v>Central and South America</v>
      </c>
      <c r="C160" s="9" t="str">
        <f>VLOOKUP(A160,'Sovereign Ratings (Moody''s,S&amp;P)'!$A$2:$D$158,4,FALSE)</f>
        <v>Baa1</v>
      </c>
      <c r="D160" s="21">
        <f t="shared" si="16"/>
        <v>1.5830977766757577E-2</v>
      </c>
      <c r="E160" s="21">
        <f t="shared" si="17"/>
        <v>5.9130977766757575E-2</v>
      </c>
      <c r="F160" s="11">
        <f t="shared" si="18"/>
        <v>1.5830977766757577E-2</v>
      </c>
      <c r="G160" s="140">
        <f>VLOOKUP(A160,'10-year CDS Spreads'!$A$2:$D$158,4,FALSE)</f>
        <v>8.6E-3</v>
      </c>
      <c r="H160" s="112">
        <f t="shared" si="21"/>
        <v>5.4888481570146953E-2</v>
      </c>
      <c r="I160" s="113">
        <f t="shared" si="19"/>
        <v>1.1588481570146955E-2</v>
      </c>
    </row>
    <row r="161" spans="1:9" ht="15.5">
      <c r="A161" s="105" t="str">
        <f>'Sovereign Ratings (Moody''s,S&amp;P)'!A155</f>
        <v>Uzbekistan</v>
      </c>
      <c r="B161" s="101" t="str">
        <f>VLOOKUP(A161,'Regional lookup table'!$A$2:$B$162,2,FALSE)</f>
        <v>Eastern Europe &amp; Russia</v>
      </c>
      <c r="C161" s="9" t="str">
        <f>VLOOKUP(A161,'Sovereign Ratings (Moody''s,S&amp;P)'!$A$2:$D$158,4,FALSE)</f>
        <v>Ba3</v>
      </c>
      <c r="D161" s="21">
        <f t="shared" si="16"/>
        <v>3.5619699975204554E-2</v>
      </c>
      <c r="E161" s="21">
        <f t="shared" si="17"/>
        <v>7.8919699975204552E-2</v>
      </c>
      <c r="F161" s="11">
        <f t="shared" ref="F161:F164" si="22">IF($E$4="Yes",D161*$E$5,D161)</f>
        <v>3.5619699975204554E-2</v>
      </c>
      <c r="G161" s="140" t="e">
        <f>VLOOKUP(A161,'10-year CDS Spreads'!$A$2:$D$158,4,FALSE)</f>
        <v>#N/A</v>
      </c>
      <c r="H161" s="112" t="e">
        <f t="shared" ref="H161:H164" si="23">IF(I161="NA","NA",$E$3+I161)</f>
        <v>#N/A</v>
      </c>
      <c r="I161" s="113" t="e">
        <f t="shared" ref="I161:I164" si="24">IF(G161="NA","NA",G161*$E$5)</f>
        <v>#N/A</v>
      </c>
    </row>
    <row r="162" spans="1:9" ht="15.5">
      <c r="A162" s="105" t="str">
        <f>'Sovereign Ratings (Moody''s,S&amp;P)'!A156</f>
        <v>Venezuela</v>
      </c>
      <c r="B162" s="101" t="str">
        <f>VLOOKUP(A162,'Regional lookup table'!$A$2:$B$162,2,FALSE)</f>
        <v>Central and South America</v>
      </c>
      <c r="C162" s="9" t="str">
        <f>VLOOKUP(A162,'Sovereign Ratings (Moody''s,S&amp;P)'!$A$2:$D$158,4,FALSE)</f>
        <v>C</v>
      </c>
      <c r="D162" s="21">
        <f t="shared" si="16"/>
        <v>0.17499999999999999</v>
      </c>
      <c r="E162" s="21">
        <f t="shared" si="17"/>
        <v>0.21829999999999999</v>
      </c>
      <c r="F162" s="11">
        <f t="shared" si="22"/>
        <v>0.17499999999999999</v>
      </c>
      <c r="G162" s="140">
        <f>VLOOKUP(A162,'10-year CDS Spreads'!$A$2:$D$158,4,FALSE)</f>
        <v>9.6699999999999994E-2</v>
      </c>
      <c r="H162" s="112">
        <f t="shared" si="23"/>
        <v>0.17360304277130356</v>
      </c>
      <c r="I162" s="113">
        <f t="shared" si="24"/>
        <v>0.13030304277130356</v>
      </c>
    </row>
    <row r="163" spans="1:9" ht="15.5">
      <c r="A163" s="105" t="str">
        <f>'Sovereign Ratings (Moody''s,S&amp;P)'!A157</f>
        <v>Vietnam</v>
      </c>
      <c r="B163" s="101" t="str">
        <f>VLOOKUP(A163,'Regional lookup table'!$A$2:$B$162,2,FALSE)</f>
        <v>Asia</v>
      </c>
      <c r="C163" s="9" t="str">
        <f>VLOOKUP(A163,'Sovereign Ratings (Moody''s,S&amp;P)'!$A$2:$D$158,4,FALSE)</f>
        <v>Ba2</v>
      </c>
      <c r="D163" s="21">
        <f t="shared" si="16"/>
        <v>2.9799487560955448E-2</v>
      </c>
      <c r="E163" s="21">
        <f t="shared" si="17"/>
        <v>7.309948756095544E-2</v>
      </c>
      <c r="F163" s="11">
        <f t="shared" si="22"/>
        <v>2.9799487560955448E-2</v>
      </c>
      <c r="G163" s="140">
        <f>VLOOKUP(A163,'10-year CDS Spreads'!$A$2:$D$158,4,FALSE)</f>
        <v>1.2400000000000001E-2</v>
      </c>
      <c r="H163" s="112">
        <f t="shared" si="23"/>
        <v>6.0008973426723518E-2</v>
      </c>
      <c r="I163" s="113">
        <f t="shared" si="24"/>
        <v>1.670897342672352E-2</v>
      </c>
    </row>
    <row r="164" spans="1:9" ht="15.5">
      <c r="A164" s="105" t="str">
        <f>'Sovereign Ratings (Moody''s,S&amp;P)'!A158</f>
        <v>Zambia</v>
      </c>
      <c r="B164" s="101" t="str">
        <f>VLOOKUP(A164,'Regional lookup table'!$A$2:$B$162,2,FALSE)</f>
        <v>Africa</v>
      </c>
      <c r="C164" s="9" t="str">
        <f>VLOOKUP(A164,'Sovereign Ratings (Moody''s,S&amp;P)'!$A$2:$D$158,4,FALSE)</f>
        <v>Caa2</v>
      </c>
      <c r="D164" s="21">
        <f t="shared" si="16"/>
        <v>8.9165654186296364E-2</v>
      </c>
      <c r="E164" s="21">
        <f t="shared" si="17"/>
        <v>0.13246565418629636</v>
      </c>
      <c r="F164" s="11">
        <f t="shared" si="22"/>
        <v>8.9165654186296364E-2</v>
      </c>
      <c r="G164" s="140" t="str">
        <f>VLOOKUP(A164,'10-year CDS Spreads'!$A$2:$D$158,4,FALSE)</f>
        <v>NA</v>
      </c>
      <c r="H164" s="112" t="str">
        <f t="shared" si="23"/>
        <v>NA</v>
      </c>
      <c r="I164" s="113" t="str">
        <f t="shared" si="24"/>
        <v>NA</v>
      </c>
    </row>
    <row r="165" spans="1:9" ht="15.5">
      <c r="A165" s="258" t="s">
        <v>365</v>
      </c>
      <c r="B165" s="258"/>
      <c r="C165" s="258"/>
      <c r="D165" s="258"/>
      <c r="E165" s="258"/>
      <c r="F165" s="27"/>
      <c r="G165" s="27"/>
      <c r="H165" s="27"/>
      <c r="I165" s="27"/>
    </row>
    <row r="166" spans="1:9" ht="15.5">
      <c r="A166" s="103" t="s">
        <v>74</v>
      </c>
      <c r="B166" s="103" t="s">
        <v>366</v>
      </c>
      <c r="C166" s="95" t="s">
        <v>307</v>
      </c>
      <c r="D166" s="95" t="s">
        <v>367</v>
      </c>
      <c r="E166" s="95" t="s">
        <v>308</v>
      </c>
      <c r="F166" s="98"/>
      <c r="G166" s="98"/>
      <c r="H166" s="98"/>
      <c r="I166" s="98"/>
    </row>
    <row r="167" spans="1:9" ht="15.5">
      <c r="A167" s="46" t="str">
        <f>'PRS Worksheet'!A162</f>
        <v>Algeria</v>
      </c>
      <c r="B167" s="56">
        <f>'PRS Worksheet'!B162</f>
        <v>69.25</v>
      </c>
      <c r="C167" s="92">
        <f>'PRS Worksheet'!E162</f>
        <v>8.3454745627901811E-2</v>
      </c>
      <c r="D167" s="57">
        <f>'PRS Worksheet'!G162</f>
        <v>4.0154745627901813E-2</v>
      </c>
      <c r="E167" s="57">
        <f>'PRS Worksheet'!D162</f>
        <v>2.9799487560955441E-2</v>
      </c>
      <c r="F167" s="27"/>
      <c r="G167" s="27"/>
      <c r="H167" s="27"/>
    </row>
    <row r="168" spans="1:9" ht="15.5">
      <c r="A168" s="46" t="str">
        <f>'PRS Worksheet'!A163</f>
        <v>Brunei</v>
      </c>
      <c r="B168" s="56">
        <f>'PRS Worksheet'!B163</f>
        <v>81.75</v>
      </c>
      <c r="C168" s="92">
        <f>'PRS Worksheet'!E163</f>
        <v>5.1299578230558564E-2</v>
      </c>
      <c r="D168" s="57">
        <f>'PRS Worksheet'!G163</f>
        <v>7.9995782305585655E-3</v>
      </c>
      <c r="E168" s="57">
        <f>'PRS Worksheet'!D163</f>
        <v>5.9366166625340932E-3</v>
      </c>
      <c r="F168" s="27"/>
      <c r="G168" s="27"/>
      <c r="H168" s="27"/>
    </row>
    <row r="169" spans="1:9" ht="15.5">
      <c r="A169" s="46" t="str">
        <f>'PRS Worksheet'!A164</f>
        <v>Gambia</v>
      </c>
      <c r="B169" s="56">
        <f>'PRS Worksheet'!B164</f>
        <v>67.5</v>
      </c>
      <c r="C169" s="92">
        <f>'PRS Worksheet'!E164</f>
        <v>0.10337526396674374</v>
      </c>
      <c r="D169" s="57">
        <f>'PRS Worksheet'!G164</f>
        <v>6.0075263966743737E-2</v>
      </c>
      <c r="E169" s="57">
        <f>'PRS Worksheet'!D164</f>
        <v>4.4582827093148189E-2</v>
      </c>
      <c r="F169" s="27"/>
      <c r="G169" s="27"/>
      <c r="H169" s="27"/>
    </row>
    <row r="170" spans="1:9" ht="15.5">
      <c r="A170" s="46" t="str">
        <f>'PRS Worksheet'!A165</f>
        <v>Guinea</v>
      </c>
      <c r="B170" s="56">
        <f>'PRS Worksheet'!B165</f>
        <v>57.75</v>
      </c>
      <c r="C170" s="92">
        <f>'PRS Worksheet'!E165</f>
        <v>0.16345052793348747</v>
      </c>
      <c r="D170" s="57">
        <f>'PRS Worksheet'!G165</f>
        <v>0.12015052793348746</v>
      </c>
      <c r="E170" s="57">
        <f>'PRS Worksheet'!D165</f>
        <v>8.9165654186296364E-2</v>
      </c>
      <c r="F170" s="27"/>
      <c r="G170" s="27"/>
      <c r="H170" s="27"/>
    </row>
    <row r="171" spans="1:9" ht="15.5">
      <c r="A171" s="46" t="str">
        <f>'PRS Worksheet'!A166</f>
        <v>Guinea-Bissau</v>
      </c>
      <c r="B171" s="56">
        <f>'PRS Worksheet'!B166</f>
        <v>63.25</v>
      </c>
      <c r="C171" s="92">
        <f>'PRS Worksheet'!E166</f>
        <v>0.13004052473527228</v>
      </c>
      <c r="D171" s="57">
        <f>'PRS Worksheet'!G166</f>
        <v>8.6740524735272273E-2</v>
      </c>
      <c r="E171" s="57">
        <f>'PRS Worksheet'!D166</f>
        <v>6.4371549301595152E-2</v>
      </c>
      <c r="F171" s="27"/>
      <c r="G171" s="27"/>
      <c r="H171" s="27"/>
    </row>
    <row r="172" spans="1:9" ht="15.5">
      <c r="A172" s="46" t="str">
        <f>'PRS Worksheet'!A167</f>
        <v>Guyana</v>
      </c>
      <c r="B172" s="56">
        <f>'PRS Worksheet'!B167</f>
        <v>75.75</v>
      </c>
      <c r="C172" s="92">
        <f>'PRS Worksheet'!E167</f>
        <v>6.4632208614822828E-2</v>
      </c>
      <c r="D172" s="57">
        <f>'PRS Worksheet'!G167</f>
        <v>2.133220861482283E-2</v>
      </c>
      <c r="E172" s="57">
        <f>'PRS Worksheet'!D167</f>
        <v>1.5830977766757574E-2</v>
      </c>
      <c r="F172" s="27"/>
      <c r="G172" s="27"/>
      <c r="H172" s="27"/>
    </row>
    <row r="173" spans="1:9" ht="15.5">
      <c r="A173" s="46" t="str">
        <f>'PRS Worksheet'!A168</f>
        <v>Haiti</v>
      </c>
      <c r="B173" s="56">
        <f>'PRS Worksheet'!B168</f>
        <v>54.75</v>
      </c>
      <c r="C173" s="92">
        <f>'PRS Worksheet'!E168</f>
        <v>0.20344841908628034</v>
      </c>
      <c r="D173" s="57">
        <f>'PRS Worksheet'!G168</f>
        <v>0.16014841908628033</v>
      </c>
      <c r="E173" s="57">
        <f>'PRS Worksheet'!D168</f>
        <v>0.11884873749896686</v>
      </c>
      <c r="F173" s="27"/>
      <c r="G173" s="27"/>
      <c r="H173" s="27"/>
    </row>
    <row r="174" spans="1:9" ht="15.5">
      <c r="A174" s="46" t="str">
        <f>'PRS Worksheet'!A169</f>
        <v>Iran</v>
      </c>
      <c r="B174" s="56">
        <f>'PRS Worksheet'!B169</f>
        <v>63.75</v>
      </c>
      <c r="C174" s="92">
        <f>'PRS Worksheet'!E169</f>
        <v>0.13004052473527228</v>
      </c>
      <c r="D174" s="57">
        <f>'PRS Worksheet'!G169</f>
        <v>8.6740524735272273E-2</v>
      </c>
      <c r="E174" s="57">
        <f>'PRS Worksheet'!D169</f>
        <v>6.4371549301595152E-2</v>
      </c>
      <c r="F174" s="27"/>
      <c r="G174" s="27"/>
      <c r="H174" s="27"/>
    </row>
    <row r="175" spans="1:9" ht="15.5">
      <c r="A175" s="46" t="str">
        <f>'PRS Worksheet'!A170</f>
        <v>Korea, D.P.R.</v>
      </c>
      <c r="B175" s="56">
        <f>'PRS Worksheet'!B170</f>
        <v>51</v>
      </c>
      <c r="C175" s="92">
        <f>'PRS Worksheet'!E170</f>
        <v>0.20344841908628034</v>
      </c>
      <c r="D175" s="57">
        <f>'PRS Worksheet'!G170</f>
        <v>0.16014841908628033</v>
      </c>
      <c r="E175" s="57">
        <f>'PRS Worksheet'!D170</f>
        <v>0.11884873749896686</v>
      </c>
      <c r="F175" s="27"/>
      <c r="G175" s="27"/>
      <c r="H175" s="27"/>
    </row>
    <row r="176" spans="1:9" ht="15.5">
      <c r="A176" s="46" t="str">
        <f>'PRS Worksheet'!A171</f>
        <v>Liberia</v>
      </c>
      <c r="B176" s="56">
        <f>'PRS Worksheet'!B171</f>
        <v>58.25</v>
      </c>
      <c r="C176" s="92">
        <f>'PRS Worksheet'!E171</f>
        <v>0.16345052793348747</v>
      </c>
      <c r="D176" s="57">
        <f>'PRS Worksheet'!G171</f>
        <v>0.12015052793348746</v>
      </c>
      <c r="E176" s="57">
        <f>'PRS Worksheet'!D171</f>
        <v>8.9165654186296364E-2</v>
      </c>
      <c r="F176" s="27"/>
      <c r="G176" s="27"/>
      <c r="H176" s="27"/>
    </row>
    <row r="177" spans="1:8" ht="15.5">
      <c r="A177" s="46" t="str">
        <f>'PRS Worksheet'!A172</f>
        <v>Libya</v>
      </c>
      <c r="B177" s="56">
        <f>'PRS Worksheet'!B172</f>
        <v>74.5</v>
      </c>
      <c r="C177" s="92">
        <f>'PRS Worksheet'!E172</f>
        <v>6.4632208614822828E-2</v>
      </c>
      <c r="D177" s="57">
        <f>'PRS Worksheet'!G172</f>
        <v>2.133220861482283E-2</v>
      </c>
      <c r="E177" s="57">
        <f>'PRS Worksheet'!D172</f>
        <v>1.5830977766757574E-2</v>
      </c>
      <c r="F177" s="27"/>
      <c r="G177" s="27"/>
      <c r="H177" s="27"/>
    </row>
    <row r="178" spans="1:8" ht="15.5">
      <c r="A178" s="46" t="str">
        <f>'PRS Worksheet'!A173</f>
        <v>Madagascar</v>
      </c>
      <c r="B178" s="56">
        <f>'PRS Worksheet'!B173</f>
        <v>64.5</v>
      </c>
      <c r="C178" s="92">
        <f>'PRS Worksheet'!E173</f>
        <v>0.11670789435100801</v>
      </c>
      <c r="D178" s="57">
        <f>'PRS Worksheet'!G173</f>
        <v>7.3407894351008002E-2</v>
      </c>
      <c r="E178" s="57">
        <f>'PRS Worksheet'!D173</f>
        <v>5.4477188197371663E-2</v>
      </c>
      <c r="F178" s="27"/>
      <c r="G178" s="27"/>
      <c r="H178" s="27"/>
    </row>
    <row r="179" spans="1:8" ht="15.5">
      <c r="A179" s="46" t="str">
        <f>'PRS Worksheet'!A174</f>
        <v>Malawi</v>
      </c>
      <c r="B179" s="56">
        <f>'PRS Worksheet'!B174</f>
        <v>57.75</v>
      </c>
      <c r="C179" s="92">
        <f>'PRS Worksheet'!E174</f>
        <v>0.16345052793348747</v>
      </c>
      <c r="D179" s="57">
        <f>'PRS Worksheet'!G174</f>
        <v>0.12015052793348746</v>
      </c>
      <c r="E179" s="57">
        <f>'PRS Worksheet'!D174</f>
        <v>8.9165654186296364E-2</v>
      </c>
      <c r="F179" s="27"/>
      <c r="G179" s="27"/>
      <c r="H179" s="27"/>
    </row>
    <row r="180" spans="1:8" ht="15.5">
      <c r="A180" s="46" t="str">
        <f>'PRS Worksheet'!A175</f>
        <v>Myanmar</v>
      </c>
      <c r="B180" s="56">
        <f>'PRS Worksheet'!B175</f>
        <v>56</v>
      </c>
      <c r="C180" s="92">
        <f>'PRS Worksheet'!E175</f>
        <v>0.17678315831775177</v>
      </c>
      <c r="D180" s="57">
        <f>'PRS Worksheet'!G175</f>
        <v>0.13348315831775176</v>
      </c>
      <c r="E180" s="57">
        <f>'PRS Worksheet'!D175</f>
        <v>9.9060015290519873E-2</v>
      </c>
      <c r="F180" s="27"/>
      <c r="G180" s="27"/>
      <c r="H180" s="27"/>
    </row>
    <row r="181" spans="1:8" ht="15.5">
      <c r="A181" s="46" t="str">
        <f>'PRS Worksheet'!A176</f>
        <v>Russia</v>
      </c>
      <c r="B181" s="56">
        <f>'PRS Worksheet'!B176</f>
        <v>69.25</v>
      </c>
      <c r="C181" s="92">
        <f>'PRS Worksheet'!E176</f>
        <v>8.3454745627901811E-2</v>
      </c>
      <c r="D181" s="57">
        <f>'PRS Worksheet'!G176</f>
        <v>4.0154745627901813E-2</v>
      </c>
      <c r="E181" s="57">
        <f>'PRS Worksheet'!D176</f>
        <v>2.9799487560955441E-2</v>
      </c>
      <c r="F181" s="27"/>
      <c r="G181" s="27"/>
      <c r="H181" s="27"/>
    </row>
    <row r="182" spans="1:8" ht="15.5">
      <c r="A182" s="46" t="str">
        <f>'PRS Worksheet'!A177</f>
        <v>Sierra Leone</v>
      </c>
      <c r="B182" s="56">
        <f>'PRS Worksheet'!B177</f>
        <v>59.5</v>
      </c>
      <c r="C182" s="92">
        <f>'PRS Worksheet'!E177</f>
        <v>0.16345052793348747</v>
      </c>
      <c r="D182" s="57">
        <f>'PRS Worksheet'!G177</f>
        <v>0.12015052793348746</v>
      </c>
      <c r="E182" s="57">
        <f>'PRS Worksheet'!D177</f>
        <v>8.9165654186296364E-2</v>
      </c>
      <c r="F182" s="27"/>
      <c r="G182" s="27"/>
      <c r="H182" s="27"/>
    </row>
    <row r="183" spans="1:8" ht="15.5">
      <c r="A183" s="46" t="str">
        <f>'PRS Worksheet'!A178</f>
        <v>Somalia</v>
      </c>
      <c r="B183" s="56">
        <f>'PRS Worksheet'!B178</f>
        <v>55.5</v>
      </c>
      <c r="C183" s="92">
        <f>'PRS Worksheet'!E178</f>
        <v>0.17678315831775177</v>
      </c>
      <c r="D183" s="57">
        <f>'PRS Worksheet'!G178</f>
        <v>0.13348315831775176</v>
      </c>
      <c r="E183" s="57">
        <f>'PRS Worksheet'!D178</f>
        <v>9.9060015290519873E-2</v>
      </c>
      <c r="F183" s="27"/>
      <c r="G183" s="27"/>
      <c r="H183" s="27"/>
    </row>
    <row r="184" spans="1:8" ht="15.5">
      <c r="A184" s="46" t="str">
        <f>'PRS Worksheet'!A179</f>
        <v>Sudan</v>
      </c>
      <c r="B184" s="56">
        <f>'PRS Worksheet'!B179</f>
        <v>43.5</v>
      </c>
      <c r="C184" s="92">
        <f>'PRS Worksheet'!E179</f>
        <v>0.27911212497392057</v>
      </c>
      <c r="D184" s="57">
        <f>'PRS Worksheet'!G179</f>
        <v>0.23581212497392057</v>
      </c>
      <c r="E184" s="57">
        <f>'PRS Worksheet'!D179</f>
        <v>0.17499999999999996</v>
      </c>
      <c r="F184" s="27"/>
      <c r="G184" s="27"/>
      <c r="H184" s="27"/>
    </row>
    <row r="185" spans="1:8" ht="15.5">
      <c r="A185" s="46" t="str">
        <f>'PRS Worksheet'!A180</f>
        <v>Syria</v>
      </c>
      <c r="B185" s="56">
        <f>'PRS Worksheet'!B180</f>
        <v>46.5</v>
      </c>
      <c r="C185" s="92">
        <f>'PRS Worksheet'!E180</f>
        <v>0.27911212497392057</v>
      </c>
      <c r="D185" s="57">
        <f>'PRS Worksheet'!G180</f>
        <v>0.23581212497392057</v>
      </c>
      <c r="E185" s="57">
        <f>'PRS Worksheet'!D180</f>
        <v>0.17499999999999996</v>
      </c>
      <c r="F185" s="27"/>
      <c r="G185" s="27"/>
      <c r="H185" s="27"/>
    </row>
    <row r="186" spans="1:8" ht="15.5">
      <c r="A186" s="46" t="str">
        <f>'PRS Worksheet'!A181</f>
        <v>Yemen, Republic</v>
      </c>
      <c r="B186" s="56">
        <f>'PRS Worksheet'!B181</f>
        <v>51.5</v>
      </c>
      <c r="C186" s="92">
        <f>'PRS Worksheet'!E181</f>
        <v>0.20344841908628034</v>
      </c>
      <c r="D186" s="57">
        <f>'PRS Worksheet'!G181</f>
        <v>0.16014841908628033</v>
      </c>
      <c r="E186" s="57">
        <f>'PRS Worksheet'!D181</f>
        <v>0.11884873749896686</v>
      </c>
      <c r="F186" s="27"/>
      <c r="G186" s="27"/>
      <c r="H186" s="27"/>
    </row>
    <row r="187" spans="1:8" ht="15.5">
      <c r="A187" s="46" t="str">
        <f>'PRS Worksheet'!A182</f>
        <v>Zimbabwe</v>
      </c>
      <c r="B187" s="56">
        <f>'PRS Worksheet'!B182</f>
        <v>57.75</v>
      </c>
      <c r="C187" s="92">
        <f>'PRS Worksheet'!E182</f>
        <v>0.16345052793348747</v>
      </c>
      <c r="D187" s="57">
        <f>'PRS Worksheet'!G182</f>
        <v>0.12015052793348746</v>
      </c>
      <c r="E187" s="57">
        <f>'PRS Worksheet'!D182</f>
        <v>8.9165654186296364E-2</v>
      </c>
      <c r="F187" s="27"/>
      <c r="G187" s="27"/>
      <c r="H187" s="27"/>
    </row>
    <row r="188" spans="1:8" ht="15.5">
      <c r="A188" s="90"/>
      <c r="B188" s="104"/>
      <c r="C188" s="91"/>
      <c r="D188" s="26"/>
      <c r="E188" s="27"/>
    </row>
    <row r="189" spans="1:8" ht="12">
      <c r="B189" s="17" t="s">
        <v>39</v>
      </c>
      <c r="C189" s="17" t="s">
        <v>40</v>
      </c>
    </row>
    <row r="190" spans="1:8">
      <c r="B190" s="4" t="s">
        <v>41</v>
      </c>
      <c r="C190" s="123">
        <f>'Default Spreads for Ratings'!C2</f>
        <v>69.842548970989341</v>
      </c>
    </row>
    <row r="191" spans="1:8">
      <c r="B191" s="4" t="s">
        <v>42</v>
      </c>
      <c r="C191" s="123">
        <f>'Default Spreads for Ratings'!C3</f>
        <v>83.811058765187198</v>
      </c>
    </row>
    <row r="192" spans="1:8">
      <c r="B192" s="4" t="s">
        <v>43</v>
      </c>
      <c r="C192" s="123">
        <f>'Default Spreads for Ratings'!C4</f>
        <v>118.73233325068186</v>
      </c>
    </row>
    <row r="193" spans="2:3">
      <c r="B193" s="4" t="s">
        <v>44</v>
      </c>
      <c r="C193" s="123">
        <f>'Default Spreads for Ratings'!C5</f>
        <v>39.577444416893947</v>
      </c>
    </row>
    <row r="194" spans="2:3">
      <c r="B194" s="4" t="s">
        <v>45</v>
      </c>
      <c r="C194" s="123">
        <f>'Default Spreads for Ratings'!C6</f>
        <v>48.889784279692527</v>
      </c>
    </row>
    <row r="195" spans="2:3">
      <c r="B195" s="4" t="s">
        <v>46</v>
      </c>
      <c r="C195" s="123">
        <f>'Default Spreads for Ratings'!C7</f>
        <v>59.366166625340931</v>
      </c>
    </row>
    <row r="196" spans="2:3">
      <c r="B196" s="4" t="s">
        <v>47</v>
      </c>
      <c r="C196" s="123">
        <f>'Default Spreads for Ratings'!C8</f>
        <v>0</v>
      </c>
    </row>
    <row r="197" spans="2:3">
      <c r="B197" s="4" t="s">
        <v>48</v>
      </c>
      <c r="C197" s="123">
        <f>'Default Spreads for Ratings'!C9</f>
        <v>445.82827093148182</v>
      </c>
    </row>
    <row r="198" spans="2:3">
      <c r="B198" s="4" t="s">
        <v>49</v>
      </c>
      <c r="C198" s="123">
        <f>'Default Spreads for Ratings'!C10</f>
        <v>544.77188197371675</v>
      </c>
    </row>
    <row r="199" spans="2:3">
      <c r="B199" s="4" t="s">
        <v>77</v>
      </c>
      <c r="C199" s="123">
        <f>'Default Spreads for Ratings'!C11</f>
        <v>643.71549301595155</v>
      </c>
    </row>
    <row r="200" spans="2:3">
      <c r="B200" s="4" t="s">
        <v>78</v>
      </c>
      <c r="C200" s="123">
        <f>'Default Spreads for Ratings'!C12</f>
        <v>247.94104884701215</v>
      </c>
    </row>
    <row r="201" spans="2:3">
      <c r="B201" s="4" t="s">
        <v>79</v>
      </c>
      <c r="C201" s="123">
        <f>'Default Spreads for Ratings'!C13</f>
        <v>297.99487560955447</v>
      </c>
    </row>
    <row r="202" spans="2:3">
      <c r="B202" s="4" t="s">
        <v>80</v>
      </c>
      <c r="C202" s="123">
        <f>'Default Spreads for Ratings'!C14</f>
        <v>356.19699975204554</v>
      </c>
    </row>
    <row r="203" spans="2:3">
      <c r="B203" s="4" t="s">
        <v>81</v>
      </c>
      <c r="C203" s="123">
        <f>'Default Spreads for Ratings'!C15</f>
        <v>158.30977766757579</v>
      </c>
    </row>
    <row r="204" spans="2:3">
      <c r="B204" s="4" t="s">
        <v>82</v>
      </c>
      <c r="C204" s="123">
        <f>'Default Spreads for Ratings'!C16</f>
        <v>188.5748822216712</v>
      </c>
    </row>
    <row r="205" spans="2:3">
      <c r="B205" s="4" t="s">
        <v>123</v>
      </c>
      <c r="C205" s="123">
        <f>'Default Spreads for Ratings'!C17</f>
        <v>217.67594429291677</v>
      </c>
    </row>
    <row r="206" spans="2:3">
      <c r="B206" s="4" t="s">
        <v>136</v>
      </c>
      <c r="C206" s="123">
        <v>1750</v>
      </c>
    </row>
    <row r="207" spans="2:3">
      <c r="B207" s="4" t="s">
        <v>338</v>
      </c>
      <c r="C207" s="123">
        <f>'Default Spreads for Ratings'!C18</f>
        <v>1188.4873749896685</v>
      </c>
    </row>
    <row r="208" spans="2:3">
      <c r="B208" s="4" t="s">
        <v>99</v>
      </c>
      <c r="C208" s="123">
        <f>'Default Spreads for Ratings'!C19</f>
        <v>742.65910405818647</v>
      </c>
    </row>
    <row r="209" spans="2:3">
      <c r="B209" s="4" t="s">
        <v>58</v>
      </c>
      <c r="C209" s="123">
        <f>'Default Spreads for Ratings'!C20</f>
        <v>891.65654186296365</v>
      </c>
    </row>
    <row r="210" spans="2:3">
      <c r="B210" s="4" t="s">
        <v>62</v>
      </c>
      <c r="C210" s="123">
        <f>'Default Spreads for Ratings'!C21</f>
        <v>990.60015290519868</v>
      </c>
    </row>
    <row r="211" spans="2:3">
      <c r="B211" s="4" t="s">
        <v>273</v>
      </c>
      <c r="C211" s="4" t="s">
        <v>142</v>
      </c>
    </row>
  </sheetData>
  <mergeCells count="1">
    <mergeCell ref="A165:E165"/>
  </mergeCells>
  <phoneticPr fontId="11"/>
  <pageMargins left="0.75" right="0.75" top="1" bottom="1" header="0.5" footer="0.5"/>
  <pageSetup orientation="landscape" horizontalDpi="4294967292" verticalDpi="4294967292"/>
  <headerFooter alignWithMargins="0"/>
  <legacy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325"/>
  <sheetViews>
    <sheetView workbookViewId="0">
      <selection activeCell="F7" sqref="F7"/>
    </sheetView>
  </sheetViews>
  <sheetFormatPr defaultColWidth="11.19921875" defaultRowHeight="11.5"/>
  <cols>
    <col min="1" max="1" width="31.296875" customWidth="1"/>
    <col min="2" max="2" width="12.5" bestFit="1" customWidth="1"/>
    <col min="3" max="3" width="15.5" customWidth="1"/>
    <col min="4" max="4" width="8" bestFit="1" customWidth="1"/>
    <col min="6" max="6" width="20" customWidth="1"/>
    <col min="15" max="15" width="13.5" customWidth="1"/>
  </cols>
  <sheetData>
    <row r="1" spans="1:19" ht="13" customHeight="1">
      <c r="A1" s="4" t="s">
        <v>290</v>
      </c>
      <c r="B1" s="4" t="s">
        <v>504</v>
      </c>
      <c r="C1" s="4" t="s">
        <v>528</v>
      </c>
      <c r="D1" s="4" t="s">
        <v>505</v>
      </c>
      <c r="J1" s="259" t="s">
        <v>600</v>
      </c>
      <c r="K1" s="260"/>
      <c r="L1" s="260"/>
      <c r="M1" s="260"/>
      <c r="N1" s="260"/>
      <c r="O1" s="260"/>
      <c r="P1" s="260"/>
      <c r="Q1" s="260"/>
      <c r="R1" s="260"/>
      <c r="S1" s="261"/>
    </row>
    <row r="2" spans="1:19" ht="13" customHeight="1">
      <c r="A2" s="4">
        <v>2020</v>
      </c>
      <c r="B2" s="72">
        <f>STDEV(I16:I276)*(261^0.5)</f>
        <v>0.23006193662943247</v>
      </c>
      <c r="C2" s="72">
        <f>STDEV(C16:C268)*(253^0.5)</f>
        <v>0.19128922410850141</v>
      </c>
      <c r="D2" s="169">
        <f t="shared" ref="D2:D6" si="0">B2/C2</f>
        <v>1.2026915666662892</v>
      </c>
      <c r="E2" s="23"/>
      <c r="F2" s="184"/>
      <c r="J2" s="262"/>
      <c r="K2" s="263"/>
      <c r="L2" s="263"/>
      <c r="M2" s="263"/>
      <c r="N2" s="263"/>
      <c r="O2" s="263"/>
      <c r="P2" s="263"/>
      <c r="Q2" s="263"/>
      <c r="R2" s="263"/>
      <c r="S2" s="264"/>
    </row>
    <row r="3" spans="1:19" ht="13" customHeight="1">
      <c r="A3" s="4">
        <v>2021</v>
      </c>
      <c r="B3" s="72">
        <f>STDEV(I277:I537)*(261^0.5)</f>
        <v>0.14315334957120557</v>
      </c>
      <c r="C3" s="72">
        <f>STDEV(C269:C520)*(252^0.5)</f>
        <v>6.903657642433253E-2</v>
      </c>
      <c r="D3" s="169">
        <f t="shared" si="0"/>
        <v>2.0735870314790112</v>
      </c>
      <c r="E3" s="23"/>
      <c r="J3" s="262"/>
      <c r="K3" s="263"/>
      <c r="L3" s="263"/>
      <c r="M3" s="263"/>
      <c r="N3" s="263"/>
      <c r="O3" s="263"/>
      <c r="P3" s="263"/>
      <c r="Q3" s="263"/>
      <c r="R3" s="263"/>
      <c r="S3" s="264"/>
    </row>
    <row r="4" spans="1:19" ht="13" customHeight="1">
      <c r="A4" s="4">
        <v>2022</v>
      </c>
      <c r="B4" s="72">
        <f>STDEV(I538:I797)*(260^0.5)</f>
        <v>0.18670507814633716</v>
      </c>
      <c r="C4" s="72">
        <f>STDEV(C521:C771)*(251^0.5)</f>
        <v>0.15529139759894831</v>
      </c>
      <c r="D4" s="169">
        <f t="shared" si="0"/>
        <v>1.2022886073091894</v>
      </c>
      <c r="E4" s="79"/>
      <c r="F4" s="255"/>
      <c r="J4" s="262"/>
      <c r="K4" s="263"/>
      <c r="L4" s="263"/>
      <c r="M4" s="263"/>
      <c r="N4" s="263"/>
      <c r="O4" s="263"/>
      <c r="P4" s="263"/>
      <c r="Q4" s="263"/>
      <c r="R4" s="263"/>
      <c r="S4" s="264"/>
    </row>
    <row r="5" spans="1:19" ht="14" customHeight="1">
      <c r="A5" s="4">
        <v>2023</v>
      </c>
      <c r="B5" s="72">
        <f>STDEV(I798:I1057)*(260^0.5)</f>
        <v>0.11162814740976974</v>
      </c>
      <c r="C5" s="72">
        <f>STDEV(C772:C1021)*(250^0.5)</f>
        <v>9.8830546166421465E-2</v>
      </c>
      <c r="D5" s="169">
        <f t="shared" si="0"/>
        <v>1.1294903422045073</v>
      </c>
      <c r="J5" s="262"/>
      <c r="K5" s="263"/>
      <c r="L5" s="263"/>
      <c r="M5" s="263"/>
      <c r="N5" s="263"/>
      <c r="O5" s="263"/>
      <c r="P5" s="263"/>
      <c r="Q5" s="263"/>
      <c r="R5" s="263"/>
      <c r="S5" s="264"/>
    </row>
    <row r="6" spans="1:19" ht="13" customHeight="1">
      <c r="A6" s="4">
        <v>2024</v>
      </c>
      <c r="B6" s="72">
        <f>STDEV(I1058:I1319)*(262^0.5)</f>
        <v>0.1188862454431196</v>
      </c>
      <c r="C6" s="72">
        <f>STDEV(C1022:C1273)*(252^0.5)</f>
        <v>7.2146700433059888E-2</v>
      </c>
      <c r="D6" s="169">
        <f t="shared" si="0"/>
        <v>1.6478403687141066</v>
      </c>
      <c r="F6" s="255"/>
      <c r="J6" s="262"/>
      <c r="K6" s="263"/>
      <c r="L6" s="263"/>
      <c r="M6" s="263"/>
      <c r="N6" s="263"/>
      <c r="O6" s="263"/>
      <c r="P6" s="263"/>
      <c r="Q6" s="263"/>
      <c r="R6" s="263"/>
      <c r="S6" s="264"/>
    </row>
    <row r="7" spans="1:19" ht="13" customHeight="1" thickBot="1">
      <c r="A7" s="15" t="s">
        <v>506</v>
      </c>
      <c r="B7" s="177">
        <f>AVERAGE(B2:B6)</f>
        <v>0.15808695143997292</v>
      </c>
      <c r="C7" s="177">
        <f>AVERAGE(C2:C6)</f>
        <v>0.11731888894625273</v>
      </c>
      <c r="D7" s="170">
        <f>B7/C7</f>
        <v>1.3474978569938321</v>
      </c>
      <c r="J7" s="265"/>
      <c r="K7" s="266"/>
      <c r="L7" s="266"/>
      <c r="M7" s="266"/>
      <c r="N7" s="266"/>
      <c r="O7" s="266"/>
      <c r="P7" s="266"/>
      <c r="Q7" s="266"/>
      <c r="R7" s="266"/>
      <c r="S7" s="267"/>
    </row>
    <row r="9" spans="1:19" ht="12.5">
      <c r="A9" t="s">
        <v>353</v>
      </c>
      <c r="B9" s="185" t="s">
        <v>525</v>
      </c>
      <c r="G9" t="s">
        <v>353</v>
      </c>
      <c r="H9" t="s">
        <v>360</v>
      </c>
    </row>
    <row r="10" spans="1:19">
      <c r="A10" t="s">
        <v>251</v>
      </c>
      <c r="B10" t="s">
        <v>527</v>
      </c>
      <c r="G10" t="s">
        <v>251</v>
      </c>
      <c r="H10" t="s">
        <v>359</v>
      </c>
    </row>
    <row r="11" spans="1:19">
      <c r="B11" s="99" t="s">
        <v>526</v>
      </c>
      <c r="H11" s="99" t="s">
        <v>507</v>
      </c>
    </row>
    <row r="12" spans="1:19" ht="15.5">
      <c r="A12" t="s">
        <v>354</v>
      </c>
      <c r="B12" t="s">
        <v>508</v>
      </c>
      <c r="C12" t="s">
        <v>601</v>
      </c>
      <c r="G12" t="s">
        <v>354</v>
      </c>
      <c r="H12" s="171" t="s">
        <v>508</v>
      </c>
      <c r="I12" t="s">
        <v>601</v>
      </c>
      <c r="J12" s="171"/>
    </row>
    <row r="13" spans="1:19">
      <c r="A13" t="s">
        <v>355</v>
      </c>
      <c r="B13" t="s">
        <v>356</v>
      </c>
      <c r="G13" t="s">
        <v>355</v>
      </c>
      <c r="H13" t="s">
        <v>356</v>
      </c>
    </row>
    <row r="14" spans="1:19" ht="34.5">
      <c r="A14" t="s">
        <v>524</v>
      </c>
      <c r="B14" t="s">
        <v>543</v>
      </c>
      <c r="C14" s="186" t="s">
        <v>358</v>
      </c>
      <c r="G14" s="80" t="s">
        <v>357</v>
      </c>
      <c r="H14" s="77" t="s">
        <v>477</v>
      </c>
      <c r="I14" s="77" t="s">
        <v>358</v>
      </c>
      <c r="J14" s="77"/>
      <c r="K14" s="77"/>
    </row>
    <row r="15" spans="1:19" ht="17.5">
      <c r="A15" s="248">
        <v>42368</v>
      </c>
      <c r="B15" s="249">
        <v>90.94</v>
      </c>
      <c r="D15" s="172"/>
      <c r="G15" s="81">
        <v>42369</v>
      </c>
      <c r="H15" s="82">
        <v>294.10000000000002</v>
      </c>
      <c r="I15" s="173"/>
      <c r="J15" s="77"/>
      <c r="K15" s="174"/>
    </row>
    <row r="16" spans="1:19" ht="18" thickBot="1">
      <c r="A16" s="248">
        <v>42370</v>
      </c>
      <c r="B16" s="249">
        <v>91.05</v>
      </c>
      <c r="C16" s="47">
        <f>B16/B15-1</f>
        <v>1.2095887398284599E-3</v>
      </c>
      <c r="D16" s="172"/>
      <c r="G16" s="81">
        <v>42370</v>
      </c>
      <c r="H16" s="82">
        <v>298.23</v>
      </c>
      <c r="I16" s="173">
        <f t="shared" ref="I16:I79" si="1">H16/H15-1</f>
        <v>1.4042842570554326E-2</v>
      </c>
      <c r="J16" s="77"/>
      <c r="K16" s="174"/>
    </row>
    <row r="17" spans="1:15" ht="18" thickBot="1">
      <c r="A17" s="248">
        <v>42371</v>
      </c>
      <c r="B17" s="249">
        <v>90.82</v>
      </c>
      <c r="C17" s="47">
        <f t="shared" ref="C17:C80" si="2">B17/B16-1</f>
        <v>-2.5260845689182299E-3</v>
      </c>
      <c r="D17" s="175"/>
      <c r="G17" s="81">
        <v>42371</v>
      </c>
      <c r="H17" s="82">
        <v>297.17</v>
      </c>
      <c r="I17" s="173">
        <f t="shared" si="1"/>
        <v>-3.5543037253127352E-3</v>
      </c>
      <c r="J17" s="77"/>
      <c r="K17" s="77"/>
    </row>
    <row r="18" spans="1:15" ht="17.5">
      <c r="A18" s="248">
        <v>42374</v>
      </c>
      <c r="B18" s="249">
        <v>90.63</v>
      </c>
      <c r="C18" s="47">
        <f t="shared" si="2"/>
        <v>-2.0920502092049986E-3</v>
      </c>
      <c r="G18" s="81">
        <v>42374</v>
      </c>
      <c r="H18" s="82">
        <v>294.22000000000003</v>
      </c>
      <c r="I18" s="173">
        <f t="shared" si="1"/>
        <v>-9.9269778241409812E-3</v>
      </c>
      <c r="J18" s="77"/>
      <c r="K18" s="77"/>
      <c r="L18" s="25"/>
      <c r="M18" s="25"/>
      <c r="N18" s="25"/>
      <c r="O18" s="25"/>
    </row>
    <row r="19" spans="1:15" ht="17.5">
      <c r="A19" s="248">
        <v>42375</v>
      </c>
      <c r="B19" s="249">
        <v>90.78</v>
      </c>
      <c r="C19" s="47">
        <f t="shared" si="2"/>
        <v>1.6550810989739428E-3</v>
      </c>
      <c r="G19" s="81">
        <v>42375</v>
      </c>
      <c r="H19" s="82">
        <v>294.75</v>
      </c>
      <c r="I19" s="173">
        <f t="shared" si="1"/>
        <v>1.801373122153338E-3</v>
      </c>
      <c r="J19" s="77"/>
      <c r="K19" s="77"/>
      <c r="L19" s="25"/>
      <c r="M19" s="176"/>
      <c r="N19" s="176"/>
      <c r="O19" s="121"/>
    </row>
    <row r="20" spans="1:15" ht="17.5">
      <c r="A20" s="248">
        <v>42376</v>
      </c>
      <c r="B20" s="249">
        <v>91.01</v>
      </c>
      <c r="C20" s="47">
        <f t="shared" si="2"/>
        <v>2.5335977087463935E-3</v>
      </c>
      <c r="G20" s="81">
        <v>42376</v>
      </c>
      <c r="H20" s="82">
        <v>293.61</v>
      </c>
      <c r="I20" s="173">
        <f t="shared" si="1"/>
        <v>-3.8676844783714914E-3</v>
      </c>
      <c r="J20" s="77"/>
      <c r="K20" s="77"/>
      <c r="L20" s="25"/>
      <c r="M20" s="176"/>
      <c r="N20" s="176"/>
      <c r="O20" s="121"/>
    </row>
    <row r="21" spans="1:15" ht="17.5">
      <c r="A21" s="248">
        <v>42377</v>
      </c>
      <c r="B21" s="249">
        <v>90.95</v>
      </c>
      <c r="C21" s="47">
        <f t="shared" si="2"/>
        <v>-6.592682122843474E-4</v>
      </c>
      <c r="G21" s="81">
        <v>42377</v>
      </c>
      <c r="H21" s="82">
        <v>297.82</v>
      </c>
      <c r="I21" s="173">
        <f t="shared" si="1"/>
        <v>1.4338748680222002E-2</v>
      </c>
      <c r="J21" s="77"/>
      <c r="K21" s="77"/>
      <c r="L21" s="25"/>
      <c r="M21" s="176"/>
      <c r="N21" s="176"/>
      <c r="O21" s="121"/>
    </row>
    <row r="22" spans="1:15" ht="17.5">
      <c r="A22" s="248">
        <v>42378</v>
      </c>
      <c r="B22" s="249">
        <v>90.97</v>
      </c>
      <c r="C22" s="47">
        <f t="shared" si="2"/>
        <v>2.199010445298466E-4</v>
      </c>
      <c r="G22" s="81">
        <v>42378</v>
      </c>
      <c r="H22" s="82">
        <v>298.82</v>
      </c>
      <c r="I22" s="173">
        <f t="shared" si="1"/>
        <v>3.357732858773721E-3</v>
      </c>
      <c r="J22" s="77"/>
      <c r="K22" s="77"/>
      <c r="L22" s="25"/>
      <c r="M22" s="176"/>
      <c r="N22" s="176"/>
      <c r="O22" s="121"/>
    </row>
    <row r="23" spans="1:15" ht="17.5">
      <c r="A23" s="248">
        <v>42381</v>
      </c>
      <c r="B23" s="249">
        <v>91.05</v>
      </c>
      <c r="C23" s="47">
        <f t="shared" si="2"/>
        <v>8.7941079476738793E-4</v>
      </c>
      <c r="G23" s="81">
        <v>42381</v>
      </c>
      <c r="H23" s="82">
        <v>301.32</v>
      </c>
      <c r="I23" s="173">
        <f t="shared" si="1"/>
        <v>8.366240546148207E-3</v>
      </c>
      <c r="J23" s="77"/>
      <c r="K23" s="77"/>
      <c r="L23" s="25"/>
      <c r="M23" s="176"/>
      <c r="N23" s="176"/>
      <c r="O23" s="121"/>
    </row>
    <row r="24" spans="1:15" ht="17.5">
      <c r="A24" s="248">
        <v>42382</v>
      </c>
      <c r="B24" s="249">
        <v>91.03</v>
      </c>
      <c r="C24" s="47">
        <f t="shared" si="2"/>
        <v>-2.1965952773195241E-4</v>
      </c>
      <c r="G24" s="81">
        <v>42382</v>
      </c>
      <c r="H24" s="82">
        <v>301.23</v>
      </c>
      <c r="I24" s="173">
        <f t="shared" si="1"/>
        <v>-2.9868578255665135E-4</v>
      </c>
      <c r="J24" s="77"/>
      <c r="K24" s="77"/>
      <c r="O24" s="121"/>
    </row>
    <row r="25" spans="1:15" ht="17.5">
      <c r="A25" s="248">
        <v>42383</v>
      </c>
      <c r="B25" s="249">
        <v>91.37</v>
      </c>
      <c r="C25" s="47">
        <f t="shared" si="2"/>
        <v>3.7350324068987639E-3</v>
      </c>
      <c r="G25" s="81">
        <v>42383</v>
      </c>
      <c r="H25" s="82">
        <v>300.07</v>
      </c>
      <c r="I25" s="173">
        <f t="shared" si="1"/>
        <v>-3.850878066593677E-3</v>
      </c>
      <c r="J25" s="77"/>
      <c r="K25" s="77"/>
    </row>
    <row r="26" spans="1:15" ht="17.5">
      <c r="A26" s="248">
        <v>42384</v>
      </c>
      <c r="B26" s="249">
        <v>91.56</v>
      </c>
      <c r="C26" s="47">
        <f t="shared" si="2"/>
        <v>2.0794571522382288E-3</v>
      </c>
      <c r="G26" s="81">
        <v>42384</v>
      </c>
      <c r="H26" s="82">
        <v>300.60000000000002</v>
      </c>
      <c r="I26" s="173">
        <f t="shared" si="1"/>
        <v>1.7662545406071928E-3</v>
      </c>
      <c r="J26" s="77"/>
      <c r="K26" s="77"/>
    </row>
    <row r="27" spans="1:15" ht="17.5">
      <c r="A27" s="248">
        <v>42385</v>
      </c>
      <c r="B27" s="249">
        <v>91.45</v>
      </c>
      <c r="C27" s="47">
        <f t="shared" si="2"/>
        <v>-1.2013979903887639E-3</v>
      </c>
      <c r="G27" s="81">
        <v>42385</v>
      </c>
      <c r="H27" s="82">
        <v>302.11</v>
      </c>
      <c r="I27" s="173">
        <f t="shared" si="1"/>
        <v>5.0232867598136721E-3</v>
      </c>
      <c r="J27" s="77"/>
      <c r="K27" s="77"/>
    </row>
    <row r="28" spans="1:15" ht="17.5">
      <c r="A28" s="248">
        <v>42389</v>
      </c>
      <c r="B28" s="249">
        <v>91.37</v>
      </c>
      <c r="C28" s="47">
        <f t="shared" si="2"/>
        <v>-8.7479496992892702E-4</v>
      </c>
      <c r="G28" s="81">
        <v>42388</v>
      </c>
      <c r="H28" s="82">
        <v>301.43</v>
      </c>
      <c r="I28" s="173">
        <f t="shared" si="1"/>
        <v>-2.2508357882891072E-3</v>
      </c>
      <c r="J28" s="77"/>
      <c r="K28" s="77"/>
    </row>
    <row r="29" spans="1:15" ht="17.5">
      <c r="A29" s="248">
        <v>42390</v>
      </c>
      <c r="B29" s="249">
        <v>91.44</v>
      </c>
      <c r="C29" s="47">
        <f t="shared" si="2"/>
        <v>7.6611579292973353E-4</v>
      </c>
      <c r="G29" s="81">
        <v>42389</v>
      </c>
      <c r="H29" s="82">
        <v>296.95</v>
      </c>
      <c r="I29" s="173">
        <f t="shared" si="1"/>
        <v>-1.486248880337071E-2</v>
      </c>
      <c r="J29" s="77"/>
      <c r="K29" s="77"/>
    </row>
    <row r="30" spans="1:15" ht="17.5">
      <c r="A30" s="248">
        <v>42391</v>
      </c>
      <c r="B30" s="249">
        <v>91.23</v>
      </c>
      <c r="C30" s="47">
        <f t="shared" si="2"/>
        <v>-2.2965879265091083E-3</v>
      </c>
      <c r="G30" s="81">
        <v>42390</v>
      </c>
      <c r="H30" s="82">
        <v>298.18</v>
      </c>
      <c r="I30" s="173">
        <f t="shared" si="1"/>
        <v>4.1421114665769476E-3</v>
      </c>
      <c r="J30" s="77"/>
      <c r="K30" s="77"/>
    </row>
    <row r="31" spans="1:15" ht="17.5">
      <c r="A31" s="248">
        <v>42392</v>
      </c>
      <c r="B31" s="249">
        <v>91.11</v>
      </c>
      <c r="C31" s="47">
        <f t="shared" si="2"/>
        <v>-1.3153567905295205E-3</v>
      </c>
      <c r="G31" s="81">
        <v>42391</v>
      </c>
      <c r="H31" s="82">
        <v>295.55</v>
      </c>
      <c r="I31" s="173">
        <f t="shared" si="1"/>
        <v>-8.8201757327788233E-3</v>
      </c>
      <c r="J31" s="77"/>
      <c r="K31" s="77"/>
    </row>
    <row r="32" spans="1:15" ht="17.5">
      <c r="A32" s="248">
        <v>42395</v>
      </c>
      <c r="B32" s="249">
        <v>91</v>
      </c>
      <c r="C32" s="47">
        <f t="shared" si="2"/>
        <v>-1.2073317967292718E-3</v>
      </c>
      <c r="G32" s="81">
        <v>42392</v>
      </c>
      <c r="H32" s="82">
        <v>294.83999999999997</v>
      </c>
      <c r="I32" s="173">
        <f t="shared" si="1"/>
        <v>-2.4023007951278208E-3</v>
      </c>
      <c r="J32" s="77"/>
      <c r="K32" s="77"/>
    </row>
    <row r="33" spans="1:11" ht="17.5">
      <c r="A33" s="248">
        <v>42396</v>
      </c>
      <c r="B33" s="249">
        <v>91.43</v>
      </c>
      <c r="C33" s="47">
        <f t="shared" si="2"/>
        <v>4.7252747252748417E-3</v>
      </c>
      <c r="G33" s="81">
        <v>42395</v>
      </c>
      <c r="H33" s="82">
        <v>290.14</v>
      </c>
      <c r="I33" s="173">
        <f t="shared" si="1"/>
        <v>-1.59408492741826E-2</v>
      </c>
      <c r="J33" s="77"/>
      <c r="K33" s="77"/>
    </row>
    <row r="34" spans="1:11" ht="17.5">
      <c r="A34" s="248">
        <v>42397</v>
      </c>
      <c r="B34" s="249">
        <v>91.85</v>
      </c>
      <c r="C34" s="47">
        <f t="shared" si="2"/>
        <v>4.593678223777653E-3</v>
      </c>
      <c r="G34" s="81">
        <v>42396</v>
      </c>
      <c r="H34" s="82">
        <v>291.14999999999998</v>
      </c>
      <c r="I34" s="173">
        <f t="shared" si="1"/>
        <v>3.4810781002274638E-3</v>
      </c>
      <c r="J34" s="77"/>
      <c r="K34" s="77"/>
    </row>
    <row r="35" spans="1:11" ht="17.5">
      <c r="A35" s="248">
        <v>42398</v>
      </c>
      <c r="B35" s="249">
        <v>91.78</v>
      </c>
      <c r="C35" s="47">
        <f t="shared" si="2"/>
        <v>-7.6211213935761801E-4</v>
      </c>
      <c r="G35" s="81">
        <v>42397</v>
      </c>
      <c r="H35" s="82">
        <v>289.81</v>
      </c>
      <c r="I35" s="173">
        <f t="shared" si="1"/>
        <v>-4.6024386055296684E-3</v>
      </c>
      <c r="J35" s="77"/>
      <c r="K35" s="77"/>
    </row>
    <row r="36" spans="1:11" ht="17.5">
      <c r="A36" s="248">
        <v>42399</v>
      </c>
      <c r="B36" s="249">
        <v>92.06</v>
      </c>
      <c r="C36" s="47">
        <f t="shared" si="2"/>
        <v>3.050773589017286E-3</v>
      </c>
      <c r="G36" s="81">
        <v>42398</v>
      </c>
      <c r="H36" s="82">
        <v>283.39999999999998</v>
      </c>
      <c r="I36" s="173">
        <f t="shared" si="1"/>
        <v>-2.2117939339567405E-2</v>
      </c>
      <c r="J36" s="77"/>
      <c r="K36" s="77"/>
    </row>
    <row r="37" spans="1:11" ht="17.5">
      <c r="A37" s="248">
        <v>42402</v>
      </c>
      <c r="B37" s="249">
        <v>92.04</v>
      </c>
      <c r="C37" s="47">
        <f t="shared" si="2"/>
        <v>-2.172496198131757E-4</v>
      </c>
      <c r="G37" s="81">
        <v>42399</v>
      </c>
      <c r="H37" s="82">
        <v>281.29000000000002</v>
      </c>
      <c r="I37" s="173">
        <f t="shared" si="1"/>
        <v>-7.4453069865912935E-3</v>
      </c>
      <c r="J37" s="77"/>
      <c r="K37" s="77"/>
    </row>
    <row r="38" spans="1:11" ht="17.5">
      <c r="A38" s="248">
        <v>42403</v>
      </c>
      <c r="B38" s="249">
        <v>91.93</v>
      </c>
      <c r="C38" s="47">
        <f t="shared" si="2"/>
        <v>-1.195132551064737E-3</v>
      </c>
      <c r="G38" s="81">
        <v>42402</v>
      </c>
      <c r="H38" s="82">
        <v>279.89999999999998</v>
      </c>
      <c r="I38" s="173">
        <f t="shared" si="1"/>
        <v>-4.9415194283480846E-3</v>
      </c>
      <c r="J38" s="77"/>
      <c r="K38" s="77"/>
    </row>
    <row r="39" spans="1:11" ht="17.5">
      <c r="A39" s="248">
        <v>42404</v>
      </c>
      <c r="B39" s="249">
        <v>91.96</v>
      </c>
      <c r="C39" s="47">
        <f t="shared" si="2"/>
        <v>3.2633525508529715E-4</v>
      </c>
      <c r="G39" s="81">
        <v>42403</v>
      </c>
      <c r="H39" s="82">
        <v>285.89</v>
      </c>
      <c r="I39" s="173">
        <f t="shared" si="1"/>
        <v>2.1400500178635262E-2</v>
      </c>
      <c r="J39" s="77"/>
      <c r="K39" s="77"/>
    </row>
    <row r="40" spans="1:11" ht="17.5">
      <c r="A40" s="248">
        <v>42405</v>
      </c>
      <c r="B40" s="249">
        <v>92.18</v>
      </c>
      <c r="C40" s="47">
        <f t="shared" si="2"/>
        <v>2.3923444976077235E-3</v>
      </c>
      <c r="G40" s="81">
        <v>42404</v>
      </c>
      <c r="H40" s="82">
        <v>287.12</v>
      </c>
      <c r="I40" s="173">
        <f t="shared" si="1"/>
        <v>4.302354052257984E-3</v>
      </c>
      <c r="J40" s="77"/>
      <c r="K40" s="77"/>
    </row>
    <row r="41" spans="1:11" ht="17.5">
      <c r="A41" s="248">
        <v>42406</v>
      </c>
      <c r="B41" s="249">
        <v>92.18</v>
      </c>
      <c r="C41" s="47">
        <f t="shared" si="2"/>
        <v>0</v>
      </c>
      <c r="G41" s="81">
        <v>42405</v>
      </c>
      <c r="H41" s="82">
        <v>289.37</v>
      </c>
      <c r="I41" s="173">
        <f t="shared" si="1"/>
        <v>7.8364446921148634E-3</v>
      </c>
      <c r="J41" s="77"/>
      <c r="K41" s="77"/>
    </row>
    <row r="42" spans="1:11" ht="17.5">
      <c r="A42" s="248">
        <v>42409</v>
      </c>
      <c r="B42" s="249">
        <v>92.2</v>
      </c>
      <c r="C42" s="47">
        <f t="shared" si="2"/>
        <v>2.169668040790107E-4</v>
      </c>
      <c r="G42" s="81">
        <v>42406</v>
      </c>
      <c r="H42" s="82">
        <v>286.83999999999997</v>
      </c>
      <c r="I42" s="173">
        <f t="shared" si="1"/>
        <v>-8.7431316307842177E-3</v>
      </c>
      <c r="J42" s="77"/>
      <c r="K42" s="77"/>
    </row>
    <row r="43" spans="1:11" ht="17.5">
      <c r="A43" s="248">
        <v>42410</v>
      </c>
      <c r="B43" s="249">
        <v>92.16</v>
      </c>
      <c r="C43" s="47">
        <f t="shared" si="2"/>
        <v>-4.3383947939268364E-4</v>
      </c>
      <c r="G43" s="81">
        <v>42409</v>
      </c>
      <c r="H43" s="82">
        <v>285.51</v>
      </c>
      <c r="I43" s="173">
        <f t="shared" si="1"/>
        <v>-4.6367312787616299E-3</v>
      </c>
      <c r="J43" s="77"/>
      <c r="K43" s="77"/>
    </row>
    <row r="44" spans="1:11" ht="17.5">
      <c r="A44" s="248">
        <v>42411</v>
      </c>
      <c r="B44" s="249">
        <v>92.29</v>
      </c>
      <c r="C44" s="47">
        <f t="shared" si="2"/>
        <v>1.4105902777779011E-3</v>
      </c>
      <c r="G44" s="81">
        <v>42410</v>
      </c>
      <c r="H44" s="82">
        <v>288.64</v>
      </c>
      <c r="I44" s="173">
        <f t="shared" si="1"/>
        <v>1.0962838429477095E-2</v>
      </c>
      <c r="J44" s="77"/>
      <c r="K44" s="77"/>
    </row>
    <row r="45" spans="1:11" ht="17.5">
      <c r="A45" s="248">
        <v>42412</v>
      </c>
      <c r="B45" s="249">
        <v>92.32</v>
      </c>
      <c r="C45" s="47">
        <f t="shared" si="2"/>
        <v>3.2506230360795918E-4</v>
      </c>
      <c r="G45" s="81">
        <v>42411</v>
      </c>
      <c r="H45" s="82">
        <v>291.18</v>
      </c>
      <c r="I45" s="173">
        <f t="shared" si="1"/>
        <v>8.7998891352549791E-3</v>
      </c>
      <c r="J45" s="77"/>
      <c r="K45" s="77"/>
    </row>
    <row r="46" spans="1:11" ht="17.5">
      <c r="A46" s="248">
        <v>42413</v>
      </c>
      <c r="B46" s="249">
        <v>92.68</v>
      </c>
      <c r="C46" s="47">
        <f t="shared" si="2"/>
        <v>3.8994800693241682E-3</v>
      </c>
      <c r="G46" s="81">
        <v>42412</v>
      </c>
      <c r="H46" s="82">
        <v>290.33</v>
      </c>
      <c r="I46" s="173">
        <f t="shared" si="1"/>
        <v>-2.9191565354763638E-3</v>
      </c>
      <c r="J46" s="77"/>
      <c r="K46" s="77"/>
    </row>
    <row r="47" spans="1:11" ht="17.5">
      <c r="A47" s="248">
        <v>42417</v>
      </c>
      <c r="B47" s="249">
        <v>92.76</v>
      </c>
      <c r="C47" s="47">
        <f t="shared" si="2"/>
        <v>8.6318515321526235E-4</v>
      </c>
      <c r="G47" s="81">
        <v>42413</v>
      </c>
      <c r="H47" s="82">
        <v>290.05</v>
      </c>
      <c r="I47" s="173">
        <f t="shared" si="1"/>
        <v>-9.6441979816064283E-4</v>
      </c>
      <c r="J47" s="77"/>
      <c r="K47" s="77"/>
    </row>
    <row r="48" spans="1:11" ht="17.5">
      <c r="A48" s="248">
        <v>42418</v>
      </c>
      <c r="B48" s="249">
        <v>92.95</v>
      </c>
      <c r="C48" s="47">
        <f t="shared" si="2"/>
        <v>2.0482966796031565E-3</v>
      </c>
      <c r="G48" s="81">
        <v>42416</v>
      </c>
      <c r="H48" s="82">
        <v>290.75</v>
      </c>
      <c r="I48" s="173">
        <f t="shared" si="1"/>
        <v>2.4133770039647118E-3</v>
      </c>
      <c r="J48" s="77"/>
      <c r="K48" s="77"/>
    </row>
    <row r="49" spans="1:11" ht="17.5">
      <c r="A49" s="248">
        <v>42419</v>
      </c>
      <c r="B49" s="249">
        <v>93</v>
      </c>
      <c r="C49" s="47">
        <f t="shared" si="2"/>
        <v>5.3792361484661377E-4</v>
      </c>
      <c r="G49" s="81">
        <v>42417</v>
      </c>
      <c r="H49" s="82">
        <v>288.17</v>
      </c>
      <c r="I49" s="173">
        <f t="shared" si="1"/>
        <v>-8.8736027515047278E-3</v>
      </c>
      <c r="J49" s="77"/>
      <c r="K49" s="77"/>
    </row>
    <row r="50" spans="1:11" ht="17.5">
      <c r="A50" s="248">
        <v>42420</v>
      </c>
      <c r="B50" s="249">
        <v>93.21</v>
      </c>
      <c r="C50" s="47">
        <f t="shared" si="2"/>
        <v>2.258064516128977E-3</v>
      </c>
      <c r="G50" s="81">
        <v>42418</v>
      </c>
      <c r="H50" s="82">
        <v>290.33</v>
      </c>
      <c r="I50" s="173">
        <f t="shared" si="1"/>
        <v>7.4955755283339087E-3</v>
      </c>
      <c r="J50" s="77"/>
      <c r="K50" s="77"/>
    </row>
    <row r="51" spans="1:11" ht="17.5">
      <c r="A51" s="248">
        <v>42423</v>
      </c>
      <c r="B51" s="249">
        <v>92.8</v>
      </c>
      <c r="C51" s="47">
        <f t="shared" si="2"/>
        <v>-4.3986696706361794E-3</v>
      </c>
      <c r="G51" s="81">
        <v>42419</v>
      </c>
      <c r="H51" s="82">
        <v>288.73</v>
      </c>
      <c r="I51" s="173">
        <f t="shared" si="1"/>
        <v>-5.5109702752039746E-3</v>
      </c>
      <c r="J51" s="77"/>
      <c r="K51" s="77"/>
    </row>
    <row r="52" spans="1:11" ht="17.5">
      <c r="A52" s="248">
        <v>42424</v>
      </c>
      <c r="B52" s="249">
        <v>92.23</v>
      </c>
      <c r="C52" s="47">
        <f t="shared" si="2"/>
        <v>-6.1422413793102981E-3</v>
      </c>
      <c r="G52" s="81">
        <v>42420</v>
      </c>
      <c r="H52" s="82">
        <v>286.58999999999997</v>
      </c>
      <c r="I52" s="173">
        <f t="shared" si="1"/>
        <v>-7.4117687805217436E-3</v>
      </c>
      <c r="J52" s="77"/>
      <c r="K52" s="77"/>
    </row>
    <row r="53" spans="1:11" ht="17.5">
      <c r="A53" s="248">
        <v>42425</v>
      </c>
      <c r="B53" s="249">
        <v>92.18</v>
      </c>
      <c r="C53" s="47">
        <f t="shared" si="2"/>
        <v>-5.4212295348576856E-4</v>
      </c>
      <c r="G53" s="81">
        <v>42423</v>
      </c>
      <c r="H53" s="82">
        <v>280.14</v>
      </c>
      <c r="I53" s="173">
        <f t="shared" si="1"/>
        <v>-2.2506019051606763E-2</v>
      </c>
      <c r="J53" s="77"/>
      <c r="K53" s="77"/>
    </row>
    <row r="54" spans="1:11" ht="17.5">
      <c r="A54" s="248">
        <v>42426</v>
      </c>
      <c r="B54" s="249">
        <v>91.04</v>
      </c>
      <c r="C54" s="47">
        <f t="shared" si="2"/>
        <v>-1.2367107832501611E-2</v>
      </c>
      <c r="G54" s="81">
        <v>42424</v>
      </c>
      <c r="H54" s="82">
        <v>279.68</v>
      </c>
      <c r="I54" s="173">
        <f t="shared" si="1"/>
        <v>-1.6420361247946325E-3</v>
      </c>
      <c r="J54" s="77"/>
      <c r="K54" s="77"/>
    </row>
    <row r="55" spans="1:11" ht="17.5">
      <c r="A55" s="248">
        <v>42427</v>
      </c>
      <c r="B55" s="249">
        <v>90.91</v>
      </c>
      <c r="C55" s="47">
        <f t="shared" si="2"/>
        <v>-1.4279437609843182E-3</v>
      </c>
      <c r="G55" s="81">
        <v>42425</v>
      </c>
      <c r="H55" s="82">
        <v>276.60000000000002</v>
      </c>
      <c r="I55" s="173">
        <f t="shared" si="1"/>
        <v>-1.1012585812356868E-2</v>
      </c>
      <c r="J55" s="77"/>
      <c r="K55" s="77"/>
    </row>
    <row r="56" spans="1:11" ht="17.5">
      <c r="A56" s="248">
        <v>42430</v>
      </c>
      <c r="B56" s="249">
        <v>91.64</v>
      </c>
      <c r="C56" s="47">
        <f t="shared" si="2"/>
        <v>8.0299197008031342E-3</v>
      </c>
      <c r="G56" s="81">
        <v>42426</v>
      </c>
      <c r="H56" s="82">
        <v>273.07</v>
      </c>
      <c r="I56" s="173">
        <f t="shared" si="1"/>
        <v>-1.2762111352133121E-2</v>
      </c>
      <c r="J56" s="77"/>
      <c r="K56" s="77"/>
    </row>
    <row r="57" spans="1:11" ht="17.5">
      <c r="A57" s="248">
        <v>42431</v>
      </c>
      <c r="B57" s="249">
        <v>92.7</v>
      </c>
      <c r="C57" s="47">
        <f t="shared" si="2"/>
        <v>1.1567001309471969E-2</v>
      </c>
      <c r="G57" s="81">
        <v>42427</v>
      </c>
      <c r="H57" s="82">
        <v>266.58999999999997</v>
      </c>
      <c r="I57" s="173">
        <f t="shared" si="1"/>
        <v>-2.3730179074962554E-2</v>
      </c>
      <c r="J57" s="77"/>
      <c r="K57" s="77"/>
    </row>
    <row r="58" spans="1:11" ht="17.5">
      <c r="A58" s="248">
        <v>42432</v>
      </c>
      <c r="B58" s="249">
        <v>93.39</v>
      </c>
      <c r="C58" s="47">
        <f t="shared" si="2"/>
        <v>7.4433656957928473E-3</v>
      </c>
      <c r="G58" s="81">
        <v>42430</v>
      </c>
      <c r="H58" s="82">
        <v>268.94</v>
      </c>
      <c r="I58" s="173">
        <f t="shared" si="1"/>
        <v>8.815034322367854E-3</v>
      </c>
      <c r="J58" s="77"/>
      <c r="K58" s="77"/>
    </row>
    <row r="59" spans="1:11" ht="17.5">
      <c r="A59" s="248">
        <v>42433</v>
      </c>
      <c r="B59" s="249">
        <v>92.57</v>
      </c>
      <c r="C59" s="47">
        <f t="shared" si="2"/>
        <v>-8.7803833386873587E-3</v>
      </c>
      <c r="G59" s="81">
        <v>42431</v>
      </c>
      <c r="H59" s="82">
        <v>272.01</v>
      </c>
      <c r="I59" s="173">
        <f t="shared" si="1"/>
        <v>1.1415185543243833E-2</v>
      </c>
      <c r="J59" s="77"/>
      <c r="K59" s="77"/>
    </row>
    <row r="60" spans="1:11" ht="17.5">
      <c r="A60" s="248">
        <v>42434</v>
      </c>
      <c r="B60" s="249">
        <v>92.19</v>
      </c>
      <c r="C60" s="47">
        <f t="shared" si="2"/>
        <v>-4.1050016203952877E-3</v>
      </c>
      <c r="G60" s="81">
        <v>42432</v>
      </c>
      <c r="H60" s="82">
        <v>273.49</v>
      </c>
      <c r="I60" s="173">
        <f t="shared" si="1"/>
        <v>5.4409764346898815E-3</v>
      </c>
      <c r="J60" s="77"/>
      <c r="K60" s="77"/>
    </row>
    <row r="61" spans="1:11" ht="17.5">
      <c r="A61" s="248">
        <v>42437</v>
      </c>
      <c r="B61" s="249">
        <v>84.72</v>
      </c>
      <c r="C61" s="47">
        <f t="shared" si="2"/>
        <v>-8.1028311096648209E-2</v>
      </c>
      <c r="G61" s="81">
        <v>42433</v>
      </c>
      <c r="H61" s="82">
        <v>273.31</v>
      </c>
      <c r="I61" s="173">
        <f t="shared" si="1"/>
        <v>-6.5815934769097861E-4</v>
      </c>
      <c r="J61" s="77"/>
      <c r="K61" s="77"/>
    </row>
    <row r="62" spans="1:11" ht="17.5">
      <c r="A62" s="248">
        <v>42438</v>
      </c>
      <c r="B62" s="249">
        <v>85.7</v>
      </c>
      <c r="C62" s="47">
        <f t="shared" si="2"/>
        <v>1.1567516525023747E-2</v>
      </c>
      <c r="G62" s="81">
        <v>42434</v>
      </c>
      <c r="H62" s="82">
        <v>266.81</v>
      </c>
      <c r="I62" s="173">
        <f t="shared" si="1"/>
        <v>-2.3782518019831E-2</v>
      </c>
      <c r="J62" s="77"/>
      <c r="K62" s="77"/>
    </row>
    <row r="63" spans="1:11" ht="17.5">
      <c r="A63" s="248">
        <v>42439</v>
      </c>
      <c r="B63" s="249">
        <v>81.819999999999993</v>
      </c>
      <c r="C63" s="47">
        <f t="shared" si="2"/>
        <v>-4.5274212368728195E-2</v>
      </c>
      <c r="G63" s="81">
        <v>42437</v>
      </c>
      <c r="H63" s="82">
        <v>249.58</v>
      </c>
      <c r="I63" s="173">
        <f t="shared" si="1"/>
        <v>-6.4577789438176936E-2</v>
      </c>
      <c r="J63" s="77"/>
      <c r="K63" s="77"/>
    </row>
    <row r="64" spans="1:11" ht="17.5">
      <c r="A64" s="248">
        <v>42440</v>
      </c>
      <c r="B64" s="249">
        <v>77.790000000000006</v>
      </c>
      <c r="C64" s="47">
        <f t="shared" si="2"/>
        <v>-4.9254461011977391E-2</v>
      </c>
      <c r="G64" s="81">
        <v>42438</v>
      </c>
      <c r="H64" s="82">
        <v>253.81</v>
      </c>
      <c r="I64" s="173">
        <f t="shared" si="1"/>
        <v>1.6948473435371314E-2</v>
      </c>
      <c r="J64" s="77"/>
      <c r="K64" s="77"/>
    </row>
    <row r="65" spans="1:11" ht="17.5">
      <c r="A65" s="248">
        <v>42441</v>
      </c>
      <c r="B65" s="249">
        <v>80</v>
      </c>
      <c r="C65" s="47">
        <f t="shared" si="2"/>
        <v>2.8409821313793548E-2</v>
      </c>
      <c r="G65" s="81">
        <v>42439</v>
      </c>
      <c r="H65" s="82">
        <v>249.68</v>
      </c>
      <c r="I65" s="173">
        <f t="shared" si="1"/>
        <v>-1.6272014499034704E-2</v>
      </c>
      <c r="J65" s="77"/>
      <c r="K65" s="77"/>
    </row>
    <row r="66" spans="1:11" ht="17.5">
      <c r="A66" s="248">
        <v>42444</v>
      </c>
      <c r="B66" s="249">
        <v>76.31</v>
      </c>
      <c r="C66" s="47">
        <f t="shared" si="2"/>
        <v>-4.6124999999999972E-2</v>
      </c>
      <c r="G66" s="81">
        <v>42440</v>
      </c>
      <c r="H66" s="82">
        <v>232.06</v>
      </c>
      <c r="I66" s="173">
        <f t="shared" si="1"/>
        <v>-7.057033002242874E-2</v>
      </c>
      <c r="J66" s="77"/>
      <c r="K66" s="77"/>
    </row>
    <row r="67" spans="1:11" ht="17.5">
      <c r="A67" s="248">
        <v>42445</v>
      </c>
      <c r="B67" s="249">
        <v>75.56</v>
      </c>
      <c r="C67" s="47">
        <f t="shared" si="2"/>
        <v>-9.8283318044817269E-3</v>
      </c>
      <c r="G67" s="81">
        <v>42441</v>
      </c>
      <c r="H67" s="82">
        <v>234.96</v>
      </c>
      <c r="I67" s="173">
        <f t="shared" si="1"/>
        <v>1.2496768077221443E-2</v>
      </c>
      <c r="J67" s="77"/>
      <c r="K67" s="77"/>
    </row>
    <row r="68" spans="1:11" ht="17.5">
      <c r="A68" s="248">
        <v>42446</v>
      </c>
      <c r="B68" s="249">
        <v>68.599999999999994</v>
      </c>
      <c r="C68" s="47">
        <f t="shared" si="2"/>
        <v>-9.2112228692429965E-2</v>
      </c>
      <c r="G68" s="81">
        <v>42444</v>
      </c>
      <c r="H68" s="82">
        <v>218.98</v>
      </c>
      <c r="I68" s="173">
        <f t="shared" si="1"/>
        <v>-6.8011576438542831E-2</v>
      </c>
      <c r="J68" s="77"/>
      <c r="K68" s="77"/>
    </row>
    <row r="69" spans="1:11" ht="17.5">
      <c r="A69" s="248">
        <v>42447</v>
      </c>
      <c r="B69" s="249">
        <v>70.34</v>
      </c>
      <c r="C69" s="47">
        <f t="shared" si="2"/>
        <v>2.5364431486880612E-2</v>
      </c>
      <c r="G69" s="81">
        <v>42445</v>
      </c>
      <c r="H69" s="82">
        <v>217.76</v>
      </c>
      <c r="I69" s="173">
        <f t="shared" si="1"/>
        <v>-5.5712850488629506E-3</v>
      </c>
      <c r="J69" s="77"/>
      <c r="K69" s="77"/>
    </row>
    <row r="70" spans="1:11" ht="17.5">
      <c r="A70" s="248">
        <v>42448</v>
      </c>
      <c r="B70" s="249">
        <v>72.83</v>
      </c>
      <c r="C70" s="47">
        <f t="shared" si="2"/>
        <v>3.539948820017047E-2</v>
      </c>
      <c r="G70" s="81">
        <v>42446</v>
      </c>
      <c r="H70" s="82">
        <v>207.3</v>
      </c>
      <c r="I70" s="173">
        <f t="shared" si="1"/>
        <v>-4.8034533431300375E-2</v>
      </c>
      <c r="J70" s="77"/>
      <c r="K70" s="77"/>
    </row>
    <row r="71" spans="1:11" ht="17.5">
      <c r="A71" s="248">
        <v>42451</v>
      </c>
      <c r="B71" s="249">
        <v>73.040000000000006</v>
      </c>
      <c r="C71" s="47">
        <f t="shared" si="2"/>
        <v>2.883427159137808E-3</v>
      </c>
      <c r="G71" s="81">
        <v>42447</v>
      </c>
      <c r="H71" s="82">
        <v>203.35</v>
      </c>
      <c r="I71" s="173">
        <f t="shared" si="1"/>
        <v>-1.9054510371442457E-2</v>
      </c>
      <c r="J71" s="77"/>
      <c r="K71" s="77"/>
    </row>
    <row r="72" spans="1:11" ht="17.5">
      <c r="A72" s="248">
        <v>42452</v>
      </c>
      <c r="B72" s="249">
        <v>75.319999999999993</v>
      </c>
      <c r="C72" s="47">
        <f t="shared" si="2"/>
        <v>3.1215772179627344E-2</v>
      </c>
      <c r="G72" s="81">
        <v>42448</v>
      </c>
      <c r="H72" s="82">
        <v>211.43</v>
      </c>
      <c r="I72" s="173">
        <f t="shared" si="1"/>
        <v>3.9734447996065958E-2</v>
      </c>
      <c r="J72" s="77"/>
      <c r="K72" s="77"/>
    </row>
    <row r="73" spans="1:11" ht="17.5">
      <c r="A73" s="248">
        <v>42453</v>
      </c>
      <c r="B73" s="249">
        <v>78.34</v>
      </c>
      <c r="C73" s="47">
        <f t="shared" si="2"/>
        <v>4.0095592140201974E-2</v>
      </c>
      <c r="G73" s="81">
        <v>42451</v>
      </c>
      <c r="H73" s="82">
        <v>199.71</v>
      </c>
      <c r="I73" s="173">
        <f t="shared" si="1"/>
        <v>-5.5432057891500741E-2</v>
      </c>
      <c r="J73" s="77"/>
      <c r="K73" s="77"/>
    </row>
    <row r="74" spans="1:11" ht="17.5">
      <c r="A74" s="248">
        <v>42454</v>
      </c>
      <c r="B74" s="249">
        <v>79.63</v>
      </c>
      <c r="C74" s="47">
        <f t="shared" si="2"/>
        <v>1.6466683686494621E-2</v>
      </c>
      <c r="G74" s="81">
        <v>42452</v>
      </c>
      <c r="H74" s="82">
        <v>209.4</v>
      </c>
      <c r="I74" s="173">
        <f t="shared" si="1"/>
        <v>4.852035451404535E-2</v>
      </c>
      <c r="J74" s="77"/>
      <c r="K74" s="77"/>
    </row>
    <row r="75" spans="1:11" ht="17.5">
      <c r="A75" s="248">
        <v>42455</v>
      </c>
      <c r="B75" s="249">
        <v>77.989999999999995</v>
      </c>
      <c r="C75" s="47">
        <f t="shared" si="2"/>
        <v>-2.0595253045334716E-2</v>
      </c>
      <c r="G75" s="81">
        <v>42453</v>
      </c>
      <c r="H75" s="82">
        <v>217.72</v>
      </c>
      <c r="I75" s="173">
        <f t="shared" si="1"/>
        <v>3.973256924546309E-2</v>
      </c>
      <c r="J75" s="77"/>
      <c r="K75" s="77"/>
    </row>
    <row r="76" spans="1:11" ht="17.5">
      <c r="A76" s="248">
        <v>42458</v>
      </c>
      <c r="B76" s="249">
        <v>77.89</v>
      </c>
      <c r="C76" s="47">
        <f t="shared" si="2"/>
        <v>-1.2822156686753683E-3</v>
      </c>
      <c r="G76" s="81">
        <v>42454</v>
      </c>
      <c r="H76" s="82">
        <v>222.85</v>
      </c>
      <c r="I76" s="173">
        <f t="shared" si="1"/>
        <v>2.3562373690979133E-2</v>
      </c>
      <c r="J76" s="77"/>
      <c r="K76" s="77"/>
    </row>
    <row r="77" spans="1:11" ht="17.5">
      <c r="A77" s="248">
        <v>42459</v>
      </c>
      <c r="B77" s="249">
        <v>77.3</v>
      </c>
      <c r="C77" s="47">
        <f t="shared" si="2"/>
        <v>-7.5747849531391243E-3</v>
      </c>
      <c r="G77" s="81">
        <v>42455</v>
      </c>
      <c r="H77" s="82">
        <v>219.58</v>
      </c>
      <c r="I77" s="173">
        <f t="shared" si="1"/>
        <v>-1.4673547229077766E-2</v>
      </c>
      <c r="J77" s="77"/>
      <c r="K77" s="77"/>
    </row>
    <row r="78" spans="1:11" ht="17.5">
      <c r="A78" s="248">
        <v>42460</v>
      </c>
      <c r="B78" s="249">
        <v>75.349999999999994</v>
      </c>
      <c r="C78" s="47">
        <f t="shared" si="2"/>
        <v>-2.5226390685640365E-2</v>
      </c>
      <c r="G78" s="81">
        <v>42458</v>
      </c>
      <c r="H78" s="82">
        <v>216.78</v>
      </c>
      <c r="I78" s="173">
        <f t="shared" si="1"/>
        <v>-1.2751616722834536E-2</v>
      </c>
      <c r="J78" s="77"/>
      <c r="K78" s="77"/>
    </row>
    <row r="79" spans="1:11" ht="17.5">
      <c r="A79" s="248">
        <v>42461</v>
      </c>
      <c r="B79" s="249">
        <v>76.900000000000006</v>
      </c>
      <c r="C79" s="47">
        <f t="shared" si="2"/>
        <v>2.0570670205706909E-2</v>
      </c>
      <c r="G79" s="81">
        <v>42459</v>
      </c>
      <c r="H79" s="82">
        <v>220.78</v>
      </c>
      <c r="I79" s="173">
        <f t="shared" si="1"/>
        <v>1.8451886705415532E-2</v>
      </c>
      <c r="J79" s="77"/>
      <c r="K79" s="77"/>
    </row>
    <row r="80" spans="1:11" ht="17.5">
      <c r="A80" s="248">
        <v>42462</v>
      </c>
      <c r="B80" s="249">
        <v>76.760000000000005</v>
      </c>
      <c r="C80" s="47">
        <f t="shared" si="2"/>
        <v>-1.8205461638491904E-3</v>
      </c>
      <c r="G80" s="81">
        <v>42460</v>
      </c>
      <c r="H80" s="82">
        <v>216.35</v>
      </c>
      <c r="I80" s="173">
        <f t="shared" ref="I80:I143" si="3">H80/H79-1</f>
        <v>-2.0065223299211898E-2</v>
      </c>
      <c r="J80" s="77"/>
      <c r="K80" s="77"/>
    </row>
    <row r="81" spans="1:11" ht="17.5">
      <c r="A81" s="248">
        <v>42465</v>
      </c>
      <c r="B81" s="249">
        <v>78.31</v>
      </c>
      <c r="C81" s="47">
        <f t="shared" ref="C81:C144" si="4">B81/B80-1</f>
        <v>2.0192808754559533E-2</v>
      </c>
      <c r="G81" s="81">
        <v>42461</v>
      </c>
      <c r="H81" s="82">
        <v>218.73</v>
      </c>
      <c r="I81" s="173">
        <f t="shared" si="3"/>
        <v>1.1000693321007615E-2</v>
      </c>
      <c r="J81" s="77"/>
      <c r="K81" s="77"/>
    </row>
    <row r="82" spans="1:11" ht="17.5">
      <c r="A82" s="248">
        <v>42466</v>
      </c>
      <c r="B82" s="249">
        <v>78.760000000000005</v>
      </c>
      <c r="C82" s="47">
        <f t="shared" si="4"/>
        <v>5.7463925424594553E-3</v>
      </c>
      <c r="G82" s="81">
        <v>42462</v>
      </c>
      <c r="H82" s="82">
        <v>216.77</v>
      </c>
      <c r="I82" s="173">
        <f t="shared" si="3"/>
        <v>-8.9608192749049964E-3</v>
      </c>
      <c r="J82" s="77"/>
      <c r="K82" s="77"/>
    </row>
    <row r="83" spans="1:11" ht="17.5">
      <c r="A83" s="248">
        <v>42467</v>
      </c>
      <c r="B83" s="249">
        <v>79.099999999999994</v>
      </c>
      <c r="C83" s="47">
        <f t="shared" si="4"/>
        <v>4.3169121381410047E-3</v>
      </c>
      <c r="G83" s="81">
        <v>42465</v>
      </c>
      <c r="H83" s="82">
        <v>221.78</v>
      </c>
      <c r="I83" s="173">
        <f t="shared" si="3"/>
        <v>2.3112054251049452E-2</v>
      </c>
      <c r="J83" s="77"/>
      <c r="K83" s="77"/>
    </row>
    <row r="84" spans="1:11" ht="17.5">
      <c r="A84" s="248">
        <v>42468</v>
      </c>
      <c r="B84" s="249">
        <v>81.38</v>
      </c>
      <c r="C84" s="47">
        <f t="shared" si="4"/>
        <v>2.8824273072060702E-2</v>
      </c>
      <c r="G84" s="81">
        <v>42466</v>
      </c>
      <c r="H84" s="82">
        <v>228.48</v>
      </c>
      <c r="I84" s="173">
        <f t="shared" si="3"/>
        <v>3.021011813508867E-2</v>
      </c>
      <c r="J84" s="77"/>
      <c r="K84" s="77"/>
    </row>
    <row r="85" spans="1:11" ht="17.5">
      <c r="A85" s="248">
        <v>42472</v>
      </c>
      <c r="B85" s="249">
        <v>81.22</v>
      </c>
      <c r="C85" s="47">
        <f t="shared" si="4"/>
        <v>-1.9660850331776336E-3</v>
      </c>
      <c r="G85" s="81">
        <v>42467</v>
      </c>
      <c r="H85" s="82">
        <v>227.95</v>
      </c>
      <c r="I85" s="173">
        <f t="shared" si="3"/>
        <v>-2.3196778711485067E-3</v>
      </c>
      <c r="J85" s="77"/>
      <c r="K85" s="77"/>
    </row>
    <row r="86" spans="1:11" ht="17.5">
      <c r="A86" s="248">
        <v>42473</v>
      </c>
      <c r="B86" s="249">
        <v>81.75</v>
      </c>
      <c r="C86" s="47">
        <f t="shared" si="4"/>
        <v>6.5254863334154312E-3</v>
      </c>
      <c r="G86" s="81">
        <v>42468</v>
      </c>
      <c r="H86" s="82">
        <v>231.52</v>
      </c>
      <c r="I86" s="173">
        <f t="shared" si="3"/>
        <v>1.5661329238868316E-2</v>
      </c>
      <c r="J86" s="77"/>
      <c r="K86" s="77"/>
    </row>
    <row r="87" spans="1:11" ht="17.5">
      <c r="A87" s="248">
        <v>42474</v>
      </c>
      <c r="B87" s="249">
        <v>80.13</v>
      </c>
      <c r="C87" s="47">
        <f t="shared" si="4"/>
        <v>-1.981651376146798E-2</v>
      </c>
      <c r="G87" s="81">
        <v>42469</v>
      </c>
      <c r="H87" s="82">
        <v>231.6</v>
      </c>
      <c r="I87" s="173">
        <f t="shared" si="3"/>
        <v>3.4554250172758039E-4</v>
      </c>
      <c r="J87" s="77"/>
      <c r="K87" s="77"/>
    </row>
    <row r="88" spans="1:11" ht="17.5">
      <c r="A88" s="248">
        <v>42475</v>
      </c>
      <c r="B88" s="249">
        <v>79.61</v>
      </c>
      <c r="C88" s="47">
        <f t="shared" si="4"/>
        <v>-6.4894546362160854E-3</v>
      </c>
      <c r="G88" s="81">
        <v>42472</v>
      </c>
      <c r="H88" s="82">
        <v>230.69</v>
      </c>
      <c r="I88" s="173">
        <f t="shared" si="3"/>
        <v>-3.9291882556130586E-3</v>
      </c>
      <c r="J88" s="77"/>
      <c r="K88" s="77"/>
    </row>
    <row r="89" spans="1:11" ht="17.5">
      <c r="A89" s="248">
        <v>42476</v>
      </c>
      <c r="B89" s="249">
        <v>80.17</v>
      </c>
      <c r="C89" s="47">
        <f t="shared" si="4"/>
        <v>7.034292174350032E-3</v>
      </c>
      <c r="G89" s="81">
        <v>42473</v>
      </c>
      <c r="H89" s="82">
        <v>233.98</v>
      </c>
      <c r="I89" s="173">
        <f t="shared" si="3"/>
        <v>1.4261563136676925E-2</v>
      </c>
      <c r="J89" s="77"/>
      <c r="K89" s="77"/>
    </row>
    <row r="90" spans="1:11" ht="17.5">
      <c r="A90" s="248">
        <v>42479</v>
      </c>
      <c r="B90" s="249">
        <v>79.67</v>
      </c>
      <c r="C90" s="47">
        <f t="shared" si="4"/>
        <v>-6.236746912810287E-3</v>
      </c>
      <c r="G90" s="81">
        <v>42474</v>
      </c>
      <c r="H90" s="82">
        <v>231.54</v>
      </c>
      <c r="I90" s="173">
        <f t="shared" si="3"/>
        <v>-1.0428241730062404E-2</v>
      </c>
      <c r="J90" s="77"/>
      <c r="K90" s="77"/>
    </row>
    <row r="91" spans="1:11" ht="17.5">
      <c r="A91" s="248">
        <v>42480</v>
      </c>
      <c r="B91" s="249">
        <v>78.55</v>
      </c>
      <c r="C91" s="47">
        <f t="shared" si="4"/>
        <v>-1.4057989205472632E-2</v>
      </c>
      <c r="G91" s="81">
        <v>42475</v>
      </c>
      <c r="H91" s="82">
        <v>230.99</v>
      </c>
      <c r="I91" s="173">
        <f t="shared" si="3"/>
        <v>-2.3753994990065586E-3</v>
      </c>
      <c r="J91" s="77"/>
      <c r="K91" s="77"/>
    </row>
    <row r="92" spans="1:11" ht="17.5">
      <c r="A92" s="248">
        <v>42481</v>
      </c>
      <c r="B92" s="249">
        <v>78.61</v>
      </c>
      <c r="C92" s="47">
        <f t="shared" si="4"/>
        <v>7.6384468491408342E-4</v>
      </c>
      <c r="G92" s="81">
        <v>42476</v>
      </c>
      <c r="H92" s="82">
        <v>234.23</v>
      </c>
      <c r="I92" s="173">
        <f t="shared" si="3"/>
        <v>1.4026581237282842E-2</v>
      </c>
      <c r="J92" s="77"/>
      <c r="K92" s="77"/>
    </row>
    <row r="93" spans="1:11" ht="17.5">
      <c r="A93" s="248">
        <v>42482</v>
      </c>
      <c r="B93" s="249">
        <v>78.989999999999995</v>
      </c>
      <c r="C93" s="47">
        <f t="shared" si="4"/>
        <v>4.8339905864394073E-3</v>
      </c>
      <c r="G93" s="81">
        <v>42479</v>
      </c>
      <c r="H93" s="82">
        <v>234.47</v>
      </c>
      <c r="I93" s="173">
        <f t="shared" si="3"/>
        <v>1.0246339068438193E-3</v>
      </c>
      <c r="J93" s="77"/>
      <c r="K93" s="77"/>
    </row>
    <row r="94" spans="1:11" ht="17.5">
      <c r="A94" s="248">
        <v>42483</v>
      </c>
      <c r="B94" s="249">
        <v>78.650000000000006</v>
      </c>
      <c r="C94" s="47">
        <f t="shared" si="4"/>
        <v>-4.3043423218127597E-3</v>
      </c>
      <c r="G94" s="81">
        <v>42480</v>
      </c>
      <c r="H94" s="82">
        <v>228.79</v>
      </c>
      <c r="I94" s="173">
        <f t="shared" si="3"/>
        <v>-2.4224847528468541E-2</v>
      </c>
      <c r="J94" s="77"/>
      <c r="K94" s="77"/>
    </row>
    <row r="95" spans="1:11" ht="17.5">
      <c r="A95" s="248">
        <v>42486</v>
      </c>
      <c r="B95" s="249">
        <v>78.510000000000005</v>
      </c>
      <c r="C95" s="47">
        <f t="shared" si="4"/>
        <v>-1.780038143674556E-3</v>
      </c>
      <c r="G95" s="81">
        <v>42481</v>
      </c>
      <c r="H95" s="82">
        <v>231.59</v>
      </c>
      <c r="I95" s="173">
        <f t="shared" si="3"/>
        <v>1.223829712837099E-2</v>
      </c>
      <c r="J95" s="77"/>
      <c r="K95" s="77"/>
    </row>
    <row r="96" spans="1:11" ht="17.5">
      <c r="A96" s="248">
        <v>42487</v>
      </c>
      <c r="B96" s="249">
        <v>79.28</v>
      </c>
      <c r="C96" s="47">
        <f t="shared" si="4"/>
        <v>9.8076678130174511E-3</v>
      </c>
      <c r="G96" s="81">
        <v>42482</v>
      </c>
      <c r="H96" s="82">
        <v>232.52</v>
      </c>
      <c r="I96" s="173">
        <f t="shared" si="3"/>
        <v>4.0157174316679534E-3</v>
      </c>
      <c r="J96" s="77"/>
      <c r="K96" s="77"/>
    </row>
    <row r="97" spans="1:11" ht="17.5">
      <c r="A97" s="248">
        <v>42488</v>
      </c>
      <c r="B97" s="249">
        <v>80.55</v>
      </c>
      <c r="C97" s="47">
        <f t="shared" si="4"/>
        <v>1.6019172552976801E-2</v>
      </c>
      <c r="G97" s="81">
        <v>42483</v>
      </c>
      <c r="H97" s="82">
        <v>229.45</v>
      </c>
      <c r="I97" s="173">
        <f t="shared" si="3"/>
        <v>-1.3203165319112475E-2</v>
      </c>
      <c r="J97" s="77"/>
      <c r="K97" s="77"/>
    </row>
    <row r="98" spans="1:11" ht="17.5">
      <c r="A98" s="248">
        <v>42489</v>
      </c>
      <c r="B98" s="249">
        <v>80.69</v>
      </c>
      <c r="C98" s="47">
        <f t="shared" si="4"/>
        <v>1.7380509000621824E-3</v>
      </c>
      <c r="G98" s="81">
        <v>42486</v>
      </c>
      <c r="H98" s="82">
        <v>233.3</v>
      </c>
      <c r="I98" s="173">
        <f t="shared" si="3"/>
        <v>1.6779254739594851E-2</v>
      </c>
      <c r="J98" s="77"/>
      <c r="K98" s="77"/>
    </row>
    <row r="99" spans="1:11" ht="17.5">
      <c r="A99" s="248">
        <v>42490</v>
      </c>
      <c r="B99" s="249">
        <v>80.349999999999994</v>
      </c>
      <c r="C99" s="47">
        <f t="shared" si="4"/>
        <v>-4.2136572065931688E-3</v>
      </c>
      <c r="G99" s="81">
        <v>42487</v>
      </c>
      <c r="H99" s="82">
        <v>235.31</v>
      </c>
      <c r="I99" s="173">
        <f t="shared" si="3"/>
        <v>8.6155165023573677E-3</v>
      </c>
      <c r="J99" s="77"/>
      <c r="K99" s="77"/>
    </row>
    <row r="100" spans="1:11" ht="17.5">
      <c r="A100" s="248">
        <v>42493</v>
      </c>
      <c r="B100" s="249">
        <v>80.349999999999994</v>
      </c>
      <c r="C100" s="47">
        <f t="shared" si="4"/>
        <v>0</v>
      </c>
      <c r="G100" s="81">
        <v>42488</v>
      </c>
      <c r="H100" s="82">
        <v>239.9</v>
      </c>
      <c r="I100" s="173">
        <f t="shared" si="3"/>
        <v>1.9506183332625104E-2</v>
      </c>
      <c r="J100" s="77"/>
      <c r="K100" s="77"/>
    </row>
    <row r="101" spans="1:11" ht="17.5">
      <c r="A101" s="248">
        <v>42494</v>
      </c>
      <c r="B101" s="249">
        <v>81.22</v>
      </c>
      <c r="C101" s="47">
        <f t="shared" si="4"/>
        <v>1.0827629122588833E-2</v>
      </c>
      <c r="G101" s="81">
        <v>42489</v>
      </c>
      <c r="H101" s="82">
        <v>241.39</v>
      </c>
      <c r="I101" s="173">
        <f t="shared" si="3"/>
        <v>6.2109212171737038E-3</v>
      </c>
      <c r="J101" s="77"/>
      <c r="K101" s="77"/>
    </row>
    <row r="102" spans="1:11" ht="17.5">
      <c r="A102" s="248">
        <v>42495</v>
      </c>
      <c r="B102" s="249">
        <v>80.86</v>
      </c>
      <c r="C102" s="47">
        <f t="shared" si="4"/>
        <v>-4.4324058113764941E-3</v>
      </c>
      <c r="G102" s="81">
        <v>42490</v>
      </c>
      <c r="H102" s="82">
        <v>239.2</v>
      </c>
      <c r="I102" s="173">
        <f t="shared" si="3"/>
        <v>-9.0724553626910787E-3</v>
      </c>
      <c r="J102" s="77"/>
      <c r="K102" s="77"/>
    </row>
    <row r="103" spans="1:11" ht="17.5">
      <c r="A103" s="248">
        <v>42496</v>
      </c>
      <c r="B103" s="249">
        <v>81.510000000000005</v>
      </c>
      <c r="C103" s="47">
        <f t="shared" si="4"/>
        <v>8.0385852090032461E-3</v>
      </c>
      <c r="G103" s="81">
        <v>42493</v>
      </c>
      <c r="H103" s="82">
        <v>232.15</v>
      </c>
      <c r="I103" s="173">
        <f t="shared" si="3"/>
        <v>-2.9473244147157129E-2</v>
      </c>
      <c r="J103" s="77"/>
      <c r="K103" s="77"/>
    </row>
    <row r="104" spans="1:11" ht="17.5">
      <c r="A104" s="248">
        <v>42497</v>
      </c>
      <c r="B104" s="249">
        <v>81.93</v>
      </c>
      <c r="C104" s="47">
        <f t="shared" si="4"/>
        <v>5.1527419948473874E-3</v>
      </c>
      <c r="G104" s="81">
        <v>42494</v>
      </c>
      <c r="H104" s="82">
        <v>234.39</v>
      </c>
      <c r="I104" s="173">
        <f t="shared" si="3"/>
        <v>9.6489338789573775E-3</v>
      </c>
      <c r="J104" s="77"/>
      <c r="K104" s="77"/>
    </row>
    <row r="105" spans="1:11" ht="17.5">
      <c r="A105" s="248">
        <v>42500</v>
      </c>
      <c r="B105" s="249">
        <v>82.38</v>
      </c>
      <c r="C105" s="47">
        <f t="shared" si="4"/>
        <v>5.492493592090586E-3</v>
      </c>
      <c r="G105" s="81">
        <v>42495</v>
      </c>
      <c r="H105" s="82">
        <v>234.83</v>
      </c>
      <c r="I105" s="173">
        <f t="shared" si="3"/>
        <v>1.8772131916890977E-3</v>
      </c>
      <c r="J105" s="77"/>
      <c r="K105" s="77"/>
    </row>
    <row r="106" spans="1:11" ht="17.5">
      <c r="A106" s="248">
        <v>42501</v>
      </c>
      <c r="B106" s="249">
        <v>82.22</v>
      </c>
      <c r="C106" s="47">
        <f t="shared" si="4"/>
        <v>-1.9422189851905358E-3</v>
      </c>
      <c r="G106" s="81">
        <v>42496</v>
      </c>
      <c r="H106" s="82">
        <v>234.54</v>
      </c>
      <c r="I106" s="173">
        <f t="shared" si="3"/>
        <v>-1.2349359110847002E-3</v>
      </c>
      <c r="J106" s="77"/>
      <c r="K106" s="77"/>
    </row>
    <row r="107" spans="1:11" ht="17.5">
      <c r="A107" s="248">
        <v>42502</v>
      </c>
      <c r="B107" s="249">
        <v>81.73</v>
      </c>
      <c r="C107" s="47">
        <f t="shared" si="4"/>
        <v>-5.9596205302845373E-3</v>
      </c>
      <c r="G107" s="81">
        <v>42497</v>
      </c>
      <c r="H107" s="82">
        <v>238.3</v>
      </c>
      <c r="I107" s="173">
        <f t="shared" si="3"/>
        <v>1.6031380574742071E-2</v>
      </c>
      <c r="J107" s="77"/>
      <c r="K107" s="77"/>
    </row>
    <row r="108" spans="1:11" ht="17.5">
      <c r="A108" s="248">
        <v>42503</v>
      </c>
      <c r="B108" s="249">
        <v>82.11</v>
      </c>
      <c r="C108" s="47">
        <f t="shared" si="4"/>
        <v>4.6494555242873048E-3</v>
      </c>
      <c r="G108" s="81">
        <v>42500</v>
      </c>
      <c r="H108" s="82">
        <v>239.36</v>
      </c>
      <c r="I108" s="173">
        <f t="shared" si="3"/>
        <v>4.4481745698699005E-3</v>
      </c>
      <c r="J108" s="77"/>
      <c r="K108" s="77"/>
    </row>
    <row r="109" spans="1:11" ht="17.5">
      <c r="A109" s="248">
        <v>42504</v>
      </c>
      <c r="B109" s="249">
        <v>82.34</v>
      </c>
      <c r="C109" s="47">
        <f t="shared" si="4"/>
        <v>2.8011204481792618E-3</v>
      </c>
      <c r="G109" s="81">
        <v>42501</v>
      </c>
      <c r="H109" s="82">
        <v>237.97</v>
      </c>
      <c r="I109" s="173">
        <f t="shared" si="3"/>
        <v>-5.8071524064171598E-3</v>
      </c>
      <c r="J109" s="77"/>
      <c r="K109" s="77"/>
    </row>
    <row r="110" spans="1:11" ht="17.5">
      <c r="A110" s="248">
        <v>42507</v>
      </c>
      <c r="B110" s="249">
        <v>83.77</v>
      </c>
      <c r="C110" s="47">
        <f t="shared" si="4"/>
        <v>1.7367014816613846E-2</v>
      </c>
      <c r="G110" s="81">
        <v>42502</v>
      </c>
      <c r="H110" s="82">
        <v>237.79</v>
      </c>
      <c r="I110" s="173">
        <f t="shared" si="3"/>
        <v>-7.5639786527714747E-4</v>
      </c>
      <c r="J110" s="77"/>
      <c r="K110" s="77"/>
    </row>
    <row r="111" spans="1:11" ht="17.5">
      <c r="A111" s="248">
        <v>42508</v>
      </c>
      <c r="B111" s="249">
        <v>83.84</v>
      </c>
      <c r="C111" s="47">
        <f t="shared" si="4"/>
        <v>8.3562134415671174E-4</v>
      </c>
      <c r="G111" s="81">
        <v>42503</v>
      </c>
      <c r="H111" s="82">
        <v>235.7</v>
      </c>
      <c r="I111" s="173">
        <f t="shared" si="3"/>
        <v>-8.7892678413726832E-3</v>
      </c>
      <c r="J111" s="77"/>
      <c r="K111" s="77"/>
    </row>
    <row r="112" spans="1:11" ht="17.5">
      <c r="A112" s="248">
        <v>42509</v>
      </c>
      <c r="B112" s="249">
        <v>85.45</v>
      </c>
      <c r="C112" s="47">
        <f t="shared" si="4"/>
        <v>1.9203244274809128E-2</v>
      </c>
      <c r="G112" s="81">
        <v>42504</v>
      </c>
      <c r="H112" s="82">
        <v>235.82</v>
      </c>
      <c r="I112" s="173">
        <f t="shared" si="3"/>
        <v>5.0912176495554462E-4</v>
      </c>
      <c r="J112" s="77"/>
      <c r="K112" s="77"/>
    </row>
    <row r="113" spans="1:11" ht="17.5">
      <c r="A113" s="248">
        <v>42510</v>
      </c>
      <c r="B113" s="249">
        <v>85.42</v>
      </c>
      <c r="C113" s="47">
        <f t="shared" si="4"/>
        <v>-3.510825043885335E-4</v>
      </c>
      <c r="G113" s="81">
        <v>42507</v>
      </c>
      <c r="H113" s="82">
        <v>238.72</v>
      </c>
      <c r="I113" s="173">
        <f t="shared" si="3"/>
        <v>1.229751505385468E-2</v>
      </c>
      <c r="J113" s="77"/>
      <c r="K113" s="77"/>
    </row>
    <row r="114" spans="1:11" ht="17.5">
      <c r="A114" s="248">
        <v>42511</v>
      </c>
      <c r="B114" s="249">
        <v>85.04</v>
      </c>
      <c r="C114" s="47">
        <f t="shared" si="4"/>
        <v>-4.4486068836337989E-3</v>
      </c>
      <c r="G114" s="81">
        <v>42508</v>
      </c>
      <c r="H114" s="82">
        <v>241.44</v>
      </c>
      <c r="I114" s="173">
        <f t="shared" si="3"/>
        <v>1.1394101876675666E-2</v>
      </c>
      <c r="J114" s="77"/>
      <c r="K114" s="77"/>
    </row>
    <row r="115" spans="1:11" ht="17.5">
      <c r="A115" s="248">
        <v>42515</v>
      </c>
      <c r="B115" s="249">
        <v>85.56</v>
      </c>
      <c r="C115" s="47">
        <f t="shared" si="4"/>
        <v>6.1147695202257157E-3</v>
      </c>
      <c r="G115" s="81">
        <v>42509</v>
      </c>
      <c r="H115" s="82">
        <v>243.25</v>
      </c>
      <c r="I115" s="173">
        <f t="shared" si="3"/>
        <v>7.4966865473824473E-3</v>
      </c>
      <c r="J115" s="77"/>
      <c r="K115" s="77"/>
    </row>
    <row r="116" spans="1:11" ht="17.5">
      <c r="A116" s="248">
        <v>42516</v>
      </c>
      <c r="B116" s="249">
        <v>85.71</v>
      </c>
      <c r="C116" s="47">
        <f t="shared" si="4"/>
        <v>1.7531556802243831E-3</v>
      </c>
      <c r="G116" s="81">
        <v>42510</v>
      </c>
      <c r="H116" s="82">
        <v>242.92</v>
      </c>
      <c r="I116" s="173">
        <f t="shared" si="3"/>
        <v>-1.3566289825283073E-3</v>
      </c>
      <c r="J116" s="77"/>
      <c r="K116" s="77"/>
    </row>
    <row r="117" spans="1:11" ht="17.5">
      <c r="A117" s="248">
        <v>42517</v>
      </c>
      <c r="B117" s="249">
        <v>85.46</v>
      </c>
      <c r="C117" s="47">
        <f t="shared" si="4"/>
        <v>-2.9168125072920326E-3</v>
      </c>
      <c r="G117" s="81">
        <v>42511</v>
      </c>
      <c r="H117" s="82">
        <v>236.81</v>
      </c>
      <c r="I117" s="173">
        <f t="shared" si="3"/>
        <v>-2.515231351885383E-2</v>
      </c>
      <c r="J117" s="77"/>
      <c r="K117" s="77"/>
    </row>
    <row r="118" spans="1:11" ht="17.5">
      <c r="A118" s="248">
        <v>42518</v>
      </c>
      <c r="B118" s="249">
        <v>85.75</v>
      </c>
      <c r="C118" s="47">
        <f t="shared" si="4"/>
        <v>3.3934004212496927E-3</v>
      </c>
      <c r="G118" s="81">
        <v>42514</v>
      </c>
      <c r="H118" s="82">
        <v>238.6</v>
      </c>
      <c r="I118" s="173">
        <f t="shared" si="3"/>
        <v>7.5588024154384925E-3</v>
      </c>
      <c r="J118" s="77"/>
      <c r="K118" s="77"/>
    </row>
    <row r="119" spans="1:11" ht="17.5">
      <c r="A119" s="248">
        <v>42521</v>
      </c>
      <c r="B119" s="249">
        <v>86.17</v>
      </c>
      <c r="C119" s="47">
        <f t="shared" si="4"/>
        <v>4.8979591836735281E-3</v>
      </c>
      <c r="G119" s="81">
        <v>42515</v>
      </c>
      <c r="H119" s="82">
        <v>242.35</v>
      </c>
      <c r="I119" s="173">
        <f t="shared" si="3"/>
        <v>1.5716680637049452E-2</v>
      </c>
      <c r="J119" s="77"/>
      <c r="K119" s="77"/>
    </row>
    <row r="120" spans="1:11" ht="17.5">
      <c r="A120" s="248">
        <v>42522</v>
      </c>
      <c r="B120" s="249">
        <v>87</v>
      </c>
      <c r="C120" s="47">
        <f t="shared" si="4"/>
        <v>9.6321225484508055E-3</v>
      </c>
      <c r="G120" s="81">
        <v>42516</v>
      </c>
      <c r="H120" s="82">
        <v>242.7</v>
      </c>
      <c r="I120" s="173">
        <f t="shared" si="3"/>
        <v>1.4441922838868138E-3</v>
      </c>
      <c r="J120" s="77"/>
      <c r="K120" s="77"/>
    </row>
    <row r="121" spans="1:11" ht="17.5">
      <c r="A121" s="248">
        <v>42523</v>
      </c>
      <c r="B121" s="249">
        <v>87.39</v>
      </c>
      <c r="C121" s="47">
        <f t="shared" si="4"/>
        <v>4.4827586206896974E-3</v>
      </c>
      <c r="G121" s="81">
        <v>42517</v>
      </c>
      <c r="H121" s="82">
        <v>242.42</v>
      </c>
      <c r="I121" s="173">
        <f t="shared" si="3"/>
        <v>-1.1536876802636931E-3</v>
      </c>
      <c r="J121" s="77"/>
      <c r="K121" s="77"/>
    </row>
    <row r="122" spans="1:11" ht="17.5">
      <c r="A122" s="248">
        <v>42524</v>
      </c>
      <c r="B122" s="249">
        <v>86.98</v>
      </c>
      <c r="C122" s="47">
        <f t="shared" si="4"/>
        <v>-4.6916123126214959E-3</v>
      </c>
      <c r="G122" s="81">
        <v>42518</v>
      </c>
      <c r="H122" s="82">
        <v>243.9</v>
      </c>
      <c r="I122" s="173">
        <f t="shared" si="3"/>
        <v>6.1051068393698227E-3</v>
      </c>
      <c r="J122" s="77"/>
      <c r="K122" s="77"/>
    </row>
    <row r="123" spans="1:11" ht="17.5">
      <c r="A123" s="248">
        <v>42525</v>
      </c>
      <c r="B123" s="249">
        <v>87.69</v>
      </c>
      <c r="C123" s="47">
        <f t="shared" si="4"/>
        <v>8.162796045067866E-3</v>
      </c>
      <c r="G123" s="81">
        <v>42521</v>
      </c>
      <c r="H123" s="82">
        <v>249.33</v>
      </c>
      <c r="I123" s="173">
        <f t="shared" si="3"/>
        <v>2.2263222632226354E-2</v>
      </c>
      <c r="J123" s="77"/>
      <c r="K123" s="77"/>
    </row>
    <row r="124" spans="1:11" ht="17.5">
      <c r="A124" s="248">
        <v>42528</v>
      </c>
      <c r="B124" s="249">
        <v>88.31</v>
      </c>
      <c r="C124" s="47">
        <f t="shared" si="4"/>
        <v>7.0703615007412512E-3</v>
      </c>
      <c r="G124" s="81">
        <v>42522</v>
      </c>
      <c r="H124" s="82">
        <v>253.66</v>
      </c>
      <c r="I124" s="173">
        <f t="shared" si="3"/>
        <v>1.7366542333453694E-2</v>
      </c>
      <c r="J124" s="77"/>
      <c r="K124" s="77"/>
    </row>
    <row r="125" spans="1:11" ht="17.5">
      <c r="A125" s="248">
        <v>42529</v>
      </c>
      <c r="B125" s="249">
        <v>88.08</v>
      </c>
      <c r="C125" s="47">
        <f t="shared" si="4"/>
        <v>-2.6044615558826756E-3</v>
      </c>
      <c r="G125" s="81">
        <v>42523</v>
      </c>
      <c r="H125" s="82">
        <v>258.20999999999998</v>
      </c>
      <c r="I125" s="173">
        <f t="shared" si="3"/>
        <v>1.7937396515020021E-2</v>
      </c>
      <c r="J125" s="77"/>
      <c r="K125" s="77"/>
    </row>
    <row r="126" spans="1:11" ht="17.5">
      <c r="A126" s="248">
        <v>42530</v>
      </c>
      <c r="B126" s="249">
        <v>88.09</v>
      </c>
      <c r="C126" s="47">
        <f t="shared" si="4"/>
        <v>1.1353315168038947E-4</v>
      </c>
      <c r="G126" s="81">
        <v>42524</v>
      </c>
      <c r="H126" s="82">
        <v>258.38</v>
      </c>
      <c r="I126" s="173">
        <f t="shared" si="3"/>
        <v>6.5837883892960747E-4</v>
      </c>
      <c r="J126" s="77"/>
      <c r="K126" s="77"/>
    </row>
    <row r="127" spans="1:11" ht="17.5">
      <c r="A127" s="248">
        <v>42531</v>
      </c>
      <c r="B127" s="249">
        <v>86.07</v>
      </c>
      <c r="C127" s="47">
        <f t="shared" si="4"/>
        <v>-2.293109320013631E-2</v>
      </c>
      <c r="G127" s="81">
        <v>42525</v>
      </c>
      <c r="H127" s="82">
        <v>261.85000000000002</v>
      </c>
      <c r="I127" s="173">
        <f t="shared" si="3"/>
        <v>1.3429832030342981E-2</v>
      </c>
      <c r="J127" s="77"/>
      <c r="K127" s="77"/>
    </row>
    <row r="128" spans="1:11" ht="17.5">
      <c r="A128" s="248">
        <v>42532</v>
      </c>
      <c r="B128" s="249">
        <v>87.07</v>
      </c>
      <c r="C128" s="47">
        <f t="shared" si="4"/>
        <v>1.1618450098756838E-2</v>
      </c>
      <c r="G128" s="81">
        <v>42528</v>
      </c>
      <c r="H128" s="82">
        <v>263.39</v>
      </c>
      <c r="I128" s="173">
        <f t="shared" si="3"/>
        <v>5.8812297116668244E-3</v>
      </c>
      <c r="J128" s="77"/>
      <c r="K128" s="77"/>
    </row>
    <row r="129" spans="1:11" ht="17.5">
      <c r="A129" s="248">
        <v>42535</v>
      </c>
      <c r="B129" s="249">
        <v>87.53</v>
      </c>
      <c r="C129" s="47">
        <f t="shared" si="4"/>
        <v>5.2831055472608579E-3</v>
      </c>
      <c r="G129" s="81">
        <v>42529</v>
      </c>
      <c r="H129" s="82">
        <v>263.62</v>
      </c>
      <c r="I129" s="173">
        <f t="shared" si="3"/>
        <v>8.7322981130655286E-4</v>
      </c>
      <c r="J129" s="77"/>
      <c r="K129" s="77"/>
    </row>
    <row r="130" spans="1:11" ht="17.5">
      <c r="A130" s="248">
        <v>42536</v>
      </c>
      <c r="B130" s="249">
        <v>87.94</v>
      </c>
      <c r="C130" s="47">
        <f t="shared" si="4"/>
        <v>4.6841083057236332E-3</v>
      </c>
      <c r="G130" s="81">
        <v>42530</v>
      </c>
      <c r="H130" s="82">
        <v>264.12</v>
      </c>
      <c r="I130" s="173">
        <f t="shared" si="3"/>
        <v>1.8966694484485735E-3</v>
      </c>
      <c r="J130" s="77"/>
      <c r="K130" s="77"/>
    </row>
    <row r="131" spans="1:11" ht="17.5">
      <c r="A131" s="248">
        <v>42537</v>
      </c>
      <c r="B131" s="249">
        <v>87.82</v>
      </c>
      <c r="C131" s="47">
        <f t="shared" si="4"/>
        <v>-1.364566750056917E-3</v>
      </c>
      <c r="G131" s="81">
        <v>42531</v>
      </c>
      <c r="H131" s="82">
        <v>259.01</v>
      </c>
      <c r="I131" s="173">
        <f t="shared" si="3"/>
        <v>-1.9347266394063367E-2</v>
      </c>
      <c r="J131" s="77"/>
      <c r="K131" s="77"/>
    </row>
    <row r="132" spans="1:11" ht="17.5">
      <c r="A132" s="248">
        <v>42538</v>
      </c>
      <c r="B132" s="249">
        <v>87.72</v>
      </c>
      <c r="C132" s="47">
        <f t="shared" si="4"/>
        <v>-1.1386927806876779E-3</v>
      </c>
      <c r="G132" s="81">
        <v>42532</v>
      </c>
      <c r="H132" s="82">
        <v>258.13</v>
      </c>
      <c r="I132" s="173">
        <f t="shared" si="3"/>
        <v>-3.3975522180610396E-3</v>
      </c>
      <c r="J132" s="77"/>
      <c r="K132" s="77"/>
    </row>
    <row r="133" spans="1:11" ht="17.5">
      <c r="A133" s="248">
        <v>42539</v>
      </c>
      <c r="B133" s="249">
        <v>87.92</v>
      </c>
      <c r="C133" s="47">
        <f t="shared" si="4"/>
        <v>2.2799817601459882E-3</v>
      </c>
      <c r="G133" s="81">
        <v>42535</v>
      </c>
      <c r="H133" s="82">
        <v>254.1</v>
      </c>
      <c r="I133" s="173">
        <f t="shared" si="3"/>
        <v>-1.5612288381823158E-2</v>
      </c>
      <c r="J133" s="77"/>
      <c r="K133" s="77"/>
    </row>
    <row r="134" spans="1:11" ht="17.5">
      <c r="A134" s="248">
        <v>42542</v>
      </c>
      <c r="B134" s="249">
        <v>88.07</v>
      </c>
      <c r="C134" s="47">
        <f t="shared" si="4"/>
        <v>1.7060964513193611E-3</v>
      </c>
      <c r="G134" s="81">
        <v>42536</v>
      </c>
      <c r="H134" s="82">
        <v>259.01</v>
      </c>
      <c r="I134" s="173">
        <f t="shared" si="3"/>
        <v>1.9323101141282883E-2</v>
      </c>
      <c r="J134" s="77"/>
      <c r="K134" s="77"/>
    </row>
    <row r="135" spans="1:11" ht="17.5">
      <c r="A135" s="248">
        <v>42543</v>
      </c>
      <c r="B135" s="249">
        <v>88.25</v>
      </c>
      <c r="C135" s="47">
        <f t="shared" si="4"/>
        <v>2.0438287725672577E-3</v>
      </c>
      <c r="G135" s="81">
        <v>42537</v>
      </c>
      <c r="H135" s="82">
        <v>260.51</v>
      </c>
      <c r="I135" s="173">
        <f t="shared" si="3"/>
        <v>5.7912821898769007E-3</v>
      </c>
      <c r="J135" s="77"/>
      <c r="K135" s="77"/>
    </row>
    <row r="136" spans="1:11" ht="17.5">
      <c r="A136" s="248">
        <v>42544</v>
      </c>
      <c r="B136" s="249">
        <v>87.98</v>
      </c>
      <c r="C136" s="47">
        <f t="shared" si="4"/>
        <v>-3.0594900849857387E-3</v>
      </c>
      <c r="G136" s="81">
        <v>42538</v>
      </c>
      <c r="H136" s="82">
        <v>260.85000000000002</v>
      </c>
      <c r="I136" s="173">
        <f t="shared" si="3"/>
        <v>1.3051322406050225E-3</v>
      </c>
      <c r="J136" s="77"/>
      <c r="K136" s="77"/>
    </row>
    <row r="137" spans="1:11" ht="17.5">
      <c r="A137" s="248">
        <v>42545</v>
      </c>
      <c r="B137" s="249">
        <v>88.03</v>
      </c>
      <c r="C137" s="47">
        <f t="shared" si="4"/>
        <v>5.6831097976806078E-4</v>
      </c>
      <c r="G137" s="81">
        <v>42539</v>
      </c>
      <c r="H137" s="82">
        <v>262.5</v>
      </c>
      <c r="I137" s="173">
        <f t="shared" si="3"/>
        <v>6.3254744105807337E-3</v>
      </c>
      <c r="J137" s="77"/>
      <c r="K137" s="77"/>
    </row>
    <row r="138" spans="1:11" ht="17.5">
      <c r="A138" s="248">
        <v>42546</v>
      </c>
      <c r="B138" s="249">
        <v>87.85</v>
      </c>
      <c r="C138" s="47">
        <f t="shared" si="4"/>
        <v>-2.0447574690447556E-3</v>
      </c>
      <c r="G138" s="81">
        <v>42542</v>
      </c>
      <c r="H138" s="82">
        <v>262.77</v>
      </c>
      <c r="I138" s="173">
        <f t="shared" si="3"/>
        <v>1.0285714285713787E-3</v>
      </c>
      <c r="J138" s="77"/>
      <c r="K138" s="77"/>
    </row>
    <row r="139" spans="1:11" ht="17.5">
      <c r="A139" s="248">
        <v>42549</v>
      </c>
      <c r="B139" s="249">
        <v>87.97</v>
      </c>
      <c r="C139" s="47">
        <f t="shared" si="4"/>
        <v>1.365964712578327E-3</v>
      </c>
      <c r="G139" s="81">
        <v>42543</v>
      </c>
      <c r="H139" s="82">
        <v>266.39999999999998</v>
      </c>
      <c r="I139" s="173">
        <f t="shared" si="3"/>
        <v>1.381436237013367E-2</v>
      </c>
      <c r="J139" s="77"/>
      <c r="K139" s="77"/>
    </row>
    <row r="140" spans="1:11" ht="17.5">
      <c r="A140" s="248">
        <v>42550</v>
      </c>
      <c r="B140" s="249">
        <v>88.31</v>
      </c>
      <c r="C140" s="47">
        <f t="shared" si="4"/>
        <v>3.8649539615778217E-3</v>
      </c>
      <c r="G140" s="81">
        <v>42544</v>
      </c>
      <c r="H140" s="82">
        <v>264.45999999999998</v>
      </c>
      <c r="I140" s="173">
        <f t="shared" si="3"/>
        <v>-7.2822822822822264E-3</v>
      </c>
      <c r="J140" s="77"/>
      <c r="K140" s="77"/>
    </row>
    <row r="141" spans="1:11" ht="17.5">
      <c r="A141" s="248">
        <v>42551</v>
      </c>
      <c r="B141" s="249">
        <v>88.51</v>
      </c>
      <c r="C141" s="47">
        <f t="shared" si="4"/>
        <v>2.2647491790284136E-3</v>
      </c>
      <c r="G141" s="81">
        <v>42545</v>
      </c>
      <c r="H141" s="82">
        <v>263.75</v>
      </c>
      <c r="I141" s="173">
        <f t="shared" si="3"/>
        <v>-2.6847160251076696E-3</v>
      </c>
      <c r="J141" s="77"/>
      <c r="K141" s="77"/>
    </row>
    <row r="142" spans="1:11" ht="17.5">
      <c r="A142" s="248">
        <v>42552</v>
      </c>
      <c r="B142" s="249">
        <v>88.98</v>
      </c>
      <c r="C142" s="47">
        <f t="shared" si="4"/>
        <v>5.3101344480850354E-3</v>
      </c>
      <c r="G142" s="81">
        <v>42546</v>
      </c>
      <c r="H142" s="82">
        <v>261.81</v>
      </c>
      <c r="I142" s="173">
        <f t="shared" si="3"/>
        <v>-7.3554502369668207E-3</v>
      </c>
      <c r="J142" s="77"/>
      <c r="K142" s="77"/>
    </row>
    <row r="143" spans="1:11" ht="17.5">
      <c r="A143" s="248">
        <v>42556</v>
      </c>
      <c r="B143" s="249">
        <v>89.53</v>
      </c>
      <c r="C143" s="47">
        <f t="shared" si="4"/>
        <v>6.1811643065856625E-3</v>
      </c>
      <c r="G143" s="81">
        <v>42549</v>
      </c>
      <c r="H143" s="82">
        <v>261.11</v>
      </c>
      <c r="I143" s="173">
        <f t="shared" si="3"/>
        <v>-2.6736946640693038E-3</v>
      </c>
      <c r="J143" s="77"/>
      <c r="K143" s="77"/>
    </row>
    <row r="144" spans="1:11" ht="17.5">
      <c r="A144" s="248">
        <v>42557</v>
      </c>
      <c r="B144" s="249">
        <v>89.03</v>
      </c>
      <c r="C144" s="47">
        <f t="shared" si="4"/>
        <v>-5.5847202055177014E-3</v>
      </c>
      <c r="G144" s="81">
        <v>42550</v>
      </c>
      <c r="H144" s="82">
        <v>261.23</v>
      </c>
      <c r="I144" s="173">
        <f t="shared" ref="I144:I207" si="5">H144/H143-1</f>
        <v>4.5957642372940199E-4</v>
      </c>
      <c r="J144" s="77"/>
      <c r="K144" s="77"/>
    </row>
    <row r="145" spans="1:11" ht="17.5">
      <c r="A145" s="248">
        <v>42558</v>
      </c>
      <c r="B145" s="249">
        <v>89.41</v>
      </c>
      <c r="C145" s="47">
        <f t="shared" ref="C145:C208" si="6">B145/B144-1</f>
        <v>4.2682241940918964E-3</v>
      </c>
      <c r="G145" s="81">
        <v>42551</v>
      </c>
      <c r="H145" s="82">
        <v>262.85000000000002</v>
      </c>
      <c r="I145" s="173">
        <f t="shared" si="5"/>
        <v>6.2014316885503629E-3</v>
      </c>
      <c r="J145" s="77"/>
      <c r="K145" s="77"/>
    </row>
    <row r="146" spans="1:11" ht="17.5">
      <c r="A146" s="248">
        <v>42559</v>
      </c>
      <c r="B146" s="249">
        <v>89.02</v>
      </c>
      <c r="C146" s="47">
        <f t="shared" si="6"/>
        <v>-4.3619281959512701E-3</v>
      </c>
      <c r="G146" s="81">
        <v>42552</v>
      </c>
      <c r="H146" s="82">
        <v>269.22000000000003</v>
      </c>
      <c r="I146" s="173">
        <f t="shared" si="5"/>
        <v>2.4234354194407448E-2</v>
      </c>
      <c r="J146" s="77"/>
      <c r="K146" s="77"/>
    </row>
    <row r="147" spans="1:11" ht="17.5">
      <c r="A147" s="248">
        <v>42560</v>
      </c>
      <c r="B147" s="249">
        <v>89.01</v>
      </c>
      <c r="C147" s="47">
        <f t="shared" si="6"/>
        <v>-1.1233430689727708E-4</v>
      </c>
      <c r="G147" s="81">
        <v>42553</v>
      </c>
      <c r="H147" s="82">
        <v>271.7</v>
      </c>
      <c r="I147" s="173">
        <f t="shared" si="5"/>
        <v>9.2117970433100993E-3</v>
      </c>
      <c r="J147" s="77"/>
      <c r="K147" s="77"/>
    </row>
    <row r="148" spans="1:11" ht="17.5">
      <c r="A148" s="248">
        <v>42563</v>
      </c>
      <c r="B148" s="249">
        <v>88.83</v>
      </c>
      <c r="C148" s="47">
        <f t="shared" si="6"/>
        <v>-2.0222446916077219E-3</v>
      </c>
      <c r="G148" s="81">
        <v>42556</v>
      </c>
      <c r="H148" s="82">
        <v>278.94</v>
      </c>
      <c r="I148" s="173">
        <f t="shared" si="5"/>
        <v>2.6647037173352928E-2</v>
      </c>
      <c r="J148" s="77"/>
      <c r="K148" s="77"/>
    </row>
    <row r="149" spans="1:11" ht="17.5">
      <c r="A149" s="248">
        <v>42564</v>
      </c>
      <c r="B149" s="249">
        <v>89.04</v>
      </c>
      <c r="C149" s="47">
        <f t="shared" si="6"/>
        <v>2.3640661938535423E-3</v>
      </c>
      <c r="G149" s="81">
        <v>42557</v>
      </c>
      <c r="H149" s="82">
        <v>277.2</v>
      </c>
      <c r="I149" s="173">
        <f t="shared" si="5"/>
        <v>-6.2379006237901491E-3</v>
      </c>
      <c r="J149" s="77"/>
      <c r="K149" s="77"/>
    </row>
    <row r="150" spans="1:11" ht="17.5">
      <c r="A150" s="248">
        <v>42565</v>
      </c>
      <c r="B150" s="249">
        <v>89.41</v>
      </c>
      <c r="C150" s="47">
        <f t="shared" si="6"/>
        <v>4.1554357592092916E-3</v>
      </c>
      <c r="G150" s="81">
        <v>42558</v>
      </c>
      <c r="H150" s="82">
        <v>281.73</v>
      </c>
      <c r="I150" s="173">
        <f t="shared" si="5"/>
        <v>1.6341991341991546E-2</v>
      </c>
      <c r="J150" s="77"/>
      <c r="K150" s="77"/>
    </row>
    <row r="151" spans="1:11" ht="17.5">
      <c r="A151" s="248">
        <v>42566</v>
      </c>
      <c r="B151" s="249">
        <v>89.57</v>
      </c>
      <c r="C151" s="47">
        <f t="shared" si="6"/>
        <v>1.7895090034671934E-3</v>
      </c>
      <c r="G151" s="81">
        <v>42559</v>
      </c>
      <c r="H151" s="82">
        <v>284.11</v>
      </c>
      <c r="I151" s="173">
        <f t="shared" si="5"/>
        <v>8.4478046356439851E-3</v>
      </c>
      <c r="J151" s="77"/>
      <c r="K151" s="77"/>
    </row>
    <row r="152" spans="1:11" ht="17.5">
      <c r="A152" s="248">
        <v>42567</v>
      </c>
      <c r="B152" s="249">
        <v>89.77</v>
      </c>
      <c r="C152" s="47">
        <f t="shared" si="6"/>
        <v>2.2328904767221491E-3</v>
      </c>
      <c r="G152" s="81">
        <v>42560</v>
      </c>
      <c r="H152" s="82">
        <v>281.41000000000003</v>
      </c>
      <c r="I152" s="173">
        <f t="shared" si="5"/>
        <v>-9.5033613741156708E-3</v>
      </c>
      <c r="J152" s="77"/>
      <c r="K152" s="77"/>
    </row>
    <row r="153" spans="1:11" ht="17.5">
      <c r="A153" s="248">
        <v>42570</v>
      </c>
      <c r="B153" s="249">
        <v>90.37</v>
      </c>
      <c r="C153" s="47">
        <f t="shared" si="6"/>
        <v>6.683747354350178E-3</v>
      </c>
      <c r="G153" s="81">
        <v>42563</v>
      </c>
      <c r="H153" s="82">
        <v>281.77</v>
      </c>
      <c r="I153" s="173">
        <f t="shared" si="5"/>
        <v>1.2792722362386932E-3</v>
      </c>
      <c r="J153" s="77"/>
      <c r="K153" s="77"/>
    </row>
    <row r="154" spans="1:11" ht="17.5">
      <c r="A154" s="248">
        <v>42571</v>
      </c>
      <c r="B154" s="249">
        <v>90.86</v>
      </c>
      <c r="C154" s="47">
        <f t="shared" si="6"/>
        <v>5.422153369480931E-3</v>
      </c>
      <c r="G154" s="81">
        <v>42564</v>
      </c>
      <c r="H154" s="82">
        <v>278.27</v>
      </c>
      <c r="I154" s="173">
        <f t="shared" si="5"/>
        <v>-1.2421478510842188E-2</v>
      </c>
      <c r="J154" s="77"/>
      <c r="K154" s="77"/>
    </row>
    <row r="155" spans="1:11" ht="17.5">
      <c r="A155" s="248">
        <v>42572</v>
      </c>
      <c r="B155" s="249">
        <v>91.12</v>
      </c>
      <c r="C155" s="47">
        <f t="shared" si="6"/>
        <v>2.8615452344267212E-3</v>
      </c>
      <c r="G155" s="81">
        <v>42565</v>
      </c>
      <c r="H155" s="82">
        <v>279.57</v>
      </c>
      <c r="I155" s="173">
        <f t="shared" si="5"/>
        <v>4.6717217091314378E-3</v>
      </c>
      <c r="J155" s="77"/>
      <c r="K155" s="77"/>
    </row>
    <row r="156" spans="1:11" ht="17.5">
      <c r="A156" s="248">
        <v>42573</v>
      </c>
      <c r="B156" s="249">
        <v>91.08</v>
      </c>
      <c r="C156" s="47">
        <f t="shared" si="6"/>
        <v>-4.3898156277444311E-4</v>
      </c>
      <c r="G156" s="81">
        <v>42566</v>
      </c>
      <c r="H156" s="82">
        <v>274.64</v>
      </c>
      <c r="I156" s="173">
        <f t="shared" si="5"/>
        <v>-1.7634223986837005E-2</v>
      </c>
      <c r="J156" s="77"/>
      <c r="K156" s="77"/>
    </row>
    <row r="157" spans="1:11" ht="17.5">
      <c r="A157" s="248">
        <v>42574</v>
      </c>
      <c r="B157" s="249">
        <v>91.14</v>
      </c>
      <c r="C157" s="47">
        <f t="shared" si="6"/>
        <v>6.587615283266679E-4</v>
      </c>
      <c r="G157" s="81">
        <v>42567</v>
      </c>
      <c r="H157" s="82">
        <v>276.79000000000002</v>
      </c>
      <c r="I157" s="173">
        <f t="shared" si="5"/>
        <v>7.8284299446549355E-3</v>
      </c>
      <c r="J157" s="77"/>
      <c r="K157" s="77"/>
    </row>
    <row r="158" spans="1:11" ht="17.5">
      <c r="A158" s="248">
        <v>42577</v>
      </c>
      <c r="B158" s="249">
        <v>91.3</v>
      </c>
      <c r="C158" s="47">
        <f t="shared" si="6"/>
        <v>1.7555409260479049E-3</v>
      </c>
      <c r="G158" s="81">
        <v>42570</v>
      </c>
      <c r="H158" s="82">
        <v>279.70999999999998</v>
      </c>
      <c r="I158" s="173">
        <f t="shared" si="5"/>
        <v>1.0549514072039967E-2</v>
      </c>
      <c r="J158" s="77"/>
      <c r="K158" s="77"/>
    </row>
    <row r="159" spans="1:11" ht="17.5">
      <c r="A159" s="248">
        <v>42578</v>
      </c>
      <c r="B159" s="249">
        <v>90.99</v>
      </c>
      <c r="C159" s="47">
        <f t="shared" si="6"/>
        <v>-3.3953997809419434E-3</v>
      </c>
      <c r="G159" s="81">
        <v>42571</v>
      </c>
      <c r="H159" s="82">
        <v>284.60000000000002</v>
      </c>
      <c r="I159" s="173">
        <f t="shared" si="5"/>
        <v>1.7482392477923714E-2</v>
      </c>
      <c r="J159" s="77"/>
      <c r="K159" s="77"/>
    </row>
    <row r="160" spans="1:11" ht="17.5">
      <c r="A160" s="248">
        <v>42579</v>
      </c>
      <c r="B160" s="249">
        <v>91.53</v>
      </c>
      <c r="C160" s="47">
        <f t="shared" si="6"/>
        <v>5.9347181008901906E-3</v>
      </c>
      <c r="G160" s="81">
        <v>42572</v>
      </c>
      <c r="H160" s="82">
        <v>282.72000000000003</v>
      </c>
      <c r="I160" s="173">
        <f t="shared" si="5"/>
        <v>-6.605762473647192E-3</v>
      </c>
      <c r="J160" s="77"/>
      <c r="K160" s="77"/>
    </row>
    <row r="161" spans="1:11" ht="17.5">
      <c r="A161" s="248">
        <v>42580</v>
      </c>
      <c r="B161" s="249">
        <v>91.5</v>
      </c>
      <c r="C161" s="47">
        <f t="shared" si="6"/>
        <v>-3.2776138970835866E-4</v>
      </c>
      <c r="G161" s="81">
        <v>42573</v>
      </c>
      <c r="H161" s="82">
        <v>282.89999999999998</v>
      </c>
      <c r="I161" s="173">
        <f t="shared" si="5"/>
        <v>6.3667232597608425E-4</v>
      </c>
      <c r="J161" s="77"/>
      <c r="K161" s="77"/>
    </row>
    <row r="162" spans="1:11" ht="17.5">
      <c r="A162" s="248">
        <v>42581</v>
      </c>
      <c r="B162" s="249">
        <v>91.71</v>
      </c>
      <c r="C162" s="47">
        <f t="shared" si="6"/>
        <v>2.295081967212953E-3</v>
      </c>
      <c r="G162" s="81">
        <v>42574</v>
      </c>
      <c r="H162" s="82">
        <v>278.11</v>
      </c>
      <c r="I162" s="173">
        <f t="shared" si="5"/>
        <v>-1.6931778013432153E-2</v>
      </c>
      <c r="J162" s="77"/>
      <c r="K162" s="77"/>
    </row>
    <row r="163" spans="1:11" ht="17.5">
      <c r="A163" s="248">
        <v>42584</v>
      </c>
      <c r="B163" s="249">
        <v>92.05</v>
      </c>
      <c r="C163" s="47">
        <f t="shared" si="6"/>
        <v>3.7073383491441625E-3</v>
      </c>
      <c r="G163" s="81">
        <v>42577</v>
      </c>
      <c r="H163" s="82">
        <v>280.45999999999998</v>
      </c>
      <c r="I163" s="173">
        <f t="shared" si="5"/>
        <v>8.4498939268633499E-3</v>
      </c>
      <c r="J163" s="77"/>
      <c r="K163" s="77"/>
    </row>
    <row r="164" spans="1:11" ht="17.5">
      <c r="A164" s="248">
        <v>42585</v>
      </c>
      <c r="B164" s="249">
        <v>92.52</v>
      </c>
      <c r="C164" s="47">
        <f t="shared" si="6"/>
        <v>5.1059206952743796E-3</v>
      </c>
      <c r="G164" s="81">
        <v>42578</v>
      </c>
      <c r="H164" s="82">
        <v>282</v>
      </c>
      <c r="I164" s="173">
        <f t="shared" si="5"/>
        <v>5.4909791057549118E-3</v>
      </c>
      <c r="J164" s="77"/>
      <c r="K164" s="77"/>
    </row>
    <row r="165" spans="1:11" ht="17.5">
      <c r="A165" s="248">
        <v>42586</v>
      </c>
      <c r="B165" s="249">
        <v>92.82</v>
      </c>
      <c r="C165" s="47">
        <f t="shared" si="6"/>
        <v>3.2425421530479781E-3</v>
      </c>
      <c r="G165" s="81">
        <v>42579</v>
      </c>
      <c r="H165" s="82">
        <v>283.33</v>
      </c>
      <c r="I165" s="173">
        <f t="shared" si="5"/>
        <v>4.7163120567375039E-3</v>
      </c>
      <c r="J165" s="77"/>
      <c r="K165" s="77"/>
    </row>
    <row r="166" spans="1:11" ht="17.5">
      <c r="A166" s="248">
        <v>42587</v>
      </c>
      <c r="B166" s="249">
        <v>93.05</v>
      </c>
      <c r="C166" s="47">
        <f t="shared" si="6"/>
        <v>2.4779142426201162E-3</v>
      </c>
      <c r="G166" s="81">
        <v>42580</v>
      </c>
      <c r="H166" s="82">
        <v>281.89</v>
      </c>
      <c r="I166" s="173">
        <f t="shared" si="5"/>
        <v>-5.0824127342674608E-3</v>
      </c>
      <c r="J166" s="77"/>
      <c r="K166" s="77"/>
    </row>
    <row r="167" spans="1:11" ht="17.5">
      <c r="A167" s="248">
        <v>42588</v>
      </c>
      <c r="B167" s="249">
        <v>92.86</v>
      </c>
      <c r="C167" s="47">
        <f t="shared" si="6"/>
        <v>-2.0419129500268696E-3</v>
      </c>
      <c r="G167" s="81">
        <v>42581</v>
      </c>
      <c r="H167" s="82">
        <v>281.56</v>
      </c>
      <c r="I167" s="173">
        <f t="shared" si="5"/>
        <v>-1.1706694100535042E-3</v>
      </c>
      <c r="J167" s="77"/>
      <c r="K167" s="77"/>
    </row>
    <row r="168" spans="1:11" ht="17.5">
      <c r="A168" s="248">
        <v>42591</v>
      </c>
      <c r="B168" s="249">
        <v>93</v>
      </c>
      <c r="C168" s="47">
        <f t="shared" si="6"/>
        <v>1.5076459185872082E-3</v>
      </c>
      <c r="G168" s="81">
        <v>42584</v>
      </c>
      <c r="H168" s="82">
        <v>281.20999999999998</v>
      </c>
      <c r="I168" s="173">
        <f t="shared" si="5"/>
        <v>-1.2430743003268852E-3</v>
      </c>
      <c r="J168" s="77"/>
      <c r="K168" s="77"/>
    </row>
    <row r="169" spans="1:11" ht="17.5">
      <c r="A169" s="248">
        <v>42592</v>
      </c>
      <c r="B169" s="249">
        <v>92.9</v>
      </c>
      <c r="C169" s="47">
        <f t="shared" si="6"/>
        <v>-1.0752688172042113E-3</v>
      </c>
      <c r="G169" s="81">
        <v>42585</v>
      </c>
      <c r="H169" s="82">
        <v>284</v>
      </c>
      <c r="I169" s="173">
        <f t="shared" si="5"/>
        <v>9.9214110451264492E-3</v>
      </c>
      <c r="J169" s="77"/>
      <c r="K169" s="77"/>
    </row>
    <row r="170" spans="1:11" ht="17.5">
      <c r="A170" s="248">
        <v>42593</v>
      </c>
      <c r="B170" s="249">
        <v>92.79</v>
      </c>
      <c r="C170" s="47">
        <f t="shared" si="6"/>
        <v>-1.184068891280976E-3</v>
      </c>
      <c r="G170" s="81">
        <v>42586</v>
      </c>
      <c r="H170" s="82">
        <v>287.33999999999997</v>
      </c>
      <c r="I170" s="173">
        <f t="shared" si="5"/>
        <v>1.176056338028153E-2</v>
      </c>
      <c r="J170" s="77"/>
      <c r="K170" s="77"/>
    </row>
    <row r="171" spans="1:11" ht="17.5">
      <c r="A171" s="248">
        <v>42594</v>
      </c>
      <c r="B171" s="249">
        <v>92.58</v>
      </c>
      <c r="C171" s="47">
        <f t="shared" si="6"/>
        <v>-2.2631749110896271E-3</v>
      </c>
      <c r="G171" s="81">
        <v>42587</v>
      </c>
      <c r="H171" s="82">
        <v>287.58999999999997</v>
      </c>
      <c r="I171" s="173">
        <f t="shared" si="5"/>
        <v>8.7004941880697295E-4</v>
      </c>
      <c r="J171" s="77"/>
      <c r="K171" s="77"/>
    </row>
    <row r="172" spans="1:11" ht="17.5">
      <c r="A172" s="248">
        <v>42595</v>
      </c>
      <c r="B172" s="249">
        <v>92.17</v>
      </c>
      <c r="C172" s="47">
        <f t="shared" si="6"/>
        <v>-4.4286022899113764E-3</v>
      </c>
      <c r="G172" s="81">
        <v>42588</v>
      </c>
      <c r="H172" s="82">
        <v>283.29000000000002</v>
      </c>
      <c r="I172" s="173">
        <f t="shared" si="5"/>
        <v>-1.4951841162766266E-2</v>
      </c>
      <c r="J172" s="77"/>
      <c r="K172" s="77"/>
    </row>
    <row r="173" spans="1:11" ht="17.5">
      <c r="A173" s="248">
        <v>42598</v>
      </c>
      <c r="B173" s="249">
        <v>92.27</v>
      </c>
      <c r="C173" s="47">
        <f t="shared" si="6"/>
        <v>1.0849517196485081E-3</v>
      </c>
      <c r="G173" s="81">
        <v>42591</v>
      </c>
      <c r="H173" s="82">
        <v>282.39999999999998</v>
      </c>
      <c r="I173" s="173">
        <f t="shared" si="5"/>
        <v>-3.1416569592997989E-3</v>
      </c>
      <c r="J173" s="77"/>
      <c r="K173" s="77"/>
    </row>
    <row r="174" spans="1:11" ht="17.5">
      <c r="A174" s="248">
        <v>42599</v>
      </c>
      <c r="B174" s="249">
        <v>92.15</v>
      </c>
      <c r="C174" s="47">
        <f t="shared" si="6"/>
        <v>-1.3005310501786882E-3</v>
      </c>
      <c r="G174" s="81">
        <v>42592</v>
      </c>
      <c r="H174" s="82">
        <v>283.31</v>
      </c>
      <c r="I174" s="173">
        <f t="shared" si="5"/>
        <v>3.222379603399439E-3</v>
      </c>
      <c r="J174" s="77"/>
      <c r="K174" s="77"/>
    </row>
    <row r="175" spans="1:11" ht="17.5">
      <c r="A175" s="248">
        <v>42600</v>
      </c>
      <c r="B175" s="249">
        <v>91.94</v>
      </c>
      <c r="C175" s="47">
        <f t="shared" si="6"/>
        <v>-2.2788931090613751E-3</v>
      </c>
      <c r="G175" s="81">
        <v>42593</v>
      </c>
      <c r="H175" s="82">
        <v>283.63</v>
      </c>
      <c r="I175" s="173">
        <f t="shared" si="5"/>
        <v>1.1295047827468707E-3</v>
      </c>
      <c r="J175" s="77"/>
      <c r="K175" s="77"/>
    </row>
    <row r="176" spans="1:11" ht="17.5">
      <c r="A176" s="248">
        <v>42601</v>
      </c>
      <c r="B176" s="249">
        <v>92.15</v>
      </c>
      <c r="C176" s="47">
        <f t="shared" si="6"/>
        <v>2.2840983249945435E-3</v>
      </c>
      <c r="G176" s="81">
        <v>42594</v>
      </c>
      <c r="H176" s="82">
        <v>284.13</v>
      </c>
      <c r="I176" s="173">
        <f t="shared" si="5"/>
        <v>1.762860064168148E-3</v>
      </c>
      <c r="J176" s="77"/>
      <c r="K176" s="77"/>
    </row>
    <row r="177" spans="1:11" ht="17.5">
      <c r="A177" s="248">
        <v>42602</v>
      </c>
      <c r="B177" s="249">
        <v>92.44</v>
      </c>
      <c r="C177" s="47">
        <f t="shared" si="6"/>
        <v>3.1470428648940896E-3</v>
      </c>
      <c r="G177" s="81">
        <v>42595</v>
      </c>
      <c r="H177" s="82">
        <v>283.91000000000003</v>
      </c>
      <c r="I177" s="173">
        <f t="shared" si="5"/>
        <v>-7.742934572201321E-4</v>
      </c>
      <c r="J177" s="77"/>
      <c r="K177" s="77"/>
    </row>
    <row r="178" spans="1:11" ht="17.5">
      <c r="A178" s="248">
        <v>42605</v>
      </c>
      <c r="B178" s="249">
        <v>92.63</v>
      </c>
      <c r="C178" s="47">
        <f t="shared" si="6"/>
        <v>2.0553872782345106E-3</v>
      </c>
      <c r="G178" s="81">
        <v>42598</v>
      </c>
      <c r="H178" s="82">
        <v>285.83</v>
      </c>
      <c r="I178" s="173">
        <f t="shared" si="5"/>
        <v>6.7627064914936863E-3</v>
      </c>
      <c r="J178" s="77"/>
      <c r="K178" s="77"/>
    </row>
    <row r="179" spans="1:11" ht="17.5">
      <c r="A179" s="248">
        <v>42606</v>
      </c>
      <c r="B179" s="249">
        <v>92.17</v>
      </c>
      <c r="C179" s="47">
        <f t="shared" si="6"/>
        <v>-4.9659937385295727E-3</v>
      </c>
      <c r="G179" s="81">
        <v>42599</v>
      </c>
      <c r="H179" s="82">
        <v>288.17</v>
      </c>
      <c r="I179" s="173">
        <f t="shared" si="5"/>
        <v>8.1866843928211086E-3</v>
      </c>
      <c r="J179" s="77"/>
      <c r="K179" s="77"/>
    </row>
    <row r="180" spans="1:11" ht="17.5">
      <c r="A180" s="248">
        <v>42607</v>
      </c>
      <c r="B180" s="249">
        <v>91.96</v>
      </c>
      <c r="C180" s="47">
        <f t="shared" si="6"/>
        <v>-2.2783986112618893E-3</v>
      </c>
      <c r="G180" s="81">
        <v>42600</v>
      </c>
      <c r="H180" s="82">
        <v>286.83</v>
      </c>
      <c r="I180" s="173">
        <f t="shared" si="5"/>
        <v>-4.6500329666517848E-3</v>
      </c>
      <c r="J180" s="77"/>
      <c r="K180" s="77"/>
    </row>
    <row r="181" spans="1:11" ht="17.5">
      <c r="A181" s="248">
        <v>42608</v>
      </c>
      <c r="B181" s="249">
        <v>91.53</v>
      </c>
      <c r="C181" s="47">
        <f t="shared" si="6"/>
        <v>-4.6759460635057426E-3</v>
      </c>
      <c r="G181" s="81">
        <v>42601</v>
      </c>
      <c r="H181" s="82">
        <v>282.97000000000003</v>
      </c>
      <c r="I181" s="173">
        <f t="shared" si="5"/>
        <v>-1.3457448662970939E-2</v>
      </c>
      <c r="J181" s="77"/>
      <c r="K181" s="77"/>
    </row>
    <row r="182" spans="1:11" ht="17.5">
      <c r="A182" s="248">
        <v>42609</v>
      </c>
      <c r="B182" s="249">
        <v>92.39</v>
      </c>
      <c r="C182" s="47">
        <f t="shared" si="6"/>
        <v>9.39582650497095E-3</v>
      </c>
      <c r="G182" s="81">
        <v>42602</v>
      </c>
      <c r="H182" s="82">
        <v>285.62</v>
      </c>
      <c r="I182" s="173">
        <f t="shared" si="5"/>
        <v>9.3649503480932594E-3</v>
      </c>
      <c r="J182" s="77"/>
      <c r="K182" s="77"/>
    </row>
    <row r="183" spans="1:11" ht="17.5">
      <c r="A183" s="248">
        <v>42612</v>
      </c>
      <c r="B183" s="249">
        <v>92.38</v>
      </c>
      <c r="C183" s="47">
        <f t="shared" si="6"/>
        <v>-1.0823682216698494E-4</v>
      </c>
      <c r="G183" s="81">
        <v>42605</v>
      </c>
      <c r="H183" s="82">
        <v>289.79000000000002</v>
      </c>
      <c r="I183" s="173">
        <f t="shared" si="5"/>
        <v>1.4599817939920268E-2</v>
      </c>
      <c r="J183" s="77"/>
      <c r="K183" s="77"/>
    </row>
    <row r="184" spans="1:11" ht="17.5">
      <c r="A184" s="248">
        <v>42613</v>
      </c>
      <c r="B184" s="249">
        <v>93</v>
      </c>
      <c r="C184" s="47">
        <f t="shared" si="6"/>
        <v>6.7114093959732557E-3</v>
      </c>
      <c r="G184" s="81">
        <v>42606</v>
      </c>
      <c r="H184" s="82">
        <v>290.89</v>
      </c>
      <c r="I184" s="173">
        <f t="shared" si="5"/>
        <v>3.7958521688117308E-3</v>
      </c>
      <c r="J184" s="77"/>
      <c r="K184" s="77"/>
    </row>
    <row r="185" spans="1:11" ht="17.5">
      <c r="A185" s="248">
        <v>42614</v>
      </c>
      <c r="B185" s="249">
        <v>93.38</v>
      </c>
      <c r="C185" s="47">
        <f t="shared" si="6"/>
        <v>4.0860215053764026E-3</v>
      </c>
      <c r="G185" s="81">
        <v>42607</v>
      </c>
      <c r="H185" s="82">
        <v>291.85000000000002</v>
      </c>
      <c r="I185" s="173">
        <f t="shared" si="5"/>
        <v>3.3002165767128666E-3</v>
      </c>
      <c r="J185" s="77"/>
      <c r="K185" s="77"/>
    </row>
    <row r="186" spans="1:11" ht="17.5">
      <c r="A186" s="248">
        <v>42615</v>
      </c>
      <c r="B186" s="249">
        <v>92.91</v>
      </c>
      <c r="C186" s="47">
        <f t="shared" si="6"/>
        <v>-5.0331976868708272E-3</v>
      </c>
      <c r="G186" s="81">
        <v>42608</v>
      </c>
      <c r="H186" s="82">
        <v>291.77</v>
      </c>
      <c r="I186" s="173">
        <f t="shared" si="5"/>
        <v>-2.7411341442540316E-4</v>
      </c>
      <c r="J186" s="77"/>
      <c r="K186" s="77"/>
    </row>
    <row r="187" spans="1:11" ht="17.5">
      <c r="A187" s="248">
        <v>42616</v>
      </c>
      <c r="B187" s="249">
        <v>92.51</v>
      </c>
      <c r="C187" s="47">
        <f t="shared" si="6"/>
        <v>-4.3052416316864406E-3</v>
      </c>
      <c r="G187" s="81">
        <v>42609</v>
      </c>
      <c r="H187" s="82">
        <v>293.3</v>
      </c>
      <c r="I187" s="173">
        <f t="shared" si="5"/>
        <v>5.2438564622820927E-3</v>
      </c>
      <c r="J187" s="77"/>
      <c r="K187" s="77"/>
    </row>
    <row r="188" spans="1:11" ht="17.5">
      <c r="A188" s="248">
        <v>42620</v>
      </c>
      <c r="B188" s="249">
        <v>92.14</v>
      </c>
      <c r="C188" s="47">
        <f t="shared" si="6"/>
        <v>-3.9995676143119718E-3</v>
      </c>
      <c r="G188" s="81">
        <v>42612</v>
      </c>
      <c r="H188" s="82">
        <v>288.68</v>
      </c>
      <c r="I188" s="173">
        <f t="shared" si="5"/>
        <v>-1.575178997613369E-2</v>
      </c>
      <c r="J188" s="77"/>
      <c r="K188" s="77"/>
    </row>
    <row r="189" spans="1:11" ht="17.5">
      <c r="A189" s="248">
        <v>42621</v>
      </c>
      <c r="B189" s="249">
        <v>92.61</v>
      </c>
      <c r="C189" s="47">
        <f t="shared" si="6"/>
        <v>5.1009333622746844E-3</v>
      </c>
      <c r="G189" s="81">
        <v>42613</v>
      </c>
      <c r="H189" s="82">
        <v>293.31</v>
      </c>
      <c r="I189" s="173">
        <f t="shared" si="5"/>
        <v>1.6038520160731595E-2</v>
      </c>
      <c r="J189" s="77"/>
      <c r="K189" s="77"/>
    </row>
    <row r="190" spans="1:11" ht="17.5">
      <c r="A190" s="248">
        <v>42622</v>
      </c>
      <c r="B190" s="249">
        <v>92.35</v>
      </c>
      <c r="C190" s="47">
        <f t="shared" si="6"/>
        <v>-2.8074721952273674E-3</v>
      </c>
      <c r="G190" s="81">
        <v>42614</v>
      </c>
      <c r="H190" s="82">
        <v>293.01</v>
      </c>
      <c r="I190" s="173">
        <f t="shared" si="5"/>
        <v>-1.0228086325049235E-3</v>
      </c>
      <c r="J190" s="77"/>
      <c r="K190" s="77"/>
    </row>
    <row r="191" spans="1:11" ht="17.5">
      <c r="A191" s="248">
        <v>42623</v>
      </c>
      <c r="B191" s="249">
        <v>92.38</v>
      </c>
      <c r="C191" s="47">
        <f t="shared" si="6"/>
        <v>3.2485110990787547E-4</v>
      </c>
      <c r="G191" s="81">
        <v>42615</v>
      </c>
      <c r="H191" s="82">
        <v>289.95</v>
      </c>
      <c r="I191" s="173">
        <f t="shared" si="5"/>
        <v>-1.0443329579195249E-2</v>
      </c>
      <c r="J191" s="77"/>
      <c r="K191" s="77"/>
    </row>
    <row r="192" spans="1:11" ht="17.5">
      <c r="A192" s="248">
        <v>42626</v>
      </c>
      <c r="B192" s="249">
        <v>92.47</v>
      </c>
      <c r="C192" s="47">
        <f t="shared" si="6"/>
        <v>9.7423684780251207E-4</v>
      </c>
      <c r="G192" s="81">
        <v>42616</v>
      </c>
      <c r="H192" s="82">
        <v>287.88</v>
      </c>
      <c r="I192" s="173">
        <f t="shared" si="5"/>
        <v>-7.139161924469728E-3</v>
      </c>
      <c r="J192" s="77"/>
      <c r="K192" s="77"/>
    </row>
    <row r="193" spans="1:11" ht="17.5">
      <c r="A193" s="248">
        <v>42627</v>
      </c>
      <c r="B193" s="249">
        <v>92.63</v>
      </c>
      <c r="C193" s="47">
        <f t="shared" si="6"/>
        <v>1.7302909051584159E-3</v>
      </c>
      <c r="G193" s="81">
        <v>42619</v>
      </c>
      <c r="H193" s="82">
        <v>286.14</v>
      </c>
      <c r="I193" s="173">
        <f t="shared" si="5"/>
        <v>-6.0441850771154604E-3</v>
      </c>
      <c r="J193" s="77"/>
      <c r="K193" s="77"/>
    </row>
    <row r="194" spans="1:11" ht="17.5">
      <c r="A194" s="248">
        <v>42628</v>
      </c>
      <c r="B194" s="249">
        <v>92.4</v>
      </c>
      <c r="C194" s="47">
        <f t="shared" si="6"/>
        <v>-2.4829968692646753E-3</v>
      </c>
      <c r="G194" s="81">
        <v>42620</v>
      </c>
      <c r="H194" s="82">
        <v>283.75</v>
      </c>
      <c r="I194" s="173">
        <f t="shared" si="5"/>
        <v>-8.3525546935065975E-3</v>
      </c>
      <c r="J194" s="77"/>
      <c r="K194" s="77"/>
    </row>
    <row r="195" spans="1:11" ht="17.5">
      <c r="A195" s="248">
        <v>42629</v>
      </c>
      <c r="B195" s="249">
        <v>92.02</v>
      </c>
      <c r="C195" s="47">
        <f t="shared" si="6"/>
        <v>-4.1125541125541787E-3</v>
      </c>
      <c r="G195" s="81">
        <v>42621</v>
      </c>
      <c r="H195" s="82">
        <v>283.7</v>
      </c>
      <c r="I195" s="173">
        <f t="shared" si="5"/>
        <v>-1.7621145374457914E-4</v>
      </c>
      <c r="J195" s="77"/>
      <c r="K195" s="77"/>
    </row>
    <row r="196" spans="1:11" ht="17.5">
      <c r="A196" s="248">
        <v>42630</v>
      </c>
      <c r="B196" s="249">
        <v>91.6</v>
      </c>
      <c r="C196" s="47">
        <f t="shared" si="6"/>
        <v>-4.5642251684416824E-3</v>
      </c>
      <c r="G196" s="81">
        <v>42622</v>
      </c>
      <c r="H196" s="82">
        <v>283.08</v>
      </c>
      <c r="I196" s="173">
        <f t="shared" si="5"/>
        <v>-2.1854071201974357E-3</v>
      </c>
      <c r="J196" s="77"/>
      <c r="K196" s="77"/>
    </row>
    <row r="197" spans="1:11" ht="17.5">
      <c r="A197" s="248">
        <v>42633</v>
      </c>
      <c r="B197" s="249">
        <v>90.7</v>
      </c>
      <c r="C197" s="47">
        <f t="shared" si="6"/>
        <v>-9.8253275109169147E-3</v>
      </c>
      <c r="G197" s="81">
        <v>42623</v>
      </c>
      <c r="H197" s="82">
        <v>284.64999999999998</v>
      </c>
      <c r="I197" s="173">
        <f t="shared" si="5"/>
        <v>5.5461353680938963E-3</v>
      </c>
      <c r="J197" s="77"/>
      <c r="K197" s="77"/>
    </row>
    <row r="198" spans="1:11" ht="17.5">
      <c r="A198" s="248">
        <v>42634</v>
      </c>
      <c r="B198" s="249">
        <v>90.51</v>
      </c>
      <c r="C198" s="47">
        <f t="shared" si="6"/>
        <v>-2.0948180815876238E-3</v>
      </c>
      <c r="G198" s="81">
        <v>42626</v>
      </c>
      <c r="H198" s="82">
        <v>287.67</v>
      </c>
      <c r="I198" s="173">
        <f t="shared" si="5"/>
        <v>1.060952046372754E-2</v>
      </c>
      <c r="J198" s="77"/>
      <c r="K198" s="77"/>
    </row>
    <row r="199" spans="1:11" ht="17.5">
      <c r="A199" s="248">
        <v>42635</v>
      </c>
      <c r="B199" s="249">
        <v>89.35</v>
      </c>
      <c r="C199" s="47">
        <f t="shared" si="6"/>
        <v>-1.2816263396309924E-2</v>
      </c>
      <c r="G199" s="81">
        <v>42627</v>
      </c>
      <c r="H199" s="82">
        <v>289.66000000000003</v>
      </c>
      <c r="I199" s="173">
        <f t="shared" si="5"/>
        <v>6.9176486946849192E-3</v>
      </c>
      <c r="J199" s="77"/>
      <c r="K199" s="77"/>
    </row>
    <row r="200" spans="1:11" ht="17.5">
      <c r="A200" s="248">
        <v>42636</v>
      </c>
      <c r="B200" s="249">
        <v>89.58</v>
      </c>
      <c r="C200" s="47">
        <f t="shared" si="6"/>
        <v>2.5741466144375558E-3</v>
      </c>
      <c r="G200" s="81">
        <v>42628</v>
      </c>
      <c r="H200" s="82">
        <v>290.88</v>
      </c>
      <c r="I200" s="173">
        <f t="shared" si="5"/>
        <v>4.2118345646620092E-3</v>
      </c>
      <c r="J200" s="77"/>
      <c r="K200" s="77"/>
    </row>
    <row r="201" spans="1:11" ht="17.5">
      <c r="A201" s="248">
        <v>42637</v>
      </c>
      <c r="B201" s="249">
        <v>90.01</v>
      </c>
      <c r="C201" s="47">
        <f t="shared" si="6"/>
        <v>4.8001786112972233E-3</v>
      </c>
      <c r="G201" s="81">
        <v>42629</v>
      </c>
      <c r="H201" s="82">
        <v>288.68</v>
      </c>
      <c r="I201" s="173">
        <f t="shared" si="5"/>
        <v>-7.5632563256324836E-3</v>
      </c>
      <c r="J201" s="77"/>
      <c r="K201" s="77"/>
    </row>
    <row r="202" spans="1:11" ht="17.5">
      <c r="A202" s="248">
        <v>42640</v>
      </c>
      <c r="B202" s="249">
        <v>90.22</v>
      </c>
      <c r="C202" s="47">
        <f t="shared" si="6"/>
        <v>2.3330741028773083E-3</v>
      </c>
      <c r="G202" s="81">
        <v>42630</v>
      </c>
      <c r="H202" s="82">
        <v>288.88</v>
      </c>
      <c r="I202" s="173">
        <f t="shared" si="5"/>
        <v>6.9280864625187455E-4</v>
      </c>
      <c r="J202" s="77"/>
      <c r="K202" s="77"/>
    </row>
    <row r="203" spans="1:11" ht="17.5">
      <c r="A203" s="248">
        <v>42641</v>
      </c>
      <c r="B203" s="249">
        <v>90.01</v>
      </c>
      <c r="C203" s="47">
        <f t="shared" si="6"/>
        <v>-2.3276435380180649E-3</v>
      </c>
      <c r="G203" s="81">
        <v>42633</v>
      </c>
      <c r="H203" s="82">
        <v>283.63</v>
      </c>
      <c r="I203" s="173">
        <f t="shared" si="5"/>
        <v>-1.8173636111880387E-2</v>
      </c>
      <c r="J203" s="77"/>
      <c r="K203" s="77"/>
    </row>
    <row r="204" spans="1:11" ht="17.5">
      <c r="A204" s="248">
        <v>42642</v>
      </c>
      <c r="B204" s="249">
        <v>90.46</v>
      </c>
      <c r="C204" s="47">
        <f t="shared" si="6"/>
        <v>4.999444506165851E-3</v>
      </c>
      <c r="G204" s="81">
        <v>42634</v>
      </c>
      <c r="H204" s="82">
        <v>282.42</v>
      </c>
      <c r="I204" s="173">
        <f t="shared" si="5"/>
        <v>-4.2661213552867006E-3</v>
      </c>
      <c r="J204" s="77"/>
      <c r="K204" s="77"/>
    </row>
    <row r="205" spans="1:11" ht="17.5">
      <c r="A205" s="248">
        <v>42643</v>
      </c>
      <c r="B205" s="249">
        <v>90.62</v>
      </c>
      <c r="C205" s="47">
        <f t="shared" si="6"/>
        <v>1.7687375635642155E-3</v>
      </c>
      <c r="G205" s="81">
        <v>42635</v>
      </c>
      <c r="H205" s="82">
        <v>280.77999999999997</v>
      </c>
      <c r="I205" s="173">
        <f t="shared" si="5"/>
        <v>-5.8069541817152848E-3</v>
      </c>
      <c r="J205" s="77"/>
      <c r="K205" s="77"/>
    </row>
    <row r="206" spans="1:11" ht="17.5">
      <c r="A206" s="248">
        <v>42644</v>
      </c>
      <c r="B206" s="249">
        <v>90.3</v>
      </c>
      <c r="C206" s="47">
        <f t="shared" si="6"/>
        <v>-3.5312293092033542E-3</v>
      </c>
      <c r="G206" s="81">
        <v>42636</v>
      </c>
      <c r="H206" s="82">
        <v>275.86</v>
      </c>
      <c r="I206" s="173">
        <f t="shared" si="5"/>
        <v>-1.7522615570909506E-2</v>
      </c>
      <c r="J206" s="77"/>
      <c r="K206" s="77"/>
    </row>
    <row r="207" spans="1:11" ht="17.5">
      <c r="A207" s="248">
        <v>42647</v>
      </c>
      <c r="B207" s="249">
        <v>90.66</v>
      </c>
      <c r="C207" s="47">
        <f t="shared" si="6"/>
        <v>3.9867109634550424E-3</v>
      </c>
      <c r="G207" s="81">
        <v>42637</v>
      </c>
      <c r="H207" s="82">
        <v>276.19</v>
      </c>
      <c r="I207" s="173">
        <f t="shared" si="5"/>
        <v>1.19625897194231E-3</v>
      </c>
      <c r="J207" s="77"/>
      <c r="K207" s="77"/>
    </row>
    <row r="208" spans="1:11" ht="17.5">
      <c r="A208" s="248">
        <v>42648</v>
      </c>
      <c r="B208" s="249">
        <v>90.72</v>
      </c>
      <c r="C208" s="47">
        <f t="shared" si="6"/>
        <v>6.6181336863002649E-4</v>
      </c>
      <c r="G208" s="81">
        <v>42640</v>
      </c>
      <c r="H208" s="82">
        <v>278.95999999999998</v>
      </c>
      <c r="I208" s="173">
        <f t="shared" ref="I208:I271" si="7">H208/H207-1</f>
        <v>1.0029327636771779E-2</v>
      </c>
      <c r="J208" s="77"/>
      <c r="K208" s="77"/>
    </row>
    <row r="209" spans="1:11" ht="17.5">
      <c r="A209" s="248">
        <v>42649</v>
      </c>
      <c r="B209" s="249">
        <v>90.92</v>
      </c>
      <c r="C209" s="47">
        <f t="shared" ref="C209:C272" si="8">B209/B208-1</f>
        <v>2.2045855379189128E-3</v>
      </c>
      <c r="G209" s="81">
        <v>42641</v>
      </c>
      <c r="H209" s="82">
        <v>278.41000000000003</v>
      </c>
      <c r="I209" s="173">
        <f t="shared" si="7"/>
        <v>-1.9716088328074477E-3</v>
      </c>
      <c r="J209" s="77"/>
      <c r="K209" s="77"/>
    </row>
    <row r="210" spans="1:11" ht="17.5">
      <c r="A210" s="248">
        <v>42650</v>
      </c>
      <c r="B210" s="249">
        <v>91.8</v>
      </c>
      <c r="C210" s="47">
        <f t="shared" si="8"/>
        <v>9.6788385393751231E-3</v>
      </c>
      <c r="G210" s="81">
        <v>42642</v>
      </c>
      <c r="H210" s="82">
        <v>281.88</v>
      </c>
      <c r="I210" s="173">
        <f t="shared" si="7"/>
        <v>1.2463632771811284E-2</v>
      </c>
      <c r="J210" s="77"/>
      <c r="K210" s="77"/>
    </row>
    <row r="211" spans="1:11" ht="17.5">
      <c r="A211" s="248">
        <v>42651</v>
      </c>
      <c r="B211" s="249">
        <v>92.02</v>
      </c>
      <c r="C211" s="47">
        <f t="shared" si="8"/>
        <v>2.3965141612201091E-3</v>
      </c>
      <c r="G211" s="81">
        <v>42643</v>
      </c>
      <c r="H211" s="82">
        <v>283.05</v>
      </c>
      <c r="I211" s="173">
        <f t="shared" si="7"/>
        <v>4.1507024265645676E-3</v>
      </c>
      <c r="J211" s="77"/>
      <c r="K211" s="77"/>
    </row>
    <row r="212" spans="1:11" ht="17.5">
      <c r="A212" s="248">
        <v>42654</v>
      </c>
      <c r="B212" s="249">
        <v>92.26</v>
      </c>
      <c r="C212" s="47">
        <f t="shared" si="8"/>
        <v>2.6081286676811199E-3</v>
      </c>
      <c r="G212" s="81">
        <v>42644</v>
      </c>
      <c r="H212" s="82">
        <v>282.19</v>
      </c>
      <c r="I212" s="173">
        <f t="shared" si="7"/>
        <v>-3.0383324500972142E-3</v>
      </c>
      <c r="J212" s="77"/>
      <c r="K212" s="77"/>
    </row>
    <row r="213" spans="1:11" ht="17.5">
      <c r="A213" s="248">
        <v>42655</v>
      </c>
      <c r="B213" s="249">
        <v>92.03</v>
      </c>
      <c r="C213" s="47">
        <f t="shared" si="8"/>
        <v>-2.4929546932582758E-3</v>
      </c>
      <c r="G213" s="81">
        <v>42647</v>
      </c>
      <c r="H213" s="82">
        <v>284.37</v>
      </c>
      <c r="I213" s="173">
        <f t="shared" si="7"/>
        <v>7.7252914702861109E-3</v>
      </c>
      <c r="J213" s="77"/>
      <c r="K213" s="77"/>
    </row>
    <row r="214" spans="1:11" ht="17.5">
      <c r="A214" s="248">
        <v>42656</v>
      </c>
      <c r="B214" s="249">
        <v>92</v>
      </c>
      <c r="C214" s="47">
        <f t="shared" si="8"/>
        <v>-3.2598065848099544E-4</v>
      </c>
      <c r="G214" s="81">
        <v>42648</v>
      </c>
      <c r="H214" s="82">
        <v>287.22000000000003</v>
      </c>
      <c r="I214" s="173">
        <f t="shared" si="7"/>
        <v>1.0022154235678871E-2</v>
      </c>
      <c r="J214" s="77"/>
      <c r="K214" s="77"/>
    </row>
    <row r="215" spans="1:11" ht="17.5">
      <c r="A215" s="248">
        <v>42657</v>
      </c>
      <c r="B215" s="249">
        <v>91.63</v>
      </c>
      <c r="C215" s="47">
        <f t="shared" si="8"/>
        <v>-4.0217391304347982E-3</v>
      </c>
      <c r="G215" s="81">
        <v>42649</v>
      </c>
      <c r="H215" s="82">
        <v>288.2</v>
      </c>
      <c r="I215" s="173">
        <f t="shared" si="7"/>
        <v>3.4120186616528603E-3</v>
      </c>
      <c r="J215" s="77"/>
      <c r="K215" s="77"/>
    </row>
    <row r="216" spans="1:11" ht="17.5">
      <c r="A216" s="248">
        <v>42658</v>
      </c>
      <c r="B216" s="249">
        <v>91.77</v>
      </c>
      <c r="C216" s="47">
        <f t="shared" si="8"/>
        <v>1.5278838808250317E-3</v>
      </c>
      <c r="G216" s="81">
        <v>42650</v>
      </c>
      <c r="H216" s="82">
        <v>290.51</v>
      </c>
      <c r="I216" s="173">
        <f t="shared" si="7"/>
        <v>8.0152671755724381E-3</v>
      </c>
      <c r="J216" s="77"/>
      <c r="K216" s="77"/>
    </row>
    <row r="217" spans="1:11" ht="17.5">
      <c r="A217" s="248">
        <v>42661</v>
      </c>
      <c r="B217" s="249">
        <v>91.24</v>
      </c>
      <c r="C217" s="47">
        <f t="shared" si="8"/>
        <v>-5.7753078348043996E-3</v>
      </c>
      <c r="G217" s="81">
        <v>42651</v>
      </c>
      <c r="H217" s="82">
        <v>292.33</v>
      </c>
      <c r="I217" s="173">
        <f t="shared" si="7"/>
        <v>6.264844583663276E-3</v>
      </c>
      <c r="J217" s="77"/>
      <c r="K217" s="77"/>
    </row>
    <row r="218" spans="1:11" ht="17.5">
      <c r="A218" s="248">
        <v>42662</v>
      </c>
      <c r="B218" s="249">
        <v>91.29</v>
      </c>
      <c r="C218" s="47">
        <f t="shared" si="8"/>
        <v>5.4800526085063694E-4</v>
      </c>
      <c r="G218" s="81">
        <v>42654</v>
      </c>
      <c r="H218" s="82">
        <v>295.73</v>
      </c>
      <c r="I218" s="173">
        <f t="shared" si="7"/>
        <v>1.1630691341976584E-2</v>
      </c>
      <c r="J218" s="77"/>
      <c r="K218" s="77"/>
    </row>
    <row r="219" spans="1:11" ht="17.5">
      <c r="A219" s="248">
        <v>42663</v>
      </c>
      <c r="B219" s="249">
        <v>90.82</v>
      </c>
      <c r="C219" s="47">
        <f t="shared" si="8"/>
        <v>-5.1484280863184351E-3</v>
      </c>
      <c r="G219" s="81">
        <v>42655</v>
      </c>
      <c r="H219" s="82">
        <v>295.32</v>
      </c>
      <c r="I219" s="173">
        <f t="shared" si="7"/>
        <v>-1.3863997565347619E-3</v>
      </c>
      <c r="J219" s="77"/>
      <c r="K219" s="77"/>
    </row>
    <row r="220" spans="1:11" ht="17.5">
      <c r="A220" s="248">
        <v>42664</v>
      </c>
      <c r="B220" s="249">
        <v>90.39</v>
      </c>
      <c r="C220" s="47">
        <f t="shared" si="8"/>
        <v>-4.7346399471481782E-3</v>
      </c>
      <c r="G220" s="81">
        <v>42656</v>
      </c>
      <c r="H220" s="82">
        <v>295.60000000000002</v>
      </c>
      <c r="I220" s="173">
        <f t="shared" si="7"/>
        <v>9.4812406880673272E-4</v>
      </c>
      <c r="J220" s="77"/>
      <c r="K220" s="77"/>
    </row>
    <row r="221" spans="1:11" ht="17.5">
      <c r="A221" s="248">
        <v>42665</v>
      </c>
      <c r="B221" s="249">
        <v>90.82</v>
      </c>
      <c r="C221" s="47">
        <f t="shared" si="8"/>
        <v>4.7571634030312282E-3</v>
      </c>
      <c r="G221" s="81">
        <v>42657</v>
      </c>
      <c r="H221" s="82">
        <v>291.56</v>
      </c>
      <c r="I221" s="173">
        <f t="shared" si="7"/>
        <v>-1.366711772665774E-2</v>
      </c>
      <c r="J221" s="77"/>
      <c r="K221" s="77"/>
    </row>
    <row r="222" spans="1:11" ht="17.5">
      <c r="A222" s="248">
        <v>42668</v>
      </c>
      <c r="B222" s="249">
        <v>90.49</v>
      </c>
      <c r="C222" s="47">
        <f t="shared" si="8"/>
        <v>-3.6335608896718163E-3</v>
      </c>
      <c r="G222" s="81">
        <v>42658</v>
      </c>
      <c r="H222" s="82">
        <v>292.97000000000003</v>
      </c>
      <c r="I222" s="173">
        <f t="shared" si="7"/>
        <v>4.8360543284402535E-3</v>
      </c>
      <c r="J222" s="77"/>
      <c r="K222" s="77"/>
    </row>
    <row r="223" spans="1:11" ht="17.5">
      <c r="A223" s="248">
        <v>42669</v>
      </c>
      <c r="B223" s="249">
        <v>91.03</v>
      </c>
      <c r="C223" s="47">
        <f t="shared" si="8"/>
        <v>5.9675102221241616E-3</v>
      </c>
      <c r="G223" s="81">
        <v>42661</v>
      </c>
      <c r="H223" s="82">
        <v>293.43</v>
      </c>
      <c r="I223" s="173">
        <f t="shared" si="7"/>
        <v>1.5701266341263675E-3</v>
      </c>
      <c r="J223" s="77"/>
      <c r="K223" s="77"/>
    </row>
    <row r="224" spans="1:11" ht="17.5">
      <c r="A224" s="248">
        <v>42670</v>
      </c>
      <c r="B224" s="249">
        <v>90.26</v>
      </c>
      <c r="C224" s="47">
        <f t="shared" si="8"/>
        <v>-8.4587498626825797E-3</v>
      </c>
      <c r="G224" s="81">
        <v>42662</v>
      </c>
      <c r="H224" s="82">
        <v>295.18</v>
      </c>
      <c r="I224" s="173">
        <f t="shared" si="7"/>
        <v>5.9639437003715656E-3</v>
      </c>
      <c r="J224" s="77"/>
      <c r="K224" s="77"/>
    </row>
    <row r="225" spans="1:11" ht="17.5">
      <c r="A225" s="248">
        <v>42671</v>
      </c>
      <c r="B225" s="249">
        <v>90.29</v>
      </c>
      <c r="C225" s="47">
        <f t="shared" si="8"/>
        <v>3.3237314424994224E-4</v>
      </c>
      <c r="G225" s="81">
        <v>42663</v>
      </c>
      <c r="H225" s="82">
        <v>295.88</v>
      </c>
      <c r="I225" s="173">
        <f t="shared" si="7"/>
        <v>2.3714343790228742E-3</v>
      </c>
      <c r="J225" s="77"/>
      <c r="K225" s="77"/>
    </row>
    <row r="226" spans="1:11" ht="17.5">
      <c r="A226" s="248">
        <v>42672</v>
      </c>
      <c r="B226" s="249">
        <v>90.04</v>
      </c>
      <c r="C226" s="47">
        <f t="shared" si="8"/>
        <v>-2.7688559087385434E-3</v>
      </c>
      <c r="G226" s="81">
        <v>42664</v>
      </c>
      <c r="H226" s="82">
        <v>295.66000000000003</v>
      </c>
      <c r="I226" s="173">
        <f t="shared" si="7"/>
        <v>-7.4354468027570952E-4</v>
      </c>
      <c r="J226" s="77"/>
      <c r="K226" s="77"/>
    </row>
    <row r="227" spans="1:11" ht="17.5">
      <c r="A227" s="248">
        <v>42675</v>
      </c>
      <c r="B227" s="249">
        <v>90.19</v>
      </c>
      <c r="C227" s="47">
        <f t="shared" si="8"/>
        <v>1.6659262549976184E-3</v>
      </c>
      <c r="G227" s="81">
        <v>42665</v>
      </c>
      <c r="H227" s="82">
        <v>295.77</v>
      </c>
      <c r="I227" s="173">
        <f t="shared" si="7"/>
        <v>3.720489751739553E-4</v>
      </c>
      <c r="J227" s="77"/>
      <c r="K227" s="77"/>
    </row>
    <row r="228" spans="1:11" ht="17.5">
      <c r="A228" s="248">
        <v>42676</v>
      </c>
      <c r="B228" s="249">
        <v>90.92</v>
      </c>
      <c r="C228" s="47">
        <f t="shared" si="8"/>
        <v>8.0940237276860838E-3</v>
      </c>
      <c r="G228" s="81">
        <v>42668</v>
      </c>
      <c r="H228" s="82">
        <v>293.83</v>
      </c>
      <c r="I228" s="173">
        <f t="shared" si="7"/>
        <v>-6.5591506914156605E-3</v>
      </c>
      <c r="J228" s="77"/>
      <c r="K228" s="77"/>
    </row>
    <row r="229" spans="1:11" ht="17.5">
      <c r="A229" s="248">
        <v>42677</v>
      </c>
      <c r="B229" s="249">
        <v>92.68</v>
      </c>
      <c r="C229" s="47">
        <f t="shared" si="8"/>
        <v>1.935767707875069E-2</v>
      </c>
      <c r="G229" s="81">
        <v>42669</v>
      </c>
      <c r="H229" s="82">
        <v>294.45</v>
      </c>
      <c r="I229" s="173">
        <f t="shared" si="7"/>
        <v>2.1100636422421992E-3</v>
      </c>
      <c r="J229" s="77"/>
      <c r="K229" s="77"/>
    </row>
    <row r="230" spans="1:11" ht="17.5">
      <c r="A230" s="248">
        <v>42678</v>
      </c>
      <c r="B230" s="249">
        <v>93.03</v>
      </c>
      <c r="C230" s="47">
        <f t="shared" si="8"/>
        <v>3.7764350453171058E-3</v>
      </c>
      <c r="G230" s="81">
        <v>42670</v>
      </c>
      <c r="H230" s="82">
        <v>290.74</v>
      </c>
      <c r="I230" s="173">
        <f t="shared" si="7"/>
        <v>-1.259976226863635E-2</v>
      </c>
      <c r="J230" s="77"/>
      <c r="K230" s="77"/>
    </row>
    <row r="231" spans="1:11" ht="17.5">
      <c r="A231" s="248">
        <v>42679</v>
      </c>
      <c r="B231" s="249">
        <v>92.62</v>
      </c>
      <c r="C231" s="47">
        <f t="shared" si="8"/>
        <v>-4.4071804794152403E-3</v>
      </c>
      <c r="G231" s="81">
        <v>42671</v>
      </c>
      <c r="H231" s="82">
        <v>290.89999999999998</v>
      </c>
      <c r="I231" s="173">
        <f t="shared" si="7"/>
        <v>5.5031987342624156E-4</v>
      </c>
      <c r="J231" s="77"/>
      <c r="K231" s="77"/>
    </row>
    <row r="232" spans="1:11" ht="17.5">
      <c r="A232" s="248">
        <v>42682</v>
      </c>
      <c r="B232" s="249">
        <v>93.06</v>
      </c>
      <c r="C232" s="47">
        <f t="shared" si="8"/>
        <v>4.7505938242280443E-3</v>
      </c>
      <c r="G232" s="81">
        <v>42672</v>
      </c>
      <c r="H232" s="82">
        <v>287.35000000000002</v>
      </c>
      <c r="I232" s="173">
        <f t="shared" si="7"/>
        <v>-1.2203506359573568E-2</v>
      </c>
      <c r="J232" s="77"/>
      <c r="K232" s="77"/>
    </row>
    <row r="233" spans="1:11" ht="17.5">
      <c r="A233" s="248">
        <v>42683</v>
      </c>
      <c r="B233" s="249">
        <v>92.96</v>
      </c>
      <c r="C233" s="47">
        <f t="shared" si="8"/>
        <v>-1.0745755426607717E-3</v>
      </c>
      <c r="G233" s="81">
        <v>42675</v>
      </c>
      <c r="H233" s="82">
        <v>289.58999999999997</v>
      </c>
      <c r="I233" s="173">
        <f t="shared" si="7"/>
        <v>7.7953714981728872E-3</v>
      </c>
      <c r="J233" s="77"/>
      <c r="K233" s="77"/>
    </row>
    <row r="234" spans="1:11" ht="17.5">
      <c r="A234" s="248">
        <v>42684</v>
      </c>
      <c r="B234" s="249">
        <v>93.32</v>
      </c>
      <c r="C234" s="47">
        <f t="shared" si="8"/>
        <v>3.8726333907057597E-3</v>
      </c>
      <c r="G234" s="81">
        <v>42676</v>
      </c>
      <c r="H234" s="82">
        <v>291.27</v>
      </c>
      <c r="I234" s="173">
        <f t="shared" si="7"/>
        <v>5.8013052936911613E-3</v>
      </c>
      <c r="J234" s="77"/>
      <c r="K234" s="77"/>
    </row>
    <row r="235" spans="1:11" ht="17.5">
      <c r="A235" s="248">
        <v>42685</v>
      </c>
      <c r="B235" s="249">
        <v>93.14</v>
      </c>
      <c r="C235" s="47">
        <f t="shared" si="8"/>
        <v>-1.9288469781396644E-3</v>
      </c>
      <c r="G235" s="81">
        <v>42677</v>
      </c>
      <c r="H235" s="82">
        <v>295.14999999999998</v>
      </c>
      <c r="I235" s="173">
        <f t="shared" si="7"/>
        <v>1.3320973667044322E-2</v>
      </c>
      <c r="J235" s="77"/>
      <c r="K235" s="77"/>
    </row>
    <row r="236" spans="1:11" ht="17.5">
      <c r="A236" s="248">
        <v>42686</v>
      </c>
      <c r="B236" s="249">
        <v>93.5</v>
      </c>
      <c r="C236" s="47">
        <f t="shared" si="8"/>
        <v>3.8651492377066443E-3</v>
      </c>
      <c r="G236" s="81">
        <v>42678</v>
      </c>
      <c r="H236" s="82">
        <v>302.67</v>
      </c>
      <c r="I236" s="173">
        <f t="shared" si="7"/>
        <v>2.547857021853317E-2</v>
      </c>
      <c r="J236" s="77"/>
      <c r="K236" s="77"/>
    </row>
    <row r="237" spans="1:11" ht="17.5">
      <c r="A237" s="248">
        <v>42689</v>
      </c>
      <c r="B237" s="249">
        <v>93.7</v>
      </c>
      <c r="C237" s="47">
        <f t="shared" si="8"/>
        <v>2.1390374331551332E-3</v>
      </c>
      <c r="G237" s="81">
        <v>42679</v>
      </c>
      <c r="H237" s="82">
        <v>305.08999999999997</v>
      </c>
      <c r="I237" s="173">
        <f t="shared" si="7"/>
        <v>7.995506657415552E-3</v>
      </c>
      <c r="J237" s="77"/>
      <c r="K237" s="77"/>
    </row>
    <row r="238" spans="1:11" ht="17.5">
      <c r="A238" s="248">
        <v>42690</v>
      </c>
      <c r="B238" s="249">
        <v>93.54</v>
      </c>
      <c r="C238" s="47">
        <f t="shared" si="8"/>
        <v>-1.7075773745997003E-3</v>
      </c>
      <c r="G238" s="81">
        <v>42682</v>
      </c>
      <c r="H238" s="82">
        <v>309.39</v>
      </c>
      <c r="I238" s="173">
        <f t="shared" si="7"/>
        <v>1.4094201710970644E-2</v>
      </c>
      <c r="J238" s="77"/>
      <c r="K238" s="77"/>
    </row>
    <row r="239" spans="1:11" ht="17.5">
      <c r="A239" s="248">
        <v>42691</v>
      </c>
      <c r="B239" s="249">
        <v>93.46</v>
      </c>
      <c r="C239" s="47">
        <f t="shared" si="8"/>
        <v>-8.5524909129797155E-4</v>
      </c>
      <c r="G239" s="81">
        <v>42683</v>
      </c>
      <c r="H239" s="82">
        <v>306.37</v>
      </c>
      <c r="I239" s="173">
        <f t="shared" si="7"/>
        <v>-9.761142894081809E-3</v>
      </c>
      <c r="J239" s="77"/>
      <c r="K239" s="77"/>
    </row>
    <row r="240" spans="1:11" ht="17.5">
      <c r="A240" s="248">
        <v>42692</v>
      </c>
      <c r="B240" s="249">
        <v>93.67</v>
      </c>
      <c r="C240" s="47">
        <f t="shared" si="8"/>
        <v>2.2469505670876799E-3</v>
      </c>
      <c r="G240" s="81">
        <v>42684</v>
      </c>
      <c r="H240" s="82">
        <v>305.26</v>
      </c>
      <c r="I240" s="173">
        <f t="shared" si="7"/>
        <v>-3.6230701439436963E-3</v>
      </c>
      <c r="J240" s="77"/>
      <c r="K240" s="77"/>
    </row>
    <row r="241" spans="1:11" ht="17.5">
      <c r="A241" s="248">
        <v>42693</v>
      </c>
      <c r="B241" s="249">
        <v>93.74</v>
      </c>
      <c r="C241" s="47">
        <f t="shared" si="8"/>
        <v>7.4730436639258713E-4</v>
      </c>
      <c r="G241" s="81">
        <v>42685</v>
      </c>
      <c r="H241" s="82">
        <v>306.38</v>
      </c>
      <c r="I241" s="173">
        <f t="shared" si="7"/>
        <v>3.6690034724498055E-3</v>
      </c>
      <c r="J241" s="77"/>
      <c r="K241" s="77"/>
    </row>
    <row r="242" spans="1:11" ht="17.5">
      <c r="A242" s="248">
        <v>42696</v>
      </c>
      <c r="B242" s="249">
        <v>93.66</v>
      </c>
      <c r="C242" s="47">
        <f t="shared" si="8"/>
        <v>-8.5342436526558707E-4</v>
      </c>
      <c r="G242" s="81">
        <v>42686</v>
      </c>
      <c r="H242" s="82">
        <v>307.75</v>
      </c>
      <c r="I242" s="173">
        <f t="shared" si="7"/>
        <v>4.4715712513871964E-3</v>
      </c>
      <c r="J242" s="77"/>
      <c r="K242" s="77"/>
    </row>
    <row r="243" spans="1:11" ht="17.5">
      <c r="A243" s="248">
        <v>42697</v>
      </c>
      <c r="B243" s="249">
        <v>93.79</v>
      </c>
      <c r="C243" s="47">
        <f t="shared" si="8"/>
        <v>1.3879991458467522E-3</v>
      </c>
      <c r="G243" s="81">
        <v>42689</v>
      </c>
      <c r="H243" s="82">
        <v>310.62</v>
      </c>
      <c r="I243" s="173">
        <f t="shared" si="7"/>
        <v>9.3257514216085191E-3</v>
      </c>
      <c r="J243" s="77"/>
      <c r="K243" s="77"/>
    </row>
    <row r="244" spans="1:11" ht="17.5">
      <c r="A244" s="248">
        <v>42698</v>
      </c>
      <c r="B244" s="249">
        <v>93.72</v>
      </c>
      <c r="C244" s="47">
        <f t="shared" si="8"/>
        <v>-7.4634822475749818E-4</v>
      </c>
      <c r="G244" s="81">
        <v>42690</v>
      </c>
      <c r="H244" s="82">
        <v>310.72000000000003</v>
      </c>
      <c r="I244" s="173">
        <f t="shared" si="7"/>
        <v>3.2193677161806988E-4</v>
      </c>
      <c r="J244" s="77"/>
      <c r="K244" s="77"/>
    </row>
    <row r="245" spans="1:11" ht="17.5">
      <c r="A245" s="248">
        <v>42700</v>
      </c>
      <c r="B245" s="249">
        <v>94.02</v>
      </c>
      <c r="C245" s="47">
        <f t="shared" si="8"/>
        <v>3.2010243277849071E-3</v>
      </c>
      <c r="G245" s="81">
        <v>42691</v>
      </c>
      <c r="H245" s="82">
        <v>312.36</v>
      </c>
      <c r="I245" s="173">
        <f t="shared" si="7"/>
        <v>5.2780638516991552E-3</v>
      </c>
      <c r="J245" s="77"/>
      <c r="K245" s="77"/>
    </row>
    <row r="246" spans="1:11" ht="17.5">
      <c r="A246" s="248">
        <v>42703</v>
      </c>
      <c r="B246" s="249">
        <v>93.84</v>
      </c>
      <c r="C246" s="47">
        <f t="shared" si="8"/>
        <v>-1.9144862795149598E-3</v>
      </c>
      <c r="G246" s="81">
        <v>42692</v>
      </c>
      <c r="H246" s="82">
        <v>311.08</v>
      </c>
      <c r="I246" s="173">
        <f t="shared" si="7"/>
        <v>-4.0978358304520901E-3</v>
      </c>
      <c r="J246" s="77"/>
      <c r="K246" s="77"/>
    </row>
    <row r="247" spans="1:11" ht="17.5">
      <c r="A247" s="248">
        <v>42704</v>
      </c>
      <c r="B247" s="249">
        <v>94.08</v>
      </c>
      <c r="C247" s="47">
        <f t="shared" si="8"/>
        <v>2.5575447570331811E-3</v>
      </c>
      <c r="G247" s="81">
        <v>42693</v>
      </c>
      <c r="H247" s="82">
        <v>313.57</v>
      </c>
      <c r="I247" s="173">
        <f t="shared" si="7"/>
        <v>8.0043718657580865E-3</v>
      </c>
      <c r="J247" s="77"/>
      <c r="K247" s="77"/>
    </row>
    <row r="248" spans="1:11" ht="17.5">
      <c r="A248" s="248">
        <v>42705</v>
      </c>
      <c r="B248" s="249">
        <v>94.13</v>
      </c>
      <c r="C248" s="47">
        <f t="shared" si="8"/>
        <v>5.3146258503389276E-4</v>
      </c>
      <c r="G248" s="81">
        <v>42696</v>
      </c>
      <c r="H248" s="82">
        <v>315.64999999999998</v>
      </c>
      <c r="I248" s="173">
        <f t="shared" si="7"/>
        <v>6.6332876231782745E-3</v>
      </c>
      <c r="J248" s="77"/>
      <c r="K248" s="77"/>
    </row>
    <row r="249" spans="1:11" ht="17.5">
      <c r="A249" s="248">
        <v>42706</v>
      </c>
      <c r="B249" s="249">
        <v>94.52</v>
      </c>
      <c r="C249" s="47">
        <f t="shared" si="8"/>
        <v>4.1432062041857343E-3</v>
      </c>
      <c r="G249" s="81">
        <v>42697</v>
      </c>
      <c r="H249" s="82">
        <v>317.08</v>
      </c>
      <c r="I249" s="173">
        <f t="shared" si="7"/>
        <v>4.530334230951949E-3</v>
      </c>
      <c r="J249" s="77"/>
      <c r="K249" s="77"/>
    </row>
    <row r="250" spans="1:11" ht="17.5">
      <c r="A250" s="248">
        <v>42707</v>
      </c>
      <c r="B250" s="249">
        <v>94.61</v>
      </c>
      <c r="C250" s="47">
        <f t="shared" si="8"/>
        <v>9.5217943292436047E-4</v>
      </c>
      <c r="G250" s="81">
        <v>42698</v>
      </c>
      <c r="H250" s="82">
        <v>314.89999999999998</v>
      </c>
      <c r="I250" s="173">
        <f t="shared" si="7"/>
        <v>-6.8752365333669685E-3</v>
      </c>
      <c r="J250" s="77"/>
      <c r="K250" s="77"/>
    </row>
    <row r="251" spans="1:11" ht="17.5">
      <c r="A251" s="248">
        <v>42710</v>
      </c>
      <c r="B251" s="249">
        <v>94.59</v>
      </c>
      <c r="C251" s="47">
        <f t="shared" si="8"/>
        <v>-2.1139414438220427E-4</v>
      </c>
      <c r="G251" s="81">
        <v>42699</v>
      </c>
      <c r="H251" s="82">
        <v>317.52999999999997</v>
      </c>
      <c r="I251" s="173">
        <f t="shared" si="7"/>
        <v>8.351857732613599E-3</v>
      </c>
      <c r="J251" s="77"/>
      <c r="K251" s="77"/>
    </row>
    <row r="252" spans="1:11" ht="17.5">
      <c r="A252" s="248">
        <v>42711</v>
      </c>
      <c r="B252" s="249">
        <v>94.43</v>
      </c>
      <c r="C252" s="47">
        <f t="shared" si="8"/>
        <v>-1.6915107305212063E-3</v>
      </c>
      <c r="G252" s="81">
        <v>42700</v>
      </c>
      <c r="H252" s="82">
        <v>318.27999999999997</v>
      </c>
      <c r="I252" s="173">
        <f t="shared" si="7"/>
        <v>2.3619815450508508E-3</v>
      </c>
      <c r="J252" s="77"/>
      <c r="K252" s="77"/>
    </row>
    <row r="253" spans="1:11" ht="17.5">
      <c r="A253" s="248">
        <v>42712</v>
      </c>
      <c r="B253" s="249">
        <v>94.2</v>
      </c>
      <c r="C253" s="47">
        <f t="shared" si="8"/>
        <v>-2.4356666313671838E-3</v>
      </c>
      <c r="G253" s="81">
        <v>42703</v>
      </c>
      <c r="H253" s="82">
        <v>312.62</v>
      </c>
      <c r="I253" s="173">
        <f t="shared" si="7"/>
        <v>-1.7783084076913314E-2</v>
      </c>
      <c r="J253" s="77"/>
      <c r="K253" s="77"/>
    </row>
    <row r="254" spans="1:11" ht="17.5">
      <c r="A254" s="248">
        <v>42713</v>
      </c>
      <c r="B254" s="249">
        <v>94.67</v>
      </c>
      <c r="C254" s="47">
        <f t="shared" si="8"/>
        <v>4.9893842887474005E-3</v>
      </c>
      <c r="G254" s="81">
        <v>42704</v>
      </c>
      <c r="H254" s="82">
        <v>317.3</v>
      </c>
      <c r="I254" s="173">
        <f t="shared" si="7"/>
        <v>1.4970251423453318E-2</v>
      </c>
      <c r="J254" s="77"/>
      <c r="K254" s="77"/>
    </row>
    <row r="255" spans="1:11" ht="17.5">
      <c r="A255" s="248">
        <v>42714</v>
      </c>
      <c r="B255" s="249">
        <v>94.72</v>
      </c>
      <c r="C255" s="47">
        <f t="shared" si="8"/>
        <v>5.2815041723874856E-4</v>
      </c>
      <c r="G255" s="81">
        <v>42705</v>
      </c>
      <c r="H255" s="82">
        <v>317.47000000000003</v>
      </c>
      <c r="I255" s="173">
        <f t="shared" si="7"/>
        <v>5.3577056413489643E-4</v>
      </c>
      <c r="J255" s="77"/>
      <c r="K255" s="77"/>
    </row>
    <row r="256" spans="1:11" ht="17.5">
      <c r="A256" s="248">
        <v>42717</v>
      </c>
      <c r="B256" s="249">
        <v>94.72</v>
      </c>
      <c r="C256" s="47">
        <f t="shared" si="8"/>
        <v>0</v>
      </c>
      <c r="G256" s="81">
        <v>42706</v>
      </c>
      <c r="H256" s="82">
        <v>319.77999999999997</v>
      </c>
      <c r="I256" s="173">
        <f t="shared" si="7"/>
        <v>7.276278073518494E-3</v>
      </c>
      <c r="J256" s="77"/>
      <c r="K256" s="77"/>
    </row>
    <row r="257" spans="1:11" ht="17.5">
      <c r="A257" s="248">
        <v>42718</v>
      </c>
      <c r="B257" s="249">
        <v>95.04</v>
      </c>
      <c r="C257" s="47">
        <f t="shared" si="8"/>
        <v>3.3783783783785104E-3</v>
      </c>
      <c r="G257" s="81">
        <v>42707</v>
      </c>
      <c r="H257" s="82">
        <v>321.8</v>
      </c>
      <c r="I257" s="173">
        <f t="shared" si="7"/>
        <v>6.3168428294453349E-3</v>
      </c>
      <c r="J257" s="77"/>
      <c r="K257" s="77"/>
    </row>
    <row r="258" spans="1:11" ht="17.5">
      <c r="A258" s="248">
        <v>42719</v>
      </c>
      <c r="B258" s="249">
        <v>95.11</v>
      </c>
      <c r="C258" s="47">
        <f t="shared" si="8"/>
        <v>7.3653198653200747E-4</v>
      </c>
      <c r="G258" s="81">
        <v>42710</v>
      </c>
      <c r="H258" s="82">
        <v>322.02</v>
      </c>
      <c r="I258" s="173">
        <f t="shared" si="7"/>
        <v>6.8365444375384499E-4</v>
      </c>
      <c r="J258" s="77"/>
      <c r="K258" s="77"/>
    </row>
    <row r="259" spans="1:11" ht="17.5">
      <c r="A259" s="248">
        <v>42720</v>
      </c>
      <c r="B259" s="249">
        <v>95.42</v>
      </c>
      <c r="C259" s="47">
        <f t="shared" si="8"/>
        <v>3.2593838713068646E-3</v>
      </c>
      <c r="G259" s="81">
        <v>42711</v>
      </c>
      <c r="H259" s="82">
        <v>323.22000000000003</v>
      </c>
      <c r="I259" s="173">
        <f t="shared" si="7"/>
        <v>3.7264766163593865E-3</v>
      </c>
      <c r="J259" s="77"/>
      <c r="K259" s="77"/>
    </row>
    <row r="260" spans="1:11" ht="17.5">
      <c r="A260" s="248">
        <v>42721</v>
      </c>
      <c r="B260" s="249">
        <v>95.29</v>
      </c>
      <c r="C260" s="47">
        <f t="shared" si="8"/>
        <v>-1.3623978201634523E-3</v>
      </c>
      <c r="G260" s="81">
        <v>42712</v>
      </c>
      <c r="H260" s="82">
        <v>322.69</v>
      </c>
      <c r="I260" s="173">
        <f t="shared" si="7"/>
        <v>-1.6397500154694544E-3</v>
      </c>
      <c r="J260" s="77"/>
      <c r="K260" s="77"/>
    </row>
    <row r="261" spans="1:11" ht="17.5">
      <c r="A261" s="248">
        <v>42724</v>
      </c>
      <c r="B261" s="249">
        <v>95.02</v>
      </c>
      <c r="C261" s="47">
        <f t="shared" si="8"/>
        <v>-2.8334557666073179E-3</v>
      </c>
      <c r="G261" s="81">
        <v>42713</v>
      </c>
      <c r="H261" s="82">
        <v>322.68</v>
      </c>
      <c r="I261" s="173">
        <f t="shared" si="7"/>
        <v>-3.0989494561262099E-5</v>
      </c>
      <c r="J261" s="77"/>
      <c r="K261" s="77"/>
    </row>
    <row r="262" spans="1:11" ht="17.5">
      <c r="A262" s="248">
        <v>42725</v>
      </c>
      <c r="B262" s="249">
        <v>95.14</v>
      </c>
      <c r="C262" s="47">
        <f t="shared" si="8"/>
        <v>1.2628920227319984E-3</v>
      </c>
      <c r="G262" s="81">
        <v>42714</v>
      </c>
      <c r="H262" s="82">
        <v>323.02</v>
      </c>
      <c r="I262" s="173">
        <f t="shared" si="7"/>
        <v>1.0536754679557614E-3</v>
      </c>
      <c r="J262" s="77"/>
      <c r="K262" s="77"/>
    </row>
    <row r="263" spans="1:11" ht="17.5">
      <c r="A263" s="248">
        <v>42726</v>
      </c>
      <c r="B263" s="249">
        <v>95.28</v>
      </c>
      <c r="C263" s="47">
        <f t="shared" si="8"/>
        <v>1.4715156611309066E-3</v>
      </c>
      <c r="G263" s="81">
        <v>42717</v>
      </c>
      <c r="H263" s="82">
        <v>321.62</v>
      </c>
      <c r="I263" s="173">
        <f t="shared" si="7"/>
        <v>-4.33409695994047E-3</v>
      </c>
      <c r="J263" s="77"/>
      <c r="K263" s="77"/>
    </row>
    <row r="264" spans="1:11" ht="17.5">
      <c r="A264" s="248">
        <v>42727</v>
      </c>
      <c r="B264" s="249">
        <v>95.52</v>
      </c>
      <c r="C264" s="47">
        <f t="shared" si="8"/>
        <v>2.5188916876572875E-3</v>
      </c>
      <c r="G264" s="81">
        <v>42718</v>
      </c>
      <c r="H264" s="82">
        <v>321.77</v>
      </c>
      <c r="I264" s="173">
        <f t="shared" si="7"/>
        <v>4.6638890616246265E-4</v>
      </c>
      <c r="J264" s="77"/>
      <c r="K264" s="77"/>
    </row>
    <row r="265" spans="1:11" ht="17.5">
      <c r="A265" s="248">
        <v>42731</v>
      </c>
      <c r="B265" s="249">
        <v>95.54</v>
      </c>
      <c r="C265" s="47">
        <f t="shared" si="8"/>
        <v>2.0938023450600696E-4</v>
      </c>
      <c r="G265" s="81">
        <v>42719</v>
      </c>
      <c r="H265" s="82">
        <v>325.44</v>
      </c>
      <c r="I265" s="173">
        <f t="shared" si="7"/>
        <v>1.1405662429685881E-2</v>
      </c>
      <c r="J265" s="77"/>
      <c r="K265" s="77"/>
    </row>
    <row r="266" spans="1:11" ht="17.5">
      <c r="A266" s="248">
        <v>42732</v>
      </c>
      <c r="B266" s="249">
        <v>95.68</v>
      </c>
      <c r="C266" s="47">
        <f t="shared" si="8"/>
        <v>1.4653548252041571E-3</v>
      </c>
      <c r="G266" s="81">
        <v>42720</v>
      </c>
      <c r="H266" s="82">
        <v>328.17</v>
      </c>
      <c r="I266" s="173">
        <f t="shared" si="7"/>
        <v>8.3886430678465906E-3</v>
      </c>
      <c r="J266" s="77"/>
      <c r="K266" s="77"/>
    </row>
    <row r="267" spans="1:11" ht="17.5">
      <c r="A267" s="248">
        <v>42733</v>
      </c>
      <c r="B267" s="249">
        <v>95.81</v>
      </c>
      <c r="C267" s="47">
        <f t="shared" si="8"/>
        <v>1.3586956521738358E-3</v>
      </c>
      <c r="G267" s="81">
        <v>42721</v>
      </c>
      <c r="H267" s="82">
        <v>327.2</v>
      </c>
      <c r="I267" s="173">
        <f t="shared" si="7"/>
        <v>-2.9557851113752864E-3</v>
      </c>
      <c r="J267" s="77"/>
      <c r="K267" s="77"/>
    </row>
    <row r="268" spans="1:11" ht="17.5">
      <c r="A268" s="248">
        <v>42734</v>
      </c>
      <c r="B268" s="249">
        <v>95.87</v>
      </c>
      <c r="C268" s="47">
        <f t="shared" si="8"/>
        <v>6.2623943220962985E-4</v>
      </c>
      <c r="G268" s="81">
        <v>42724</v>
      </c>
      <c r="H268" s="82">
        <v>323.8</v>
      </c>
      <c r="I268" s="173">
        <f t="shared" si="7"/>
        <v>-1.0391198044009675E-2</v>
      </c>
      <c r="J268" s="77"/>
      <c r="K268" s="77"/>
    </row>
    <row r="269" spans="1:11" ht="17.5">
      <c r="A269" s="248">
        <v>42738</v>
      </c>
      <c r="B269" s="249">
        <v>95.34</v>
      </c>
      <c r="C269" s="47">
        <f t="shared" si="8"/>
        <v>-5.5283195994576539E-3</v>
      </c>
      <c r="G269" s="81">
        <v>42725</v>
      </c>
      <c r="H269" s="82">
        <v>322.20999999999998</v>
      </c>
      <c r="I269" s="173">
        <f t="shared" si="7"/>
        <v>-4.9104385423102137E-3</v>
      </c>
      <c r="J269" s="77"/>
      <c r="K269" s="77"/>
    </row>
    <row r="270" spans="1:11" ht="17.5">
      <c r="A270" s="248">
        <v>42739</v>
      </c>
      <c r="B270" s="249">
        <v>95.4</v>
      </c>
      <c r="C270" s="47">
        <f t="shared" si="8"/>
        <v>6.293266205161796E-4</v>
      </c>
      <c r="G270" s="81">
        <v>42726</v>
      </c>
      <c r="H270" s="82">
        <v>324.62</v>
      </c>
      <c r="I270" s="173">
        <f t="shared" si="7"/>
        <v>7.4795940535676841E-3</v>
      </c>
      <c r="J270" s="77"/>
      <c r="K270" s="77"/>
    </row>
    <row r="271" spans="1:11" ht="17.5">
      <c r="A271" s="248">
        <v>42740</v>
      </c>
      <c r="B271" s="249">
        <v>94.72</v>
      </c>
      <c r="C271" s="47">
        <f t="shared" si="8"/>
        <v>-7.1278825995807482E-3</v>
      </c>
      <c r="G271" s="81">
        <v>42727</v>
      </c>
      <c r="H271" s="82">
        <v>322.79000000000002</v>
      </c>
      <c r="I271" s="173">
        <f t="shared" si="7"/>
        <v>-5.6373606062473103E-3</v>
      </c>
      <c r="J271" s="77"/>
      <c r="K271" s="77"/>
    </row>
    <row r="272" spans="1:11" ht="17.5">
      <c r="A272" s="248">
        <v>42741</v>
      </c>
      <c r="B272" s="249">
        <v>94.68</v>
      </c>
      <c r="C272" s="47">
        <f t="shared" si="8"/>
        <v>-4.2229729729725829E-4</v>
      </c>
      <c r="G272" s="81">
        <v>42728</v>
      </c>
      <c r="H272" s="82">
        <v>323.16000000000003</v>
      </c>
      <c r="I272" s="173">
        <f t="shared" ref="I272:I335" si="9">H272/H271-1</f>
        <v>1.1462560798041199E-3</v>
      </c>
      <c r="J272" s="77"/>
      <c r="K272" s="77"/>
    </row>
    <row r="273" spans="1:11" ht="17.5">
      <c r="A273" s="248">
        <v>42742</v>
      </c>
      <c r="B273" s="249">
        <v>94.73</v>
      </c>
      <c r="C273" s="47">
        <f t="shared" ref="C273:C336" si="10">B273/B272-1</f>
        <v>5.2809463455849581E-4</v>
      </c>
      <c r="G273" s="81">
        <v>42731</v>
      </c>
      <c r="H273" s="82">
        <v>322.52999999999997</v>
      </c>
      <c r="I273" s="173">
        <f t="shared" si="9"/>
        <v>-1.94949870033434E-3</v>
      </c>
      <c r="J273" s="77"/>
      <c r="K273" s="77"/>
    </row>
    <row r="274" spans="1:11" ht="17.5">
      <c r="A274" s="248">
        <v>42745</v>
      </c>
      <c r="B274" s="249">
        <v>93.99</v>
      </c>
      <c r="C274" s="47">
        <f t="shared" si="10"/>
        <v>-7.8116752876598028E-3</v>
      </c>
      <c r="G274" s="81">
        <v>42732</v>
      </c>
      <c r="H274" s="82">
        <v>325.83999999999997</v>
      </c>
      <c r="I274" s="173">
        <f t="shared" si="9"/>
        <v>1.0262611229963081E-2</v>
      </c>
      <c r="J274" s="77"/>
      <c r="K274" s="77"/>
    </row>
    <row r="275" spans="1:11" ht="17.5">
      <c r="A275" s="248">
        <v>42746</v>
      </c>
      <c r="B275" s="249">
        <v>93.54</v>
      </c>
      <c r="C275" s="47">
        <f t="shared" si="10"/>
        <v>-4.7877433769548672E-3</v>
      </c>
      <c r="G275" s="81">
        <v>42733</v>
      </c>
      <c r="H275" s="82">
        <v>330.6</v>
      </c>
      <c r="I275" s="173">
        <f t="shared" si="9"/>
        <v>1.4608396759145714E-2</v>
      </c>
      <c r="J275" s="77"/>
      <c r="K275" s="77"/>
    </row>
    <row r="276" spans="1:11" ht="17.5">
      <c r="A276" s="248">
        <v>42747</v>
      </c>
      <c r="B276" s="249">
        <v>93.98</v>
      </c>
      <c r="C276" s="47">
        <f t="shared" si="10"/>
        <v>4.7038700021380109E-3</v>
      </c>
      <c r="G276" s="81">
        <v>42734</v>
      </c>
      <c r="H276" s="82">
        <v>331.34</v>
      </c>
      <c r="I276" s="173">
        <f t="shared" si="9"/>
        <v>2.2383545069568633E-3</v>
      </c>
      <c r="J276" s="77"/>
      <c r="K276" s="77"/>
    </row>
    <row r="277" spans="1:11" ht="17.5">
      <c r="A277" s="248">
        <v>42748</v>
      </c>
      <c r="B277" s="249">
        <v>93.71</v>
      </c>
      <c r="C277" s="47">
        <f t="shared" si="10"/>
        <v>-2.8729516918494236E-3</v>
      </c>
      <c r="G277" s="81">
        <v>42735</v>
      </c>
      <c r="H277" s="82">
        <v>331.57</v>
      </c>
      <c r="I277" s="173">
        <f t="shared" si="9"/>
        <v>6.9415102311820576E-4</v>
      </c>
      <c r="J277" s="77"/>
      <c r="K277" s="77"/>
    </row>
    <row r="278" spans="1:11" ht="17.5">
      <c r="A278" s="248">
        <v>42749</v>
      </c>
      <c r="B278" s="249">
        <v>93.81</v>
      </c>
      <c r="C278" s="47">
        <f t="shared" si="10"/>
        <v>1.067121972041507E-3</v>
      </c>
      <c r="G278" s="81">
        <v>42738</v>
      </c>
      <c r="H278" s="82">
        <v>334.34</v>
      </c>
      <c r="I278" s="173">
        <f t="shared" si="9"/>
        <v>8.3541936845914488E-3</v>
      </c>
      <c r="J278" s="77"/>
      <c r="K278" s="77"/>
    </row>
    <row r="279" spans="1:11" ht="17.5">
      <c r="A279" s="248">
        <v>42753</v>
      </c>
      <c r="B279" s="249">
        <v>93.95</v>
      </c>
      <c r="C279" s="47">
        <f t="shared" si="10"/>
        <v>1.4923782112781225E-3</v>
      </c>
      <c r="G279" s="81">
        <v>42739</v>
      </c>
      <c r="H279" s="82">
        <v>337.8</v>
      </c>
      <c r="I279" s="173">
        <f t="shared" si="9"/>
        <v>1.0348746784710317E-2</v>
      </c>
      <c r="J279" s="77"/>
      <c r="K279" s="77"/>
    </row>
    <row r="280" spans="1:11" ht="17.5">
      <c r="A280" s="248">
        <v>42754</v>
      </c>
      <c r="B280" s="249">
        <v>94.05</v>
      </c>
      <c r="C280" s="47">
        <f t="shared" si="10"/>
        <v>1.0643959552953941E-3</v>
      </c>
      <c r="G280" s="81">
        <v>42740</v>
      </c>
      <c r="H280" s="82">
        <v>336.87</v>
      </c>
      <c r="I280" s="173">
        <f t="shared" si="9"/>
        <v>-2.7531083481350249E-3</v>
      </c>
      <c r="J280" s="77"/>
      <c r="K280" s="77"/>
    </row>
    <row r="281" spans="1:11" ht="17.5">
      <c r="A281" s="248">
        <v>42755</v>
      </c>
      <c r="B281" s="249">
        <v>94.12</v>
      </c>
      <c r="C281" s="47">
        <f t="shared" si="10"/>
        <v>7.4428495481138057E-4</v>
      </c>
      <c r="G281" s="81">
        <v>42741</v>
      </c>
      <c r="H281" s="82">
        <v>337.98</v>
      </c>
      <c r="I281" s="173">
        <f t="shared" si="9"/>
        <v>3.295039629530816E-3</v>
      </c>
      <c r="J281" s="77"/>
      <c r="K281" s="77"/>
    </row>
    <row r="282" spans="1:11" ht="17.5">
      <c r="A282" s="248">
        <v>42756</v>
      </c>
      <c r="B282" s="249">
        <v>94.16</v>
      </c>
      <c r="C282" s="47">
        <f t="shared" si="10"/>
        <v>4.2498937526547209E-4</v>
      </c>
      <c r="G282" s="81">
        <v>42742</v>
      </c>
      <c r="H282" s="82">
        <v>343.78</v>
      </c>
      <c r="I282" s="173">
        <f t="shared" si="9"/>
        <v>1.7160778744304217E-2</v>
      </c>
      <c r="J282" s="77"/>
      <c r="K282" s="77"/>
    </row>
    <row r="283" spans="1:11" ht="17.5">
      <c r="A283" s="248">
        <v>42759</v>
      </c>
      <c r="B283" s="249">
        <v>94.53</v>
      </c>
      <c r="C283" s="47">
        <f t="shared" si="10"/>
        <v>3.9294817332200527E-3</v>
      </c>
      <c r="G283" s="81">
        <v>42745</v>
      </c>
      <c r="H283" s="82">
        <v>342.48</v>
      </c>
      <c r="I283" s="173">
        <f t="shared" si="9"/>
        <v>-3.7814881610330753E-3</v>
      </c>
      <c r="J283" s="77"/>
      <c r="K283" s="77"/>
    </row>
    <row r="284" spans="1:11" ht="17.5">
      <c r="A284" s="248">
        <v>42760</v>
      </c>
      <c r="B284" s="249">
        <v>94.41</v>
      </c>
      <c r="C284" s="47">
        <f t="shared" si="10"/>
        <v>-1.2694382735639609E-3</v>
      </c>
      <c r="G284" s="81">
        <v>42746</v>
      </c>
      <c r="H284" s="82">
        <v>344.33</v>
      </c>
      <c r="I284" s="173">
        <f t="shared" si="9"/>
        <v>5.4017752861479362E-3</v>
      </c>
      <c r="J284" s="77"/>
      <c r="K284" s="77"/>
    </row>
    <row r="285" spans="1:11" ht="17.5">
      <c r="A285" s="248">
        <v>42761</v>
      </c>
      <c r="B285" s="249">
        <v>93.97</v>
      </c>
      <c r="C285" s="47">
        <f t="shared" si="10"/>
        <v>-4.6605232496557125E-3</v>
      </c>
      <c r="G285" s="81">
        <v>42747</v>
      </c>
      <c r="H285" s="82">
        <v>346.61</v>
      </c>
      <c r="I285" s="173">
        <f t="shared" si="9"/>
        <v>6.6215549037260679E-3</v>
      </c>
      <c r="J285" s="77"/>
      <c r="K285" s="77"/>
    </row>
    <row r="286" spans="1:11" ht="17.5">
      <c r="A286" s="248">
        <v>42762</v>
      </c>
      <c r="B286" s="249">
        <v>94.17</v>
      </c>
      <c r="C286" s="47">
        <f t="shared" si="10"/>
        <v>2.1283388315420648E-3</v>
      </c>
      <c r="G286" s="81">
        <v>42748</v>
      </c>
      <c r="H286" s="82">
        <v>348.89</v>
      </c>
      <c r="I286" s="173">
        <f t="shared" si="9"/>
        <v>6.5779983266494035E-3</v>
      </c>
      <c r="J286" s="77"/>
      <c r="K286" s="77"/>
    </row>
    <row r="287" spans="1:11" ht="17.5">
      <c r="A287" s="248">
        <v>42763</v>
      </c>
      <c r="B287" s="249">
        <v>94.16</v>
      </c>
      <c r="C287" s="47">
        <f t="shared" si="10"/>
        <v>-1.0619093129449197E-4</v>
      </c>
      <c r="G287" s="81">
        <v>42749</v>
      </c>
      <c r="H287" s="82">
        <v>346.19</v>
      </c>
      <c r="I287" s="173">
        <f t="shared" si="9"/>
        <v>-7.7388288572328712E-3</v>
      </c>
      <c r="J287" s="77"/>
      <c r="K287" s="77"/>
    </row>
    <row r="288" spans="1:11" ht="17.5">
      <c r="A288" s="248">
        <v>42766</v>
      </c>
      <c r="B288" s="249">
        <v>94.63</v>
      </c>
      <c r="C288" s="47">
        <f t="shared" si="10"/>
        <v>4.9915038232795084E-3</v>
      </c>
      <c r="G288" s="81">
        <v>42752</v>
      </c>
      <c r="H288" s="82">
        <v>347.78</v>
      </c>
      <c r="I288" s="173">
        <f t="shared" si="9"/>
        <v>4.592853635286831E-3</v>
      </c>
      <c r="J288" s="77"/>
      <c r="K288" s="77"/>
    </row>
    <row r="289" spans="1:11" ht="17.5">
      <c r="A289" s="248">
        <v>42767</v>
      </c>
      <c r="B289" s="249">
        <v>94.63</v>
      </c>
      <c r="C289" s="47">
        <f t="shared" si="10"/>
        <v>0</v>
      </c>
      <c r="G289" s="81">
        <v>42753</v>
      </c>
      <c r="H289" s="82">
        <v>352.56</v>
      </c>
      <c r="I289" s="173">
        <f t="shared" si="9"/>
        <v>1.3744321122548753E-2</v>
      </c>
      <c r="J289" s="77"/>
      <c r="K289" s="77"/>
    </row>
    <row r="290" spans="1:11" ht="17.5">
      <c r="A290" s="248">
        <v>42768</v>
      </c>
      <c r="B290" s="249">
        <v>94.39</v>
      </c>
      <c r="C290" s="47">
        <f t="shared" si="10"/>
        <v>-2.5361935961111248E-3</v>
      </c>
      <c r="G290" s="81">
        <v>42754</v>
      </c>
      <c r="H290" s="82">
        <v>357.12</v>
      </c>
      <c r="I290" s="173">
        <f t="shared" si="9"/>
        <v>1.293396868618113E-2</v>
      </c>
      <c r="J290" s="77"/>
      <c r="K290" s="77"/>
    </row>
    <row r="291" spans="1:11" ht="17.5">
      <c r="A291" s="248">
        <v>42769</v>
      </c>
      <c r="B291" s="249">
        <v>94.66</v>
      </c>
      <c r="C291" s="47">
        <f t="shared" si="10"/>
        <v>2.8604725076808446E-3</v>
      </c>
      <c r="G291" s="81">
        <v>42755</v>
      </c>
      <c r="H291" s="82">
        <v>357.52</v>
      </c>
      <c r="I291" s="173">
        <f t="shared" si="9"/>
        <v>1.1200716845878311E-3</v>
      </c>
      <c r="J291" s="77"/>
      <c r="K291" s="77"/>
    </row>
    <row r="292" spans="1:11" ht="17.5">
      <c r="A292" s="248">
        <v>42770</v>
      </c>
      <c r="B292" s="249">
        <v>94.77</v>
      </c>
      <c r="C292" s="47">
        <f t="shared" si="10"/>
        <v>1.1620536657510616E-3</v>
      </c>
      <c r="G292" s="81">
        <v>42756</v>
      </c>
      <c r="H292" s="82">
        <v>354.69</v>
      </c>
      <c r="I292" s="173">
        <f t="shared" si="9"/>
        <v>-7.9156410830163448E-3</v>
      </c>
      <c r="J292" s="77"/>
      <c r="K292" s="77"/>
    </row>
    <row r="293" spans="1:11" ht="17.5">
      <c r="A293" s="248">
        <v>42773</v>
      </c>
      <c r="B293" s="249">
        <v>94.77</v>
      </c>
      <c r="C293" s="47">
        <f t="shared" si="10"/>
        <v>0</v>
      </c>
      <c r="G293" s="81">
        <v>42759</v>
      </c>
      <c r="H293" s="82">
        <v>357.84</v>
      </c>
      <c r="I293" s="173">
        <f t="shared" si="9"/>
        <v>8.8809946714032417E-3</v>
      </c>
      <c r="J293" s="77"/>
      <c r="K293" s="77"/>
    </row>
    <row r="294" spans="1:11" ht="17.5">
      <c r="A294" s="248">
        <v>42774</v>
      </c>
      <c r="B294" s="249">
        <v>94.43</v>
      </c>
      <c r="C294" s="47">
        <f t="shared" si="10"/>
        <v>-3.5876332172627423E-3</v>
      </c>
      <c r="G294" s="81">
        <v>42760</v>
      </c>
      <c r="H294" s="82">
        <v>353.68</v>
      </c>
      <c r="I294" s="173">
        <f t="shared" si="9"/>
        <v>-1.1625307399955154E-2</v>
      </c>
      <c r="J294" s="77"/>
      <c r="K294" s="77"/>
    </row>
    <row r="295" spans="1:11" ht="17.5">
      <c r="A295" s="248">
        <v>42775</v>
      </c>
      <c r="B295" s="249">
        <v>94.62</v>
      </c>
      <c r="C295" s="47">
        <f t="shared" si="10"/>
        <v>2.012072434607548E-3</v>
      </c>
      <c r="G295" s="81">
        <v>42761</v>
      </c>
      <c r="H295" s="82">
        <v>349.28</v>
      </c>
      <c r="I295" s="173">
        <f t="shared" si="9"/>
        <v>-1.2440624293146407E-2</v>
      </c>
      <c r="J295" s="77"/>
      <c r="K295" s="77"/>
    </row>
    <row r="296" spans="1:11" ht="17.5">
      <c r="A296" s="248">
        <v>42776</v>
      </c>
      <c r="B296" s="249">
        <v>94.68</v>
      </c>
      <c r="C296" s="47">
        <f t="shared" si="10"/>
        <v>6.3411540900437657E-4</v>
      </c>
      <c r="G296" s="81">
        <v>42762</v>
      </c>
      <c r="H296" s="82">
        <v>344.95</v>
      </c>
      <c r="I296" s="173">
        <f t="shared" si="9"/>
        <v>-1.2396930829134178E-2</v>
      </c>
      <c r="J296" s="77"/>
      <c r="K296" s="77"/>
    </row>
    <row r="297" spans="1:11" ht="17.5">
      <c r="A297" s="248">
        <v>42777</v>
      </c>
      <c r="B297" s="249">
        <v>94.15</v>
      </c>
      <c r="C297" s="47">
        <f t="shared" si="10"/>
        <v>-5.5978031263202999E-3</v>
      </c>
      <c r="G297" s="81">
        <v>42763</v>
      </c>
      <c r="H297" s="82">
        <v>340.73</v>
      </c>
      <c r="I297" s="173">
        <f t="shared" si="9"/>
        <v>-1.2233657051746505E-2</v>
      </c>
      <c r="J297" s="77"/>
      <c r="K297" s="77"/>
    </row>
    <row r="298" spans="1:11" ht="17.5">
      <c r="A298" s="248">
        <v>42781</v>
      </c>
      <c r="B298" s="249">
        <v>93</v>
      </c>
      <c r="C298" s="47">
        <f t="shared" si="10"/>
        <v>-1.2214551248008521E-2</v>
      </c>
      <c r="G298" s="81">
        <v>42766</v>
      </c>
      <c r="H298" s="82">
        <v>347.93</v>
      </c>
      <c r="I298" s="173">
        <f t="shared" si="9"/>
        <v>2.1131100871657926E-2</v>
      </c>
      <c r="J298" s="77"/>
      <c r="K298" s="77"/>
    </row>
    <row r="299" spans="1:11" ht="17.5">
      <c r="A299" s="248">
        <v>42782</v>
      </c>
      <c r="B299" s="249">
        <v>93.52</v>
      </c>
      <c r="C299" s="47">
        <f t="shared" si="10"/>
        <v>5.5913978494623873E-3</v>
      </c>
      <c r="G299" s="81">
        <v>42767</v>
      </c>
      <c r="H299" s="82">
        <v>353.35</v>
      </c>
      <c r="I299" s="173">
        <f t="shared" si="9"/>
        <v>1.5577846118472127E-2</v>
      </c>
      <c r="J299" s="77"/>
      <c r="K299" s="77"/>
    </row>
    <row r="300" spans="1:11" ht="17.5">
      <c r="A300" s="248">
        <v>42783</v>
      </c>
      <c r="B300" s="249">
        <v>93.42</v>
      </c>
      <c r="C300" s="47">
        <f t="shared" si="10"/>
        <v>-1.0692899914456211E-3</v>
      </c>
      <c r="G300" s="81">
        <v>42768</v>
      </c>
      <c r="H300" s="82">
        <v>355.98</v>
      </c>
      <c r="I300" s="173">
        <f t="shared" si="9"/>
        <v>7.4430451393801E-3</v>
      </c>
      <c r="J300" s="77"/>
      <c r="K300" s="77"/>
    </row>
    <row r="301" spans="1:11" ht="17.5">
      <c r="A301" s="248">
        <v>42784</v>
      </c>
      <c r="B301" s="249">
        <v>92.92</v>
      </c>
      <c r="C301" s="47">
        <f t="shared" si="10"/>
        <v>-5.3521729822307851E-3</v>
      </c>
      <c r="G301" s="81">
        <v>42769</v>
      </c>
      <c r="H301" s="82">
        <v>355.5</v>
      </c>
      <c r="I301" s="173">
        <f t="shared" si="9"/>
        <v>-1.3483903590090218E-3</v>
      </c>
      <c r="J301" s="77"/>
      <c r="K301" s="77"/>
    </row>
    <row r="302" spans="1:11" ht="17.5">
      <c r="A302" s="248">
        <v>42787</v>
      </c>
      <c r="B302" s="249">
        <v>92.29</v>
      </c>
      <c r="C302" s="47">
        <f t="shared" si="10"/>
        <v>-6.7800258286697668E-3</v>
      </c>
      <c r="G302" s="81">
        <v>42770</v>
      </c>
      <c r="H302" s="82">
        <v>357.29</v>
      </c>
      <c r="I302" s="173">
        <f t="shared" si="9"/>
        <v>5.0351617440225205E-3</v>
      </c>
      <c r="J302" s="77"/>
      <c r="K302" s="77"/>
    </row>
    <row r="303" spans="1:11" ht="17.5">
      <c r="A303" s="248">
        <v>42788</v>
      </c>
      <c r="B303" s="249">
        <v>92.4</v>
      </c>
      <c r="C303" s="47">
        <f t="shared" si="10"/>
        <v>1.1918951132299238E-3</v>
      </c>
      <c r="G303" s="81">
        <v>42773</v>
      </c>
      <c r="H303" s="82">
        <v>359.51</v>
      </c>
      <c r="I303" s="173">
        <f t="shared" si="9"/>
        <v>6.2134400626940867E-3</v>
      </c>
      <c r="J303" s="77"/>
      <c r="K303" s="77"/>
    </row>
    <row r="304" spans="1:11" ht="17.5">
      <c r="A304" s="248">
        <v>42789</v>
      </c>
      <c r="B304" s="249">
        <v>92.54</v>
      </c>
      <c r="C304" s="47">
        <f t="shared" si="10"/>
        <v>1.5151515151514694E-3</v>
      </c>
      <c r="G304" s="81">
        <v>42774</v>
      </c>
      <c r="H304" s="82">
        <v>362.25</v>
      </c>
      <c r="I304" s="173">
        <f t="shared" si="9"/>
        <v>7.6214847987539081E-3</v>
      </c>
      <c r="J304" s="77"/>
      <c r="K304" s="77"/>
    </row>
    <row r="305" spans="1:11" ht="17.5">
      <c r="A305" s="248">
        <v>42790</v>
      </c>
      <c r="B305" s="249">
        <v>90.89</v>
      </c>
      <c r="C305" s="47">
        <f t="shared" si="10"/>
        <v>-1.7830127512427074E-2</v>
      </c>
      <c r="G305" s="81">
        <v>42775</v>
      </c>
      <c r="H305" s="82">
        <v>365.49</v>
      </c>
      <c r="I305" s="173">
        <f t="shared" si="9"/>
        <v>8.9440993788820755E-3</v>
      </c>
      <c r="J305" s="77"/>
      <c r="K305" s="77"/>
    </row>
    <row r="306" spans="1:11" ht="17.5">
      <c r="A306" s="248">
        <v>42791</v>
      </c>
      <c r="B306" s="249">
        <v>91.29</v>
      </c>
      <c r="C306" s="47">
        <f t="shared" si="10"/>
        <v>4.4009241940807797E-3</v>
      </c>
      <c r="G306" s="81">
        <v>42776</v>
      </c>
      <c r="H306" s="82">
        <v>367.04</v>
      </c>
      <c r="I306" s="173">
        <f t="shared" si="9"/>
        <v>4.2408821034776167E-3</v>
      </c>
      <c r="J306" s="77"/>
      <c r="K306" s="77"/>
    </row>
    <row r="307" spans="1:11" ht="17.5">
      <c r="A307" s="248">
        <v>42794</v>
      </c>
      <c r="B307" s="249">
        <v>91.8</v>
      </c>
      <c r="C307" s="47">
        <f t="shared" si="10"/>
        <v>5.5865921787707773E-3</v>
      </c>
      <c r="G307" s="81">
        <v>42777</v>
      </c>
      <c r="H307" s="82">
        <v>367.4</v>
      </c>
      <c r="I307" s="173">
        <f t="shared" si="9"/>
        <v>9.8081952920647808E-4</v>
      </c>
      <c r="J307" s="77"/>
      <c r="K307" s="77"/>
    </row>
    <row r="308" spans="1:11" ht="17.5">
      <c r="A308" s="248">
        <v>42795</v>
      </c>
      <c r="B308" s="249">
        <v>91.74</v>
      </c>
      <c r="C308" s="47">
        <f t="shared" si="10"/>
        <v>-6.5359477124182774E-4</v>
      </c>
      <c r="G308" s="81">
        <v>42780</v>
      </c>
      <c r="H308" s="82">
        <v>368.84</v>
      </c>
      <c r="I308" s="173">
        <f t="shared" si="9"/>
        <v>3.9194338595536227E-3</v>
      </c>
      <c r="J308" s="77"/>
      <c r="K308" s="77"/>
    </row>
    <row r="309" spans="1:11" ht="17.5">
      <c r="A309" s="248">
        <v>42796</v>
      </c>
      <c r="B309" s="249">
        <v>91.19</v>
      </c>
      <c r="C309" s="47">
        <f t="shared" si="10"/>
        <v>-5.9952038369304184E-3</v>
      </c>
      <c r="G309" s="81">
        <v>42781</v>
      </c>
      <c r="H309" s="82">
        <v>369.97</v>
      </c>
      <c r="I309" s="173">
        <f t="shared" si="9"/>
        <v>3.0636590391499574E-3</v>
      </c>
      <c r="J309" s="77"/>
      <c r="K309" s="77"/>
    </row>
    <row r="310" spans="1:11" ht="17.5">
      <c r="A310" s="248">
        <v>42797</v>
      </c>
      <c r="B310" s="249">
        <v>90.41</v>
      </c>
      <c r="C310" s="47">
        <f t="shared" si="10"/>
        <v>-8.5535694703366971E-3</v>
      </c>
      <c r="G310" s="81">
        <v>42782</v>
      </c>
      <c r="H310" s="82">
        <v>371.45</v>
      </c>
      <c r="I310" s="173">
        <f t="shared" si="9"/>
        <v>4.0003243506228081E-3</v>
      </c>
      <c r="J310" s="77"/>
      <c r="K310" s="77"/>
    </row>
    <row r="311" spans="1:11" ht="17.5">
      <c r="A311" s="248">
        <v>42798</v>
      </c>
      <c r="B311" s="249">
        <v>90.39</v>
      </c>
      <c r="C311" s="47">
        <f t="shared" si="10"/>
        <v>-2.2121446742617845E-4</v>
      </c>
      <c r="G311" s="81">
        <v>42783</v>
      </c>
      <c r="H311" s="82">
        <v>367.1</v>
      </c>
      <c r="I311" s="173">
        <f t="shared" si="9"/>
        <v>-1.1710862834836355E-2</v>
      </c>
      <c r="J311" s="77"/>
      <c r="K311" s="77"/>
    </row>
    <row r="312" spans="1:11" ht="17.5">
      <c r="A312" s="248">
        <v>42801</v>
      </c>
      <c r="B312" s="249">
        <v>88.83</v>
      </c>
      <c r="C312" s="47">
        <f t="shared" si="10"/>
        <v>-1.7258546299369404E-2</v>
      </c>
      <c r="G312" s="81">
        <v>42784</v>
      </c>
      <c r="H312" s="82">
        <v>368.17</v>
      </c>
      <c r="I312" s="173">
        <f t="shared" si="9"/>
        <v>2.9147371288475998E-3</v>
      </c>
      <c r="J312" s="77"/>
      <c r="K312" s="77"/>
    </row>
    <row r="313" spans="1:11" ht="17.5">
      <c r="A313" s="248">
        <v>42802</v>
      </c>
      <c r="B313" s="249">
        <v>89.88</v>
      </c>
      <c r="C313" s="47">
        <f t="shared" si="10"/>
        <v>1.1820330969267046E-2</v>
      </c>
      <c r="G313" s="81">
        <v>42787</v>
      </c>
      <c r="H313" s="82">
        <v>360.27</v>
      </c>
      <c r="I313" s="173">
        <f t="shared" si="9"/>
        <v>-2.1457478882038306E-2</v>
      </c>
      <c r="J313" s="77"/>
      <c r="K313" s="77"/>
    </row>
    <row r="314" spans="1:11" ht="17.5">
      <c r="A314" s="248">
        <v>42803</v>
      </c>
      <c r="B314" s="249">
        <v>90.75</v>
      </c>
      <c r="C314" s="47">
        <f t="shared" si="10"/>
        <v>9.6795727636849183E-3</v>
      </c>
      <c r="G314" s="81">
        <v>42788</v>
      </c>
      <c r="H314" s="82">
        <v>360.55</v>
      </c>
      <c r="I314" s="173">
        <f t="shared" si="9"/>
        <v>7.7719488161664962E-4</v>
      </c>
      <c r="J314" s="77"/>
      <c r="K314" s="77"/>
    </row>
    <row r="315" spans="1:11" ht="17.5">
      <c r="A315" s="248">
        <v>42804</v>
      </c>
      <c r="B315" s="249">
        <v>91.43</v>
      </c>
      <c r="C315" s="47">
        <f t="shared" si="10"/>
        <v>7.4931129476585312E-3</v>
      </c>
      <c r="G315" s="81">
        <v>42789</v>
      </c>
      <c r="H315" s="82">
        <v>355.64</v>
      </c>
      <c r="I315" s="173">
        <f t="shared" si="9"/>
        <v>-1.3618083483566856E-2</v>
      </c>
      <c r="J315" s="77"/>
      <c r="K315" s="77"/>
    </row>
    <row r="316" spans="1:11" ht="17.5">
      <c r="A316" s="248">
        <v>42805</v>
      </c>
      <c r="B316" s="249">
        <v>90.28</v>
      </c>
      <c r="C316" s="47">
        <f t="shared" si="10"/>
        <v>-1.2577928469867716E-2</v>
      </c>
      <c r="G316" s="81">
        <v>42790</v>
      </c>
      <c r="H316" s="82">
        <v>355.86</v>
      </c>
      <c r="I316" s="173">
        <f t="shared" si="9"/>
        <v>6.1860308176808765E-4</v>
      </c>
      <c r="J316" s="77"/>
      <c r="K316" s="77"/>
    </row>
    <row r="317" spans="1:11" ht="17.5">
      <c r="A317" s="248">
        <v>42808</v>
      </c>
      <c r="B317" s="249">
        <v>90.87</v>
      </c>
      <c r="C317" s="47">
        <f t="shared" si="10"/>
        <v>6.5352237483384812E-3</v>
      </c>
      <c r="G317" s="81">
        <v>42791</v>
      </c>
      <c r="H317" s="82">
        <v>345.68</v>
      </c>
      <c r="I317" s="173">
        <f t="shared" si="9"/>
        <v>-2.8606755465632516E-2</v>
      </c>
      <c r="J317" s="77"/>
      <c r="K317" s="77"/>
    </row>
    <row r="318" spans="1:11" ht="17.5">
      <c r="A318" s="248">
        <v>42809</v>
      </c>
      <c r="B318" s="249">
        <v>91.19</v>
      </c>
      <c r="C318" s="47">
        <f t="shared" si="10"/>
        <v>3.5215142511280106E-3</v>
      </c>
      <c r="G318" s="81">
        <v>42794</v>
      </c>
      <c r="H318" s="82">
        <v>352.43</v>
      </c>
      <c r="I318" s="173">
        <f t="shared" si="9"/>
        <v>1.9526729923628805E-2</v>
      </c>
      <c r="J318" s="77"/>
      <c r="K318" s="77"/>
    </row>
    <row r="319" spans="1:11" ht="17.5">
      <c r="A319" s="248">
        <v>42810</v>
      </c>
      <c r="B319" s="249">
        <v>91.95</v>
      </c>
      <c r="C319" s="47">
        <f t="shared" si="10"/>
        <v>8.334247176225551E-3</v>
      </c>
      <c r="G319" s="81">
        <v>42795</v>
      </c>
      <c r="H319" s="82">
        <v>350.92</v>
      </c>
      <c r="I319" s="173">
        <f t="shared" si="9"/>
        <v>-4.2845387736571983E-3</v>
      </c>
      <c r="J319" s="77"/>
      <c r="K319" s="77"/>
    </row>
    <row r="320" spans="1:11" ht="17.5">
      <c r="A320" s="248">
        <v>42811</v>
      </c>
      <c r="B320" s="249">
        <v>90.7</v>
      </c>
      <c r="C320" s="47">
        <f t="shared" si="10"/>
        <v>-1.3594344752582921E-2</v>
      </c>
      <c r="G320" s="81">
        <v>42796</v>
      </c>
      <c r="H320" s="82">
        <v>355.27</v>
      </c>
      <c r="I320" s="173">
        <f t="shared" si="9"/>
        <v>1.2395987689501675E-2</v>
      </c>
      <c r="J320" s="77"/>
      <c r="K320" s="77"/>
    </row>
    <row r="321" spans="1:11" ht="17.5">
      <c r="A321" s="248">
        <v>42812</v>
      </c>
      <c r="B321" s="249">
        <v>90.97</v>
      </c>
      <c r="C321" s="47">
        <f t="shared" si="10"/>
        <v>2.9768467475193017E-3</v>
      </c>
      <c r="G321" s="81">
        <v>42797</v>
      </c>
      <c r="H321" s="82">
        <v>347.71</v>
      </c>
      <c r="I321" s="173">
        <f t="shared" si="9"/>
        <v>-2.1279590170856011E-2</v>
      </c>
      <c r="J321" s="77"/>
      <c r="K321" s="77"/>
    </row>
    <row r="322" spans="1:11" ht="17.5">
      <c r="A322" s="248">
        <v>42815</v>
      </c>
      <c r="B322" s="249">
        <v>91.17</v>
      </c>
      <c r="C322" s="47">
        <f t="shared" si="10"/>
        <v>2.1985269869186919E-3</v>
      </c>
      <c r="G322" s="81">
        <v>42798</v>
      </c>
      <c r="H322" s="82">
        <v>345.69</v>
      </c>
      <c r="I322" s="173">
        <f t="shared" si="9"/>
        <v>-5.8094389002328883E-3</v>
      </c>
      <c r="J322" s="77"/>
      <c r="K322" s="77"/>
    </row>
    <row r="323" spans="1:11" ht="17.5">
      <c r="A323" s="248">
        <v>42816</v>
      </c>
      <c r="B323" s="249">
        <v>90.84</v>
      </c>
      <c r="C323" s="47">
        <f t="shared" si="10"/>
        <v>-3.6196117143797446E-3</v>
      </c>
      <c r="G323" s="81">
        <v>42801</v>
      </c>
      <c r="H323" s="82">
        <v>337.39</v>
      </c>
      <c r="I323" s="173">
        <f t="shared" si="9"/>
        <v>-2.4009951112268224E-2</v>
      </c>
      <c r="J323" s="77"/>
      <c r="K323" s="77"/>
    </row>
    <row r="324" spans="1:11" ht="17.5">
      <c r="A324" s="248">
        <v>42817</v>
      </c>
      <c r="B324" s="249">
        <v>91.04</v>
      </c>
      <c r="C324" s="47">
        <f t="shared" si="10"/>
        <v>2.2016732716865217E-3</v>
      </c>
      <c r="G324" s="81">
        <v>42802</v>
      </c>
      <c r="H324" s="82">
        <v>340.26</v>
      </c>
      <c r="I324" s="173">
        <f t="shared" si="9"/>
        <v>8.5064761848305803E-3</v>
      </c>
      <c r="J324" s="77"/>
      <c r="K324" s="77"/>
    </row>
    <row r="325" spans="1:11" ht="17.5">
      <c r="A325" s="248">
        <v>42818</v>
      </c>
      <c r="B325" s="249">
        <v>90.91</v>
      </c>
      <c r="C325" s="47">
        <f t="shared" si="10"/>
        <v>-1.4279437609843182E-3</v>
      </c>
      <c r="G325" s="81">
        <v>42803</v>
      </c>
      <c r="H325" s="82">
        <v>342.84</v>
      </c>
      <c r="I325" s="173">
        <f t="shared" si="9"/>
        <v>7.5824369599717389E-3</v>
      </c>
      <c r="J325" s="77"/>
      <c r="K325" s="77"/>
    </row>
    <row r="326" spans="1:11" ht="17.5">
      <c r="A326" s="248">
        <v>42819</v>
      </c>
      <c r="B326" s="249">
        <v>90.94</v>
      </c>
      <c r="C326" s="47">
        <f t="shared" si="10"/>
        <v>3.299967000329751E-4</v>
      </c>
      <c r="G326" s="81">
        <v>42804</v>
      </c>
      <c r="H326" s="82">
        <v>351.1</v>
      </c>
      <c r="I326" s="173">
        <f t="shared" si="9"/>
        <v>2.4092871310232411E-2</v>
      </c>
      <c r="J326" s="77"/>
      <c r="K326" s="77"/>
    </row>
    <row r="327" spans="1:11" ht="17.5">
      <c r="A327" s="248">
        <v>42822</v>
      </c>
      <c r="B327" s="249">
        <v>90.47</v>
      </c>
      <c r="C327" s="47">
        <f t="shared" si="10"/>
        <v>-5.1682427974488743E-3</v>
      </c>
      <c r="G327" s="81">
        <v>42805</v>
      </c>
      <c r="H327" s="82">
        <v>348.12</v>
      </c>
      <c r="I327" s="173">
        <f t="shared" si="9"/>
        <v>-8.4876103674167425E-3</v>
      </c>
      <c r="J327" s="77"/>
      <c r="K327" s="77"/>
    </row>
    <row r="328" spans="1:11" ht="17.5">
      <c r="A328" s="248">
        <v>42823</v>
      </c>
      <c r="B328" s="249">
        <v>90.51</v>
      </c>
      <c r="C328" s="47">
        <f t="shared" si="10"/>
        <v>4.4213551453520239E-4</v>
      </c>
      <c r="G328" s="81">
        <v>42808</v>
      </c>
      <c r="H328" s="82">
        <v>346.23</v>
      </c>
      <c r="I328" s="173">
        <f t="shared" si="9"/>
        <v>-5.4291623578076598E-3</v>
      </c>
      <c r="J328" s="77"/>
      <c r="K328" s="77"/>
    </row>
    <row r="329" spans="1:11" ht="17.5">
      <c r="A329" s="248">
        <v>42824</v>
      </c>
      <c r="B329" s="249">
        <v>90.63</v>
      </c>
      <c r="C329" s="47">
        <f t="shared" si="10"/>
        <v>1.3258203513422107E-3</v>
      </c>
      <c r="G329" s="81">
        <v>42809</v>
      </c>
      <c r="H329" s="82">
        <v>348.11</v>
      </c>
      <c r="I329" s="173">
        <f t="shared" si="9"/>
        <v>5.4299165294746654E-3</v>
      </c>
      <c r="J329" s="77"/>
      <c r="K329" s="77"/>
    </row>
    <row r="330" spans="1:11" ht="17.5">
      <c r="A330" s="248">
        <v>42825</v>
      </c>
      <c r="B330" s="249">
        <v>91.34</v>
      </c>
      <c r="C330" s="47">
        <f t="shared" si="10"/>
        <v>7.8340505351430778E-3</v>
      </c>
      <c r="G330" s="81">
        <v>42810</v>
      </c>
      <c r="H330" s="82">
        <v>346.81</v>
      </c>
      <c r="I330" s="173">
        <f t="shared" si="9"/>
        <v>-3.734451753755974E-3</v>
      </c>
      <c r="J330" s="77"/>
      <c r="K330" s="77"/>
    </row>
    <row r="331" spans="1:11" ht="17.5">
      <c r="A331" s="248">
        <v>42829</v>
      </c>
      <c r="B331" s="249">
        <v>91.24</v>
      </c>
      <c r="C331" s="47">
        <f t="shared" si="10"/>
        <v>-1.0948105977667266E-3</v>
      </c>
      <c r="G331" s="81">
        <v>42811</v>
      </c>
      <c r="H331" s="82">
        <v>347.35</v>
      </c>
      <c r="I331" s="173">
        <f t="shared" si="9"/>
        <v>1.5570485280125279E-3</v>
      </c>
      <c r="J331" s="77"/>
      <c r="K331" s="77"/>
    </row>
    <row r="332" spans="1:11" ht="17.5">
      <c r="A332" s="248">
        <v>42830</v>
      </c>
      <c r="B332" s="249">
        <v>91.54</v>
      </c>
      <c r="C332" s="47">
        <f t="shared" si="10"/>
        <v>3.2880315651031555E-3</v>
      </c>
      <c r="G332" s="81">
        <v>42812</v>
      </c>
      <c r="H332" s="82">
        <v>345.31</v>
      </c>
      <c r="I332" s="173">
        <f t="shared" si="9"/>
        <v>-5.8730387217504898E-3</v>
      </c>
      <c r="J332" s="77"/>
      <c r="K332" s="77"/>
    </row>
    <row r="333" spans="1:11" ht="17.5">
      <c r="A333" s="248">
        <v>42831</v>
      </c>
      <c r="B333" s="249">
        <v>91.23</v>
      </c>
      <c r="C333" s="47">
        <f t="shared" si="10"/>
        <v>-3.3864977059209211E-3</v>
      </c>
      <c r="G333" s="81">
        <v>42815</v>
      </c>
      <c r="H333" s="82">
        <v>345.15</v>
      </c>
      <c r="I333" s="173">
        <f t="shared" si="9"/>
        <v>-4.6335177087264423E-4</v>
      </c>
      <c r="J333" s="77"/>
      <c r="K333" s="77"/>
    </row>
    <row r="334" spans="1:11" ht="17.5">
      <c r="A334" s="248">
        <v>42832</v>
      </c>
      <c r="B334" s="249">
        <v>91.75</v>
      </c>
      <c r="C334" s="47">
        <f t="shared" si="10"/>
        <v>5.699879425627552E-3</v>
      </c>
      <c r="G334" s="81">
        <v>42816</v>
      </c>
      <c r="H334" s="82">
        <v>341.91</v>
      </c>
      <c r="I334" s="173">
        <f t="shared" si="9"/>
        <v>-9.3872229465448154E-3</v>
      </c>
      <c r="J334" s="77"/>
      <c r="K334" s="77"/>
    </row>
    <row r="335" spans="1:11" ht="17.5">
      <c r="A335" s="248">
        <v>42833</v>
      </c>
      <c r="B335" s="249">
        <v>91.5</v>
      </c>
      <c r="C335" s="47">
        <f t="shared" si="10"/>
        <v>-2.7247956403270157E-3</v>
      </c>
      <c r="G335" s="81">
        <v>42817</v>
      </c>
      <c r="H335" s="82">
        <v>335.12</v>
      </c>
      <c r="I335" s="173">
        <f t="shared" si="9"/>
        <v>-1.9859027229387927E-2</v>
      </c>
      <c r="J335" s="77"/>
      <c r="K335" s="77"/>
    </row>
    <row r="336" spans="1:11" ht="17.5">
      <c r="A336" s="248">
        <v>42836</v>
      </c>
      <c r="B336" s="249">
        <v>91.65</v>
      </c>
      <c r="C336" s="47">
        <f t="shared" si="10"/>
        <v>1.6393442622950616E-3</v>
      </c>
      <c r="G336" s="81">
        <v>42818</v>
      </c>
      <c r="H336" s="82">
        <v>332.33</v>
      </c>
      <c r="I336" s="173">
        <f t="shared" ref="I336:I399" si="11">H336/H335-1</f>
        <v>-8.3253759847219388E-3</v>
      </c>
      <c r="J336" s="77"/>
      <c r="K336" s="77"/>
    </row>
    <row r="337" spans="1:11" ht="17.5">
      <c r="A337" s="248">
        <v>42837</v>
      </c>
      <c r="B337" s="249">
        <v>92.14</v>
      </c>
      <c r="C337" s="47">
        <f t="shared" ref="C337:C400" si="12">B337/B336-1</f>
        <v>5.3464266230223156E-3</v>
      </c>
      <c r="G337" s="81">
        <v>42819</v>
      </c>
      <c r="H337" s="82">
        <v>337</v>
      </c>
      <c r="I337" s="173">
        <f t="shared" si="11"/>
        <v>1.4052297415219961E-2</v>
      </c>
      <c r="J337" s="77"/>
      <c r="K337" s="77"/>
    </row>
    <row r="338" spans="1:11" ht="17.5">
      <c r="A338" s="248">
        <v>42838</v>
      </c>
      <c r="B338" s="249">
        <v>92.05</v>
      </c>
      <c r="C338" s="47">
        <f t="shared" si="12"/>
        <v>-9.7677447362709557E-4</v>
      </c>
      <c r="G338" s="81">
        <v>42822</v>
      </c>
      <c r="H338" s="82">
        <v>337.71</v>
      </c>
      <c r="I338" s="173">
        <f t="shared" si="11"/>
        <v>2.1068249258160421E-3</v>
      </c>
      <c r="J338" s="77"/>
      <c r="K338" s="77"/>
    </row>
    <row r="339" spans="1:11" ht="17.5">
      <c r="A339" s="248">
        <v>42839</v>
      </c>
      <c r="B339" s="249">
        <v>93.17</v>
      </c>
      <c r="C339" s="47">
        <f t="shared" si="12"/>
        <v>1.2167300380228285E-2</v>
      </c>
      <c r="G339" s="81">
        <v>42823</v>
      </c>
      <c r="H339" s="82">
        <v>340.1</v>
      </c>
      <c r="I339" s="173">
        <f t="shared" si="11"/>
        <v>7.0770779663025252E-3</v>
      </c>
      <c r="J339" s="77"/>
      <c r="K339" s="77"/>
    </row>
    <row r="340" spans="1:11" ht="17.5">
      <c r="A340" s="248">
        <v>42840</v>
      </c>
      <c r="B340" s="249">
        <v>92.87</v>
      </c>
      <c r="C340" s="47">
        <f t="shared" si="12"/>
        <v>-3.219920575292412E-3</v>
      </c>
      <c r="G340" s="81">
        <v>42824</v>
      </c>
      <c r="H340" s="82">
        <v>339.62</v>
      </c>
      <c r="I340" s="173">
        <f t="shared" si="11"/>
        <v>-1.4113496030579986E-3</v>
      </c>
      <c r="J340" s="77"/>
      <c r="K340" s="77"/>
    </row>
    <row r="341" spans="1:11" ht="17.5">
      <c r="A341" s="248">
        <v>42843</v>
      </c>
      <c r="B341" s="249">
        <v>92.81</v>
      </c>
      <c r="C341" s="47">
        <f t="shared" si="12"/>
        <v>-6.4606439108438884E-4</v>
      </c>
      <c r="G341" s="81">
        <v>42825</v>
      </c>
      <c r="H341" s="82">
        <v>344.11</v>
      </c>
      <c r="I341" s="173">
        <f t="shared" si="11"/>
        <v>1.3220658382898653E-2</v>
      </c>
      <c r="J341" s="77"/>
      <c r="K341" s="77"/>
    </row>
    <row r="342" spans="1:11" ht="17.5">
      <c r="A342" s="248">
        <v>42844</v>
      </c>
      <c r="B342" s="249">
        <v>92.57</v>
      </c>
      <c r="C342" s="47">
        <f t="shared" si="12"/>
        <v>-2.5859282404914197E-3</v>
      </c>
      <c r="G342" s="81">
        <v>42826</v>
      </c>
      <c r="H342" s="82">
        <v>344.2</v>
      </c>
      <c r="I342" s="173">
        <f t="shared" si="11"/>
        <v>2.6154427363334065E-4</v>
      </c>
      <c r="J342" s="77"/>
      <c r="K342" s="77"/>
    </row>
    <row r="343" spans="1:11" ht="17.5">
      <c r="A343" s="248">
        <v>42845</v>
      </c>
      <c r="B343" s="249">
        <v>92.75</v>
      </c>
      <c r="C343" s="47">
        <f t="shared" si="12"/>
        <v>1.9444744517662649E-3</v>
      </c>
      <c r="G343" s="81">
        <v>42829</v>
      </c>
      <c r="H343" s="82">
        <v>343.95</v>
      </c>
      <c r="I343" s="173">
        <f t="shared" si="11"/>
        <v>-7.263219058686321E-4</v>
      </c>
      <c r="J343" s="77"/>
      <c r="K343" s="77"/>
    </row>
    <row r="344" spans="1:11" ht="17.5">
      <c r="A344" s="248">
        <v>42846</v>
      </c>
      <c r="B344" s="249">
        <v>92.89</v>
      </c>
      <c r="C344" s="47">
        <f t="shared" si="12"/>
        <v>1.5094339622641062E-3</v>
      </c>
      <c r="G344" s="81">
        <v>42830</v>
      </c>
      <c r="H344" s="82">
        <v>345.97</v>
      </c>
      <c r="I344" s="173">
        <f t="shared" si="11"/>
        <v>5.8729466492224436E-3</v>
      </c>
      <c r="J344" s="77"/>
      <c r="K344" s="77"/>
    </row>
    <row r="345" spans="1:11" ht="17.5">
      <c r="A345" s="248">
        <v>42847</v>
      </c>
      <c r="B345" s="249">
        <v>93.05</v>
      </c>
      <c r="C345" s="47">
        <f t="shared" si="12"/>
        <v>1.7224674345999169E-3</v>
      </c>
      <c r="G345" s="81">
        <v>42831</v>
      </c>
      <c r="H345" s="82">
        <v>344.33</v>
      </c>
      <c r="I345" s="173">
        <f t="shared" si="11"/>
        <v>-4.7402954013354703E-3</v>
      </c>
      <c r="J345" s="77"/>
      <c r="K345" s="77"/>
    </row>
    <row r="346" spans="1:11" ht="17.5">
      <c r="A346" s="248">
        <v>42850</v>
      </c>
      <c r="B346" s="249">
        <v>92.62</v>
      </c>
      <c r="C346" s="47">
        <f t="shared" si="12"/>
        <v>-4.6211714132186055E-3</v>
      </c>
      <c r="G346" s="81">
        <v>42832</v>
      </c>
      <c r="H346" s="82">
        <v>345.8</v>
      </c>
      <c r="I346" s="173">
        <f t="shared" si="11"/>
        <v>4.2691603984550408E-3</v>
      </c>
      <c r="J346" s="77"/>
      <c r="K346" s="77"/>
    </row>
    <row r="347" spans="1:11" ht="17.5">
      <c r="A347" s="248">
        <v>42851</v>
      </c>
      <c r="B347" s="249">
        <v>92.12</v>
      </c>
      <c r="C347" s="47">
        <f t="shared" si="12"/>
        <v>-5.3984020729863635E-3</v>
      </c>
      <c r="G347" s="81">
        <v>42833</v>
      </c>
      <c r="H347" s="82">
        <v>342.87</v>
      </c>
      <c r="I347" s="173">
        <f t="shared" si="11"/>
        <v>-8.47310584152694E-3</v>
      </c>
      <c r="J347" s="77"/>
      <c r="K347" s="77"/>
    </row>
    <row r="348" spans="1:11" ht="17.5">
      <c r="A348" s="248">
        <v>42852</v>
      </c>
      <c r="B348" s="249">
        <v>92.43</v>
      </c>
      <c r="C348" s="47">
        <f t="shared" si="12"/>
        <v>3.3651758575770074E-3</v>
      </c>
      <c r="G348" s="81">
        <v>42836</v>
      </c>
      <c r="H348" s="82">
        <v>340.05</v>
      </c>
      <c r="I348" s="173">
        <f t="shared" si="11"/>
        <v>-8.2246915740659121E-3</v>
      </c>
      <c r="J348" s="77"/>
      <c r="K348" s="77"/>
    </row>
    <row r="349" spans="1:11" ht="17.5">
      <c r="A349" s="248">
        <v>42853</v>
      </c>
      <c r="B349" s="249">
        <v>92.54</v>
      </c>
      <c r="C349" s="47">
        <f t="shared" si="12"/>
        <v>1.1900897976846458E-3</v>
      </c>
      <c r="G349" s="81">
        <v>42837</v>
      </c>
      <c r="H349" s="82">
        <v>339.76</v>
      </c>
      <c r="I349" s="173">
        <f t="shared" si="11"/>
        <v>-8.5281576238793733E-4</v>
      </c>
      <c r="J349" s="77"/>
      <c r="K349" s="77"/>
    </row>
    <row r="350" spans="1:11" ht="17.5">
      <c r="A350" s="248">
        <v>42854</v>
      </c>
      <c r="B350" s="249">
        <v>92.81</v>
      </c>
      <c r="C350" s="47">
        <f t="shared" si="12"/>
        <v>2.9176572293061476E-3</v>
      </c>
      <c r="G350" s="81">
        <v>42838</v>
      </c>
      <c r="H350" s="82">
        <v>342.53</v>
      </c>
      <c r="I350" s="173">
        <f t="shared" si="11"/>
        <v>8.1528137508828369E-3</v>
      </c>
      <c r="J350" s="77"/>
      <c r="K350" s="77"/>
    </row>
    <row r="351" spans="1:11" ht="17.5">
      <c r="A351" s="248">
        <v>42857</v>
      </c>
      <c r="B351" s="249">
        <v>92.68</v>
      </c>
      <c r="C351" s="47">
        <f t="shared" si="12"/>
        <v>-1.4007111302660746E-3</v>
      </c>
      <c r="G351" s="81">
        <v>42839</v>
      </c>
      <c r="H351" s="82">
        <v>343.64</v>
      </c>
      <c r="I351" s="173">
        <f t="shared" si="11"/>
        <v>3.2405920649285491E-3</v>
      </c>
      <c r="J351" s="77"/>
      <c r="K351" s="77"/>
    </row>
    <row r="352" spans="1:11" ht="17.5">
      <c r="A352" s="248">
        <v>42858</v>
      </c>
      <c r="B352" s="249">
        <v>92.76</v>
      </c>
      <c r="C352" s="47">
        <f t="shared" si="12"/>
        <v>8.6318515321526235E-4</v>
      </c>
      <c r="G352" s="81">
        <v>42840</v>
      </c>
      <c r="H352" s="82">
        <v>346.25</v>
      </c>
      <c r="I352" s="173">
        <f t="shared" si="11"/>
        <v>7.5951577231987422E-3</v>
      </c>
      <c r="J352" s="77"/>
      <c r="K352" s="77"/>
    </row>
    <row r="353" spans="1:11" ht="17.5">
      <c r="A353" s="248">
        <v>42859</v>
      </c>
      <c r="B353" s="249">
        <v>92.89</v>
      </c>
      <c r="C353" s="47">
        <f t="shared" si="12"/>
        <v>1.401466149202113E-3</v>
      </c>
      <c r="G353" s="81">
        <v>42843</v>
      </c>
      <c r="H353" s="82">
        <v>346.6</v>
      </c>
      <c r="I353" s="173">
        <f t="shared" si="11"/>
        <v>1.0108303249098949E-3</v>
      </c>
      <c r="J353" s="77"/>
      <c r="K353" s="77"/>
    </row>
    <row r="354" spans="1:11" ht="17.5">
      <c r="A354" s="248">
        <v>42860</v>
      </c>
      <c r="B354" s="249">
        <v>93.06</v>
      </c>
      <c r="C354" s="47">
        <f t="shared" si="12"/>
        <v>1.8301216492626615E-3</v>
      </c>
      <c r="G354" s="81">
        <v>42844</v>
      </c>
      <c r="H354" s="82">
        <v>346.06</v>
      </c>
      <c r="I354" s="173">
        <f t="shared" si="11"/>
        <v>-1.5579919215233939E-3</v>
      </c>
      <c r="J354" s="77"/>
      <c r="K354" s="77"/>
    </row>
    <row r="355" spans="1:11" ht="17.5">
      <c r="A355" s="248">
        <v>42861</v>
      </c>
      <c r="B355" s="249">
        <v>93.48</v>
      </c>
      <c r="C355" s="47">
        <f t="shared" si="12"/>
        <v>4.5132172791746417E-3</v>
      </c>
      <c r="G355" s="81">
        <v>42845</v>
      </c>
      <c r="H355" s="82">
        <v>344.58</v>
      </c>
      <c r="I355" s="173">
        <f t="shared" si="11"/>
        <v>-4.2767150205167415E-3</v>
      </c>
      <c r="J355" s="77"/>
      <c r="K355" s="77"/>
    </row>
    <row r="356" spans="1:11" ht="17.5">
      <c r="A356" s="248">
        <v>42864</v>
      </c>
      <c r="B356" s="249">
        <v>93.27</v>
      </c>
      <c r="C356" s="47">
        <f t="shared" si="12"/>
        <v>-2.246469833119491E-3</v>
      </c>
      <c r="G356" s="81">
        <v>42846</v>
      </c>
      <c r="H356" s="82">
        <v>345.69</v>
      </c>
      <c r="I356" s="173">
        <f t="shared" si="11"/>
        <v>3.2213129026641418E-3</v>
      </c>
      <c r="J356" s="77"/>
      <c r="K356" s="77"/>
    </row>
    <row r="357" spans="1:11" ht="17.5">
      <c r="A357" s="248">
        <v>42865</v>
      </c>
      <c r="B357" s="249">
        <v>93.05</v>
      </c>
      <c r="C357" s="47">
        <f t="shared" si="12"/>
        <v>-2.358743433043875E-3</v>
      </c>
      <c r="G357" s="81">
        <v>42847</v>
      </c>
      <c r="H357" s="82">
        <v>348.69</v>
      </c>
      <c r="I357" s="173">
        <f t="shared" si="11"/>
        <v>8.678295582747575E-3</v>
      </c>
      <c r="J357" s="77"/>
      <c r="K357" s="77"/>
    </row>
    <row r="358" spans="1:11" ht="17.5">
      <c r="A358" s="248">
        <v>42866</v>
      </c>
      <c r="B358" s="249">
        <v>92.21</v>
      </c>
      <c r="C358" s="47">
        <f t="shared" si="12"/>
        <v>-9.0274046211714642E-3</v>
      </c>
      <c r="G358" s="81">
        <v>42850</v>
      </c>
      <c r="H358" s="82">
        <v>350.67</v>
      </c>
      <c r="I358" s="173">
        <f t="shared" si="11"/>
        <v>5.6783962832316348E-3</v>
      </c>
      <c r="J358" s="77"/>
      <c r="K358" s="77"/>
    </row>
    <row r="359" spans="1:11" ht="17.5">
      <c r="A359" s="248">
        <v>42867</v>
      </c>
      <c r="B359" s="249">
        <v>92.69</v>
      </c>
      <c r="C359" s="47">
        <f t="shared" si="12"/>
        <v>5.2055091638651962E-3</v>
      </c>
      <c r="G359" s="81">
        <v>42851</v>
      </c>
      <c r="H359" s="82">
        <v>351.2</v>
      </c>
      <c r="I359" s="173">
        <f t="shared" si="11"/>
        <v>1.5113924772578446E-3</v>
      </c>
      <c r="J359" s="77"/>
      <c r="K359" s="77"/>
    </row>
    <row r="360" spans="1:11" ht="17.5">
      <c r="A360" s="248">
        <v>42868</v>
      </c>
      <c r="B360" s="249">
        <v>93.17</v>
      </c>
      <c r="C360" s="47">
        <f t="shared" si="12"/>
        <v>5.1785521631244613E-3</v>
      </c>
      <c r="G360" s="81">
        <v>42852</v>
      </c>
      <c r="H360" s="82">
        <v>353.08</v>
      </c>
      <c r="I360" s="173">
        <f t="shared" si="11"/>
        <v>5.3530751708428248E-3</v>
      </c>
      <c r="J360" s="77"/>
      <c r="K360" s="77"/>
    </row>
    <row r="361" spans="1:11" ht="17.5">
      <c r="A361" s="248">
        <v>42871</v>
      </c>
      <c r="B361" s="249">
        <v>93.12</v>
      </c>
      <c r="C361" s="47">
        <f t="shared" si="12"/>
        <v>-5.366534292153835E-4</v>
      </c>
      <c r="G361" s="81">
        <v>42853</v>
      </c>
      <c r="H361" s="82">
        <v>353.02</v>
      </c>
      <c r="I361" s="173">
        <f t="shared" si="11"/>
        <v>-1.6993315962388067E-4</v>
      </c>
      <c r="J361" s="77"/>
      <c r="K361" s="77"/>
    </row>
    <row r="362" spans="1:11" ht="17.5">
      <c r="A362" s="248">
        <v>42872</v>
      </c>
      <c r="B362" s="249">
        <v>93.11</v>
      </c>
      <c r="C362" s="47">
        <f t="shared" si="12"/>
        <v>-1.0738831615120237E-4</v>
      </c>
      <c r="G362" s="81">
        <v>42854</v>
      </c>
      <c r="H362" s="82">
        <v>349</v>
      </c>
      <c r="I362" s="173">
        <f t="shared" si="11"/>
        <v>-1.1387456801314366E-2</v>
      </c>
      <c r="J362" s="77"/>
      <c r="K362" s="77"/>
    </row>
    <row r="363" spans="1:11" ht="17.5">
      <c r="A363" s="248">
        <v>42873</v>
      </c>
      <c r="B363" s="249">
        <v>92.68</v>
      </c>
      <c r="C363" s="47">
        <f t="shared" si="12"/>
        <v>-4.6181935345289693E-3</v>
      </c>
      <c r="G363" s="81">
        <v>42857</v>
      </c>
      <c r="H363" s="82">
        <v>347.17</v>
      </c>
      <c r="I363" s="173">
        <f t="shared" si="11"/>
        <v>-5.2435530085959137E-3</v>
      </c>
      <c r="J363" s="77"/>
      <c r="K363" s="77"/>
    </row>
    <row r="364" spans="1:11" ht="17.5">
      <c r="A364" s="248">
        <v>42874</v>
      </c>
      <c r="B364" s="249">
        <v>93.32</v>
      </c>
      <c r="C364" s="47">
        <f t="shared" si="12"/>
        <v>6.9054812257227649E-3</v>
      </c>
      <c r="G364" s="81">
        <v>42858</v>
      </c>
      <c r="H364" s="82">
        <v>344.99</v>
      </c>
      <c r="I364" s="173">
        <f t="shared" si="11"/>
        <v>-6.2793444133998344E-3</v>
      </c>
      <c r="J364" s="77"/>
      <c r="K364" s="77"/>
    </row>
    <row r="365" spans="1:11" ht="17.5">
      <c r="A365" s="248">
        <v>42875</v>
      </c>
      <c r="B365" s="249">
        <v>93.14</v>
      </c>
      <c r="C365" s="47">
        <f t="shared" si="12"/>
        <v>-1.9288469781396644E-3</v>
      </c>
      <c r="G365" s="81">
        <v>42859</v>
      </c>
      <c r="H365" s="82">
        <v>344.66</v>
      </c>
      <c r="I365" s="173">
        <f t="shared" si="11"/>
        <v>-9.5654946520185025E-4</v>
      </c>
      <c r="J365" s="77"/>
      <c r="K365" s="77"/>
    </row>
    <row r="366" spans="1:11" ht="17.5">
      <c r="A366" s="248">
        <v>42878</v>
      </c>
      <c r="B366" s="249">
        <v>93.24</v>
      </c>
      <c r="C366" s="47">
        <f t="shared" si="12"/>
        <v>1.0736525660295371E-3</v>
      </c>
      <c r="G366" s="81">
        <v>42860</v>
      </c>
      <c r="H366" s="82">
        <v>346.65</v>
      </c>
      <c r="I366" s="173">
        <f t="shared" si="11"/>
        <v>5.773806069749865E-3</v>
      </c>
      <c r="J366" s="77"/>
      <c r="K366" s="77"/>
    </row>
    <row r="367" spans="1:11" ht="17.5">
      <c r="A367" s="248">
        <v>42879</v>
      </c>
      <c r="B367" s="249">
        <v>93.69</v>
      </c>
      <c r="C367" s="47">
        <f t="shared" si="12"/>
        <v>4.8262548262547611E-3</v>
      </c>
      <c r="G367" s="81">
        <v>42861</v>
      </c>
      <c r="H367" s="82">
        <v>348.66</v>
      </c>
      <c r="I367" s="173">
        <f t="shared" si="11"/>
        <v>5.7983556901775035E-3</v>
      </c>
      <c r="J367" s="77"/>
      <c r="K367" s="77"/>
    </row>
    <row r="368" spans="1:11" ht="17.5">
      <c r="A368" s="248">
        <v>42880</v>
      </c>
      <c r="B368" s="249">
        <v>93.68</v>
      </c>
      <c r="C368" s="47">
        <f t="shared" si="12"/>
        <v>-1.0673497705193657E-4</v>
      </c>
      <c r="G368" s="81">
        <v>42864</v>
      </c>
      <c r="H368" s="82">
        <v>347.55</v>
      </c>
      <c r="I368" s="173">
        <f t="shared" si="11"/>
        <v>-3.1836172775770999E-3</v>
      </c>
      <c r="J368" s="77"/>
      <c r="K368" s="77"/>
    </row>
    <row r="369" spans="1:11" ht="17.5">
      <c r="A369" s="248">
        <v>42881</v>
      </c>
      <c r="B369" s="249">
        <v>93.51</v>
      </c>
      <c r="C369" s="47">
        <f t="shared" si="12"/>
        <v>-1.8146883005978331E-3</v>
      </c>
      <c r="G369" s="81">
        <v>42865</v>
      </c>
      <c r="H369" s="82">
        <v>343.59</v>
      </c>
      <c r="I369" s="173">
        <f t="shared" si="11"/>
        <v>-1.1394044022442928E-2</v>
      </c>
      <c r="J369" s="77"/>
      <c r="K369" s="77"/>
    </row>
    <row r="370" spans="1:11" ht="17.5">
      <c r="A370" s="248">
        <v>42882</v>
      </c>
      <c r="B370" s="249">
        <v>93.7</v>
      </c>
      <c r="C370" s="47">
        <f t="shared" si="12"/>
        <v>2.0318682493851714E-3</v>
      </c>
      <c r="G370" s="81">
        <v>42866</v>
      </c>
      <c r="H370" s="82">
        <v>340.16</v>
      </c>
      <c r="I370" s="173">
        <f t="shared" si="11"/>
        <v>-9.9828283710234889E-3</v>
      </c>
      <c r="J370" s="77"/>
      <c r="K370" s="77"/>
    </row>
    <row r="371" spans="1:11" ht="17.5">
      <c r="A371" s="248">
        <v>42886</v>
      </c>
      <c r="B371" s="249">
        <v>93.82</v>
      </c>
      <c r="C371" s="47">
        <f t="shared" si="12"/>
        <v>1.2806830309497474E-3</v>
      </c>
      <c r="G371" s="81">
        <v>42867</v>
      </c>
      <c r="H371" s="82">
        <v>335.04</v>
      </c>
      <c r="I371" s="173">
        <f t="shared" si="11"/>
        <v>-1.5051740357478804E-2</v>
      </c>
      <c r="J371" s="77"/>
      <c r="K371" s="77"/>
    </row>
    <row r="372" spans="1:11" ht="17.5">
      <c r="A372" s="248">
        <v>42887</v>
      </c>
      <c r="B372" s="249">
        <v>93.97</v>
      </c>
      <c r="C372" s="47">
        <f t="shared" si="12"/>
        <v>1.5988062246856671E-3</v>
      </c>
      <c r="G372" s="81">
        <v>42868</v>
      </c>
      <c r="H372" s="82">
        <v>338.29</v>
      </c>
      <c r="I372" s="173">
        <f t="shared" si="11"/>
        <v>9.7003342884431909E-3</v>
      </c>
      <c r="J372" s="77"/>
      <c r="K372" s="77"/>
    </row>
    <row r="373" spans="1:11" ht="17.5">
      <c r="A373" s="248">
        <v>42888</v>
      </c>
      <c r="B373" s="249">
        <v>93.5</v>
      </c>
      <c r="C373" s="47">
        <f t="shared" si="12"/>
        <v>-5.0015962541236636E-3</v>
      </c>
      <c r="G373" s="81">
        <v>42871</v>
      </c>
      <c r="H373" s="82">
        <v>339.63</v>
      </c>
      <c r="I373" s="173">
        <f t="shared" si="11"/>
        <v>3.9610984658133841E-3</v>
      </c>
      <c r="J373" s="77"/>
      <c r="K373" s="77"/>
    </row>
    <row r="374" spans="1:11" ht="17.5">
      <c r="A374" s="248">
        <v>42889</v>
      </c>
      <c r="B374" s="249">
        <v>94.13</v>
      </c>
      <c r="C374" s="47">
        <f t="shared" si="12"/>
        <v>6.7379679144383697E-3</v>
      </c>
      <c r="G374" s="81">
        <v>42872</v>
      </c>
      <c r="H374" s="82">
        <v>345.37</v>
      </c>
      <c r="I374" s="173">
        <f t="shared" si="11"/>
        <v>1.690074492830429E-2</v>
      </c>
      <c r="J374" s="77"/>
      <c r="K374" s="77"/>
    </row>
    <row r="375" spans="1:11" ht="17.5">
      <c r="A375" s="248">
        <v>42892</v>
      </c>
      <c r="B375" s="249">
        <v>93.92</v>
      </c>
      <c r="C375" s="47">
        <f t="shared" si="12"/>
        <v>-2.2309571868691647E-3</v>
      </c>
      <c r="G375" s="81">
        <v>42873</v>
      </c>
      <c r="H375" s="82">
        <v>343.94</v>
      </c>
      <c r="I375" s="173">
        <f t="shared" si="11"/>
        <v>-4.1404870139271077E-3</v>
      </c>
      <c r="J375" s="77"/>
      <c r="K375" s="77"/>
    </row>
    <row r="376" spans="1:11" ht="17.5">
      <c r="A376" s="248">
        <v>42893</v>
      </c>
      <c r="B376" s="249">
        <v>94.29</v>
      </c>
      <c r="C376" s="47">
        <f t="shared" si="12"/>
        <v>3.9395229982963631E-3</v>
      </c>
      <c r="G376" s="81">
        <v>42874</v>
      </c>
      <c r="H376" s="82">
        <v>344.45</v>
      </c>
      <c r="I376" s="173">
        <f t="shared" si="11"/>
        <v>1.4828167703668793E-3</v>
      </c>
      <c r="J376" s="77"/>
      <c r="K376" s="77"/>
    </row>
    <row r="377" spans="1:11" ht="17.5">
      <c r="A377" s="248">
        <v>42894</v>
      </c>
      <c r="B377" s="249">
        <v>94.62</v>
      </c>
      <c r="C377" s="47">
        <f t="shared" si="12"/>
        <v>3.4998409163220501E-3</v>
      </c>
      <c r="G377" s="81">
        <v>42875</v>
      </c>
      <c r="H377" s="82">
        <v>344.78</v>
      </c>
      <c r="I377" s="173">
        <f t="shared" si="11"/>
        <v>9.5804906372465304E-4</v>
      </c>
      <c r="J377" s="77"/>
      <c r="K377" s="77"/>
    </row>
    <row r="378" spans="1:11" ht="17.5">
      <c r="A378" s="248">
        <v>42895</v>
      </c>
      <c r="B378" s="249">
        <v>94.77</v>
      </c>
      <c r="C378" s="47">
        <f t="shared" si="12"/>
        <v>1.5852885225109414E-3</v>
      </c>
      <c r="G378" s="81">
        <v>42878</v>
      </c>
      <c r="H378" s="82">
        <v>344.65</v>
      </c>
      <c r="I378" s="173">
        <f t="shared" si="11"/>
        <v>-3.7705203318061375E-4</v>
      </c>
      <c r="J378" s="77"/>
      <c r="K378" s="77"/>
    </row>
    <row r="379" spans="1:11" ht="17.5">
      <c r="A379" s="248">
        <v>42896</v>
      </c>
      <c r="B379" s="249">
        <v>94.87</v>
      </c>
      <c r="C379" s="47">
        <f t="shared" si="12"/>
        <v>1.0551862403715973E-3</v>
      </c>
      <c r="G379" s="81">
        <v>42879</v>
      </c>
      <c r="H379" s="82">
        <v>348.92</v>
      </c>
      <c r="I379" s="173">
        <f t="shared" si="11"/>
        <v>1.2389380530973604E-2</v>
      </c>
      <c r="J379" s="77"/>
      <c r="K379" s="77"/>
    </row>
    <row r="380" spans="1:11" ht="17.5">
      <c r="A380" s="248">
        <v>42899</v>
      </c>
      <c r="B380" s="249">
        <v>94.3</v>
      </c>
      <c r="C380" s="47">
        <f t="shared" si="12"/>
        <v>-6.0082217771688651E-3</v>
      </c>
      <c r="G380" s="81">
        <v>42880</v>
      </c>
      <c r="H380" s="82">
        <v>350.79</v>
      </c>
      <c r="I380" s="173">
        <f t="shared" si="11"/>
        <v>5.3593947036569833E-3</v>
      </c>
      <c r="J380" s="77"/>
      <c r="K380" s="77"/>
    </row>
    <row r="381" spans="1:11" ht="17.5">
      <c r="A381" s="248">
        <v>42900</v>
      </c>
      <c r="B381" s="249">
        <v>94.51</v>
      </c>
      <c r="C381" s="47">
        <f t="shared" si="12"/>
        <v>2.2269353128314684E-3</v>
      </c>
      <c r="G381" s="81">
        <v>42881</v>
      </c>
      <c r="H381" s="82">
        <v>352.03</v>
      </c>
      <c r="I381" s="173">
        <f t="shared" si="11"/>
        <v>3.5348784172866132E-3</v>
      </c>
      <c r="J381" s="77"/>
      <c r="K381" s="77"/>
    </row>
    <row r="382" spans="1:11" ht="17.5">
      <c r="A382" s="248">
        <v>42901</v>
      </c>
      <c r="B382" s="249">
        <v>93.71</v>
      </c>
      <c r="C382" s="47">
        <f t="shared" si="12"/>
        <v>-8.4647127288118851E-3</v>
      </c>
      <c r="G382" s="81">
        <v>42882</v>
      </c>
      <c r="H382" s="82">
        <v>353.55</v>
      </c>
      <c r="I382" s="173">
        <f t="shared" si="11"/>
        <v>4.31781382268559E-3</v>
      </c>
      <c r="J382" s="77"/>
      <c r="K382" s="77"/>
    </row>
    <row r="383" spans="1:11" ht="17.5">
      <c r="A383" s="248">
        <v>42902</v>
      </c>
      <c r="B383" s="249">
        <v>94.08</v>
      </c>
      <c r="C383" s="47">
        <f t="shared" si="12"/>
        <v>3.948351296553243E-3</v>
      </c>
      <c r="G383" s="81">
        <v>42885</v>
      </c>
      <c r="H383" s="82">
        <v>357.07</v>
      </c>
      <c r="I383" s="173">
        <f t="shared" si="11"/>
        <v>9.9561589591288246E-3</v>
      </c>
      <c r="J383" s="77"/>
      <c r="K383" s="77"/>
    </row>
    <row r="384" spans="1:11" ht="17.5">
      <c r="A384" s="248">
        <v>42903</v>
      </c>
      <c r="B384" s="249">
        <v>94.35</v>
      </c>
      <c r="C384" s="47">
        <f t="shared" si="12"/>
        <v>2.8698979591836871E-3</v>
      </c>
      <c r="G384" s="81">
        <v>42886</v>
      </c>
      <c r="H384" s="82">
        <v>360.55</v>
      </c>
      <c r="I384" s="173">
        <f t="shared" si="11"/>
        <v>9.7459881815891158E-3</v>
      </c>
      <c r="J384" s="77"/>
      <c r="K384" s="77"/>
    </row>
    <row r="385" spans="1:11" ht="17.5">
      <c r="A385" s="248">
        <v>42906</v>
      </c>
      <c r="B385" s="249">
        <v>94.29</v>
      </c>
      <c r="C385" s="47">
        <f t="shared" si="12"/>
        <v>-6.3593004769457728E-4</v>
      </c>
      <c r="G385" s="81">
        <v>42887</v>
      </c>
      <c r="H385" s="82">
        <v>360.82</v>
      </c>
      <c r="I385" s="173">
        <f t="shared" si="11"/>
        <v>7.4885591457496403E-4</v>
      </c>
      <c r="J385" s="77"/>
      <c r="K385" s="77"/>
    </row>
    <row r="386" spans="1:11" ht="17.5">
      <c r="A386" s="248">
        <v>42907</v>
      </c>
      <c r="B386" s="249">
        <v>94.24</v>
      </c>
      <c r="C386" s="47">
        <f t="shared" si="12"/>
        <v>-5.3027892671553278E-4</v>
      </c>
      <c r="G386" s="81">
        <v>42888</v>
      </c>
      <c r="H386" s="82">
        <v>359.36</v>
      </c>
      <c r="I386" s="173">
        <f t="shared" si="11"/>
        <v>-4.0463388947397094E-3</v>
      </c>
      <c r="J386" s="77"/>
      <c r="K386" s="77"/>
    </row>
    <row r="387" spans="1:11" ht="17.5">
      <c r="A387" s="248">
        <v>42908</v>
      </c>
      <c r="B387" s="249">
        <v>94.35</v>
      </c>
      <c r="C387" s="47">
        <f t="shared" si="12"/>
        <v>1.1672325976230802E-3</v>
      </c>
      <c r="G387" s="81">
        <v>42889</v>
      </c>
      <c r="H387" s="82">
        <v>359.35</v>
      </c>
      <c r="I387" s="173">
        <f t="shared" si="11"/>
        <v>-2.7827248441636421E-5</v>
      </c>
      <c r="J387" s="77"/>
      <c r="K387" s="77"/>
    </row>
    <row r="388" spans="1:11" ht="17.5">
      <c r="A388" s="248">
        <v>42909</v>
      </c>
      <c r="B388" s="249">
        <v>94.39</v>
      </c>
      <c r="C388" s="47">
        <f t="shared" si="12"/>
        <v>4.239533651297922E-4</v>
      </c>
      <c r="G388" s="81">
        <v>42892</v>
      </c>
      <c r="H388" s="82">
        <v>359</v>
      </c>
      <c r="I388" s="173">
        <f t="shared" si="11"/>
        <v>-9.7398079866428677E-4</v>
      </c>
      <c r="J388" s="77"/>
      <c r="K388" s="77"/>
    </row>
    <row r="389" spans="1:11" ht="17.5">
      <c r="A389" s="248">
        <v>42910</v>
      </c>
      <c r="B389" s="249">
        <v>94.23</v>
      </c>
      <c r="C389" s="47">
        <f t="shared" si="12"/>
        <v>-1.6950948193664717E-3</v>
      </c>
      <c r="G389" s="81">
        <v>42893</v>
      </c>
      <c r="H389" s="82">
        <v>358.41</v>
      </c>
      <c r="I389" s="173">
        <f t="shared" si="11"/>
        <v>-1.6434540389971275E-3</v>
      </c>
      <c r="J389" s="77"/>
      <c r="K389" s="77"/>
    </row>
    <row r="390" spans="1:11" ht="17.5">
      <c r="A390" s="248">
        <v>42913</v>
      </c>
      <c r="B390" s="249">
        <v>94.4</v>
      </c>
      <c r="C390" s="47">
        <f t="shared" si="12"/>
        <v>1.8040963599703641E-3</v>
      </c>
      <c r="G390" s="81">
        <v>42894</v>
      </c>
      <c r="H390" s="82">
        <v>357.69</v>
      </c>
      <c r="I390" s="173">
        <f t="shared" si="11"/>
        <v>-2.0088725202980218E-3</v>
      </c>
      <c r="J390" s="77"/>
      <c r="K390" s="77"/>
    </row>
    <row r="391" spans="1:11" ht="17.5">
      <c r="A391" s="248">
        <v>42914</v>
      </c>
      <c r="B391" s="249">
        <v>94.38</v>
      </c>
      <c r="C391" s="47">
        <f t="shared" si="12"/>
        <v>-2.1186440677978258E-4</v>
      </c>
      <c r="G391" s="81">
        <v>42895</v>
      </c>
      <c r="H391" s="82">
        <v>359.54</v>
      </c>
      <c r="I391" s="173">
        <f t="shared" si="11"/>
        <v>5.1720763789875335E-3</v>
      </c>
      <c r="J391" s="77"/>
      <c r="K391" s="77"/>
    </row>
    <row r="392" spans="1:11" ht="17.5">
      <c r="A392" s="248">
        <v>42915</v>
      </c>
      <c r="B392" s="249">
        <v>94.5</v>
      </c>
      <c r="C392" s="47">
        <f t="shared" si="12"/>
        <v>1.2714558169104606E-3</v>
      </c>
      <c r="G392" s="81">
        <v>42896</v>
      </c>
      <c r="H392" s="82">
        <v>359.7</v>
      </c>
      <c r="I392" s="173">
        <f t="shared" si="11"/>
        <v>4.4501307225885967E-4</v>
      </c>
      <c r="J392" s="77"/>
      <c r="K392" s="77"/>
    </row>
    <row r="393" spans="1:11" ht="17.5">
      <c r="A393" s="248">
        <v>42916</v>
      </c>
      <c r="B393" s="249">
        <v>94.41</v>
      </c>
      <c r="C393" s="47">
        <f t="shared" si="12"/>
        <v>-9.5238095238103782E-4</v>
      </c>
      <c r="G393" s="81">
        <v>42899</v>
      </c>
      <c r="H393" s="82">
        <v>360.42</v>
      </c>
      <c r="I393" s="173">
        <f t="shared" si="11"/>
        <v>2.0016680567140899E-3</v>
      </c>
      <c r="J393" s="77"/>
      <c r="K393" s="77"/>
    </row>
    <row r="394" spans="1:11" ht="17.5">
      <c r="A394" s="248">
        <v>42917</v>
      </c>
      <c r="B394" s="249">
        <v>94.52</v>
      </c>
      <c r="C394" s="47">
        <f t="shared" si="12"/>
        <v>1.1651308124138726E-3</v>
      </c>
      <c r="G394" s="81">
        <v>42900</v>
      </c>
      <c r="H394" s="82">
        <v>358.56</v>
      </c>
      <c r="I394" s="173">
        <f t="shared" si="11"/>
        <v>-5.1606459131013915E-3</v>
      </c>
      <c r="J394" s="77"/>
      <c r="K394" s="77"/>
    </row>
    <row r="395" spans="1:11" ht="17.5">
      <c r="A395" s="248">
        <v>42921</v>
      </c>
      <c r="B395" s="249">
        <v>94.63</v>
      </c>
      <c r="C395" s="47">
        <f t="shared" si="12"/>
        <v>1.1637748624628852E-3</v>
      </c>
      <c r="G395" s="81">
        <v>42901</v>
      </c>
      <c r="H395" s="82">
        <v>355.87</v>
      </c>
      <c r="I395" s="173">
        <f t="shared" si="11"/>
        <v>-7.5022311468094793E-3</v>
      </c>
      <c r="J395" s="77"/>
      <c r="K395" s="77"/>
    </row>
    <row r="396" spans="1:11" ht="17.5">
      <c r="A396" s="248">
        <v>42922</v>
      </c>
      <c r="B396" s="249">
        <v>94.76</v>
      </c>
      <c r="C396" s="47">
        <f t="shared" si="12"/>
        <v>1.3737715312269749E-3</v>
      </c>
      <c r="G396" s="81">
        <v>42902</v>
      </c>
      <c r="H396" s="82">
        <v>354.57</v>
      </c>
      <c r="I396" s="173">
        <f t="shared" si="11"/>
        <v>-3.6530193610025963E-3</v>
      </c>
      <c r="J396" s="77"/>
      <c r="K396" s="77"/>
    </row>
    <row r="397" spans="1:11" ht="17.5">
      <c r="A397" s="248">
        <v>42923</v>
      </c>
      <c r="B397" s="249">
        <v>94.57</v>
      </c>
      <c r="C397" s="47">
        <f t="shared" si="12"/>
        <v>-2.005065428450914E-3</v>
      </c>
      <c r="G397" s="81">
        <v>42903</v>
      </c>
      <c r="H397" s="82">
        <v>354.09</v>
      </c>
      <c r="I397" s="173">
        <f t="shared" si="11"/>
        <v>-1.3537524325240025E-3</v>
      </c>
      <c r="J397" s="77"/>
      <c r="K397" s="77"/>
    </row>
    <row r="398" spans="1:11" ht="17.5">
      <c r="A398" s="248">
        <v>42924</v>
      </c>
      <c r="B398" s="249">
        <v>94.54</v>
      </c>
      <c r="C398" s="47">
        <f t="shared" si="12"/>
        <v>-3.1722533572997591E-4</v>
      </c>
      <c r="G398" s="81">
        <v>42906</v>
      </c>
      <c r="H398" s="82">
        <v>351.85</v>
      </c>
      <c r="I398" s="173">
        <f t="shared" si="11"/>
        <v>-6.3260752915923479E-3</v>
      </c>
      <c r="J398" s="77"/>
      <c r="K398" s="77"/>
    </row>
    <row r="399" spans="1:11" ht="17.5">
      <c r="A399" s="248">
        <v>42927</v>
      </c>
      <c r="B399" s="249">
        <v>94.6</v>
      </c>
      <c r="C399" s="47">
        <f t="shared" si="12"/>
        <v>6.3465199915357928E-4</v>
      </c>
      <c r="G399" s="81">
        <v>42907</v>
      </c>
      <c r="H399" s="82">
        <v>350.98</v>
      </c>
      <c r="I399" s="173">
        <f t="shared" si="11"/>
        <v>-2.4726445928663354E-3</v>
      </c>
      <c r="J399" s="77"/>
      <c r="K399" s="77"/>
    </row>
    <row r="400" spans="1:11" ht="17.5">
      <c r="A400" s="248">
        <v>42928</v>
      </c>
      <c r="B400" s="249">
        <v>94.26</v>
      </c>
      <c r="C400" s="47">
        <f t="shared" si="12"/>
        <v>-3.5940803382662478E-3</v>
      </c>
      <c r="G400" s="81">
        <v>42908</v>
      </c>
      <c r="H400" s="82">
        <v>354.53</v>
      </c>
      <c r="I400" s="173">
        <f t="shared" ref="I400:I463" si="13">H400/H399-1</f>
        <v>1.0114536440822608E-2</v>
      </c>
      <c r="J400" s="77"/>
      <c r="K400" s="77"/>
    </row>
    <row r="401" spans="1:11" ht="17.5">
      <c r="A401" s="248">
        <v>42929</v>
      </c>
      <c r="B401" s="249">
        <v>94.67</v>
      </c>
      <c r="C401" s="47">
        <f t="shared" ref="C401:C464" si="14">B401/B400-1</f>
        <v>4.3496711224273454E-3</v>
      </c>
      <c r="G401" s="81">
        <v>42909</v>
      </c>
      <c r="H401" s="82">
        <v>356.13</v>
      </c>
      <c r="I401" s="173">
        <f t="shared" si="13"/>
        <v>4.5130172340845931E-3</v>
      </c>
      <c r="J401" s="77"/>
      <c r="K401" s="77"/>
    </row>
    <row r="402" spans="1:11" ht="17.5">
      <c r="A402" s="248">
        <v>42930</v>
      </c>
      <c r="B402" s="249">
        <v>94.96</v>
      </c>
      <c r="C402" s="47">
        <f t="shared" si="14"/>
        <v>3.0632724199850525E-3</v>
      </c>
      <c r="G402" s="81">
        <v>42910</v>
      </c>
      <c r="H402" s="82">
        <v>359.35</v>
      </c>
      <c r="I402" s="173">
        <f t="shared" si="13"/>
        <v>9.0416420969872124E-3</v>
      </c>
      <c r="J402" s="77"/>
      <c r="K402" s="77"/>
    </row>
    <row r="403" spans="1:11" ht="17.5">
      <c r="A403" s="248">
        <v>42931</v>
      </c>
      <c r="B403" s="249">
        <v>94.84</v>
      </c>
      <c r="C403" s="47">
        <f t="shared" si="14"/>
        <v>-1.2636899747261454E-3</v>
      </c>
      <c r="G403" s="81">
        <v>42913</v>
      </c>
      <c r="H403" s="82">
        <v>359.43</v>
      </c>
      <c r="I403" s="173">
        <f t="shared" si="13"/>
        <v>2.226241825518116E-4</v>
      </c>
      <c r="J403" s="77"/>
      <c r="K403" s="77"/>
    </row>
    <row r="404" spans="1:11" ht="17.5">
      <c r="A404" s="248">
        <v>42934</v>
      </c>
      <c r="B404" s="249">
        <v>94.85</v>
      </c>
      <c r="C404" s="47">
        <f t="shared" si="14"/>
        <v>1.0544074230267597E-4</v>
      </c>
      <c r="G404" s="81">
        <v>42914</v>
      </c>
      <c r="H404" s="82">
        <v>358.53</v>
      </c>
      <c r="I404" s="173">
        <f t="shared" si="13"/>
        <v>-2.5039646106336244E-3</v>
      </c>
      <c r="J404" s="77"/>
      <c r="K404" s="77"/>
    </row>
    <row r="405" spans="1:11" ht="17.5">
      <c r="A405" s="248">
        <v>42935</v>
      </c>
      <c r="B405" s="249">
        <v>95.12</v>
      </c>
      <c r="C405" s="47">
        <f t="shared" si="14"/>
        <v>2.8465998945705895E-3</v>
      </c>
      <c r="G405" s="81">
        <v>42915</v>
      </c>
      <c r="H405" s="82">
        <v>357.51</v>
      </c>
      <c r="I405" s="173">
        <f t="shared" si="13"/>
        <v>-2.8449502133711668E-3</v>
      </c>
      <c r="J405" s="77"/>
      <c r="K405" s="77"/>
    </row>
    <row r="406" spans="1:11" ht="17.5">
      <c r="A406" s="248">
        <v>42936</v>
      </c>
      <c r="B406" s="249">
        <v>94.75</v>
      </c>
      <c r="C406" s="47">
        <f t="shared" si="14"/>
        <v>-3.8898233809925298E-3</v>
      </c>
      <c r="G406" s="81">
        <v>42916</v>
      </c>
      <c r="H406" s="82">
        <v>355.92</v>
      </c>
      <c r="I406" s="173">
        <f t="shared" si="13"/>
        <v>-4.4474280439706915E-3</v>
      </c>
      <c r="J406" s="77"/>
      <c r="K406" s="77"/>
    </row>
    <row r="407" spans="1:11" ht="17.5">
      <c r="A407" s="248">
        <v>42937</v>
      </c>
      <c r="B407" s="249">
        <v>94.96</v>
      </c>
      <c r="C407" s="47">
        <f t="shared" si="14"/>
        <v>2.2163588390500255E-3</v>
      </c>
      <c r="G407" s="81">
        <v>42917</v>
      </c>
      <c r="H407" s="82">
        <v>353.12</v>
      </c>
      <c r="I407" s="173">
        <f t="shared" si="13"/>
        <v>-7.8669363902000855E-3</v>
      </c>
      <c r="J407" s="77"/>
      <c r="K407" s="77"/>
    </row>
    <row r="408" spans="1:11" ht="17.5">
      <c r="A408" s="248">
        <v>42938</v>
      </c>
      <c r="B408" s="249">
        <v>94.97</v>
      </c>
      <c r="C408" s="47">
        <f t="shared" si="14"/>
        <v>1.053074978938362E-4</v>
      </c>
      <c r="G408" s="81">
        <v>42920</v>
      </c>
      <c r="H408" s="82">
        <v>353.41</v>
      </c>
      <c r="I408" s="173">
        <f t="shared" si="13"/>
        <v>8.2125056637982752E-4</v>
      </c>
      <c r="J408" s="77"/>
      <c r="K408" s="77"/>
    </row>
    <row r="409" spans="1:11" ht="17.5">
      <c r="A409" s="248">
        <v>42941</v>
      </c>
      <c r="B409" s="249">
        <v>94.71</v>
      </c>
      <c r="C409" s="47">
        <f t="shared" si="14"/>
        <v>-2.7377066442034748E-3</v>
      </c>
      <c r="G409" s="81">
        <v>42921</v>
      </c>
      <c r="H409" s="82">
        <v>350.16</v>
      </c>
      <c r="I409" s="173">
        <f t="shared" si="13"/>
        <v>-9.1961178234911678E-3</v>
      </c>
      <c r="J409" s="77"/>
      <c r="K409" s="77"/>
    </row>
    <row r="410" spans="1:11" ht="17.5">
      <c r="A410" s="248">
        <v>42942</v>
      </c>
      <c r="B410" s="249">
        <v>94.46</v>
      </c>
      <c r="C410" s="47">
        <f t="shared" si="14"/>
        <v>-2.6396367859782277E-3</v>
      </c>
      <c r="G410" s="81">
        <v>42922</v>
      </c>
      <c r="H410" s="82">
        <v>349.27</v>
      </c>
      <c r="I410" s="173">
        <f t="shared" si="13"/>
        <v>-2.5416952250401081E-3</v>
      </c>
      <c r="J410" s="77"/>
      <c r="K410" s="77"/>
    </row>
    <row r="411" spans="1:11" ht="17.5">
      <c r="A411" s="248">
        <v>42943</v>
      </c>
      <c r="B411" s="249">
        <v>94.69</v>
      </c>
      <c r="C411" s="47">
        <f t="shared" si="14"/>
        <v>2.4348930764344079E-3</v>
      </c>
      <c r="G411" s="81">
        <v>42923</v>
      </c>
      <c r="H411" s="82">
        <v>343.35</v>
      </c>
      <c r="I411" s="173">
        <f t="shared" si="13"/>
        <v>-1.6949637816016105E-2</v>
      </c>
      <c r="J411" s="77"/>
      <c r="K411" s="77"/>
    </row>
    <row r="412" spans="1:11" ht="17.5">
      <c r="A412" s="248">
        <v>42944</v>
      </c>
      <c r="B412" s="249">
        <v>94.78</v>
      </c>
      <c r="C412" s="47">
        <f t="shared" si="14"/>
        <v>9.5046995458858419E-4</v>
      </c>
      <c r="G412" s="81">
        <v>42924</v>
      </c>
      <c r="H412" s="82">
        <v>345.29</v>
      </c>
      <c r="I412" s="173">
        <f t="shared" si="13"/>
        <v>5.6502111547982459E-3</v>
      </c>
      <c r="J412" s="77"/>
      <c r="K412" s="77"/>
    </row>
    <row r="413" spans="1:11" ht="17.5">
      <c r="A413" s="248">
        <v>42945</v>
      </c>
      <c r="B413" s="249">
        <v>95.03</v>
      </c>
      <c r="C413" s="47">
        <f t="shared" si="14"/>
        <v>2.6376872757964964E-3</v>
      </c>
      <c r="G413" s="81">
        <v>42927</v>
      </c>
      <c r="H413" s="82">
        <v>347.23</v>
      </c>
      <c r="I413" s="173">
        <f t="shared" si="13"/>
        <v>5.6184656375799502E-3</v>
      </c>
      <c r="J413" s="77"/>
      <c r="K413" s="77"/>
    </row>
    <row r="414" spans="1:11" ht="17.5">
      <c r="A414" s="248">
        <v>42948</v>
      </c>
      <c r="B414" s="249">
        <v>95.16</v>
      </c>
      <c r="C414" s="47">
        <f t="shared" si="14"/>
        <v>1.3679890560875929E-3</v>
      </c>
      <c r="G414" s="81">
        <v>42928</v>
      </c>
      <c r="H414" s="82">
        <v>349.69</v>
      </c>
      <c r="I414" s="173">
        <f t="shared" si="13"/>
        <v>7.0846413040346334E-3</v>
      </c>
      <c r="J414" s="77"/>
      <c r="K414" s="77"/>
    </row>
    <row r="415" spans="1:11" ht="17.5">
      <c r="A415" s="248">
        <v>42949</v>
      </c>
      <c r="B415" s="249">
        <v>95.2</v>
      </c>
      <c r="C415" s="47">
        <f t="shared" si="14"/>
        <v>4.2034468263985048E-4</v>
      </c>
      <c r="G415" s="81">
        <v>42929</v>
      </c>
      <c r="H415" s="82">
        <v>349.57</v>
      </c>
      <c r="I415" s="173">
        <f t="shared" si="13"/>
        <v>-3.4316108553289482E-4</v>
      </c>
      <c r="J415" s="77"/>
      <c r="K415" s="77"/>
    </row>
    <row r="416" spans="1:11" ht="17.5">
      <c r="A416" s="248">
        <v>42950</v>
      </c>
      <c r="B416" s="249">
        <v>95.24</v>
      </c>
      <c r="C416" s="47">
        <f t="shared" si="14"/>
        <v>4.2016806722688926E-4</v>
      </c>
      <c r="G416" s="81">
        <v>42930</v>
      </c>
      <c r="H416" s="82">
        <v>351.76</v>
      </c>
      <c r="I416" s="173">
        <f t="shared" si="13"/>
        <v>6.264839660153898E-3</v>
      </c>
      <c r="J416" s="77"/>
      <c r="K416" s="77"/>
    </row>
    <row r="417" spans="1:11" ht="17.5">
      <c r="A417" s="248">
        <v>42951</v>
      </c>
      <c r="B417" s="249">
        <v>95.18</v>
      </c>
      <c r="C417" s="47">
        <f t="shared" si="14"/>
        <v>-6.2998740025188571E-4</v>
      </c>
      <c r="G417" s="81">
        <v>42931</v>
      </c>
      <c r="H417" s="82">
        <v>349.79</v>
      </c>
      <c r="I417" s="173">
        <f t="shared" si="13"/>
        <v>-5.600409370024928E-3</v>
      </c>
      <c r="J417" s="77"/>
      <c r="K417" s="77"/>
    </row>
    <row r="418" spans="1:11" ht="17.5">
      <c r="A418" s="248">
        <v>42952</v>
      </c>
      <c r="B418" s="249">
        <v>94.68</v>
      </c>
      <c r="C418" s="47">
        <f t="shared" si="14"/>
        <v>-5.2532044547173307E-3</v>
      </c>
      <c r="G418" s="81">
        <v>42934</v>
      </c>
      <c r="H418" s="82">
        <v>344.53</v>
      </c>
      <c r="I418" s="173">
        <f t="shared" si="13"/>
        <v>-1.5037593984962516E-2</v>
      </c>
      <c r="J418" s="77"/>
      <c r="K418" s="77"/>
    </row>
    <row r="419" spans="1:11" ht="17.5">
      <c r="A419" s="248">
        <v>42955</v>
      </c>
      <c r="B419" s="249">
        <v>94.36</v>
      </c>
      <c r="C419" s="47">
        <f t="shared" si="14"/>
        <v>-3.379805661174573E-3</v>
      </c>
      <c r="G419" s="81">
        <v>42935</v>
      </c>
      <c r="H419" s="82">
        <v>342.95</v>
      </c>
      <c r="I419" s="173">
        <f t="shared" si="13"/>
        <v>-4.5859576814790692E-3</v>
      </c>
      <c r="J419" s="77"/>
      <c r="K419" s="77"/>
    </row>
    <row r="420" spans="1:11" ht="17.5">
      <c r="A420" s="248">
        <v>42956</v>
      </c>
      <c r="B420" s="249">
        <v>94.35</v>
      </c>
      <c r="C420" s="47">
        <f t="shared" si="14"/>
        <v>-1.0597710894455492E-4</v>
      </c>
      <c r="G420" s="81">
        <v>42936</v>
      </c>
      <c r="H420" s="82">
        <v>343.74</v>
      </c>
      <c r="I420" s="173">
        <f t="shared" si="13"/>
        <v>2.3035427904942729E-3</v>
      </c>
      <c r="J420" s="77"/>
      <c r="K420" s="77"/>
    </row>
    <row r="421" spans="1:11" ht="17.5">
      <c r="A421" s="248">
        <v>42957</v>
      </c>
      <c r="B421" s="249">
        <v>94.41</v>
      </c>
      <c r="C421" s="47">
        <f t="shared" si="14"/>
        <v>6.3593004769479933E-4</v>
      </c>
      <c r="G421" s="81">
        <v>42937</v>
      </c>
      <c r="H421" s="82">
        <v>347.03</v>
      </c>
      <c r="I421" s="173">
        <f t="shared" si="13"/>
        <v>9.5711875254551604E-3</v>
      </c>
      <c r="J421" s="77"/>
      <c r="K421" s="77"/>
    </row>
    <row r="422" spans="1:11" ht="17.5">
      <c r="A422" s="248">
        <v>42958</v>
      </c>
      <c r="B422" s="249">
        <v>94.53</v>
      </c>
      <c r="C422" s="47">
        <f t="shared" si="14"/>
        <v>1.2710517953606892E-3</v>
      </c>
      <c r="G422" s="81">
        <v>42938</v>
      </c>
      <c r="H422" s="82">
        <v>342.79</v>
      </c>
      <c r="I422" s="173">
        <f t="shared" si="13"/>
        <v>-1.2217963864795456E-2</v>
      </c>
      <c r="J422" s="77"/>
      <c r="K422" s="77"/>
    </row>
    <row r="423" spans="1:11" ht="17.5">
      <c r="A423" s="248">
        <v>42959</v>
      </c>
      <c r="B423" s="249">
        <v>94.98</v>
      </c>
      <c r="C423" s="47">
        <f t="shared" si="14"/>
        <v>4.7603935258648811E-3</v>
      </c>
      <c r="G423" s="81">
        <v>42941</v>
      </c>
      <c r="H423" s="82">
        <v>334.85</v>
      </c>
      <c r="I423" s="173">
        <f t="shared" si="13"/>
        <v>-2.316286939525658E-2</v>
      </c>
      <c r="J423" s="77"/>
      <c r="K423" s="77"/>
    </row>
    <row r="424" spans="1:11" ht="17.5">
      <c r="A424" s="248">
        <v>42962</v>
      </c>
      <c r="B424" s="249">
        <v>95</v>
      </c>
      <c r="C424" s="47">
        <f t="shared" si="14"/>
        <v>2.1057064645191303E-4</v>
      </c>
      <c r="G424" s="81">
        <v>42942</v>
      </c>
      <c r="H424" s="82">
        <v>327.16000000000003</v>
      </c>
      <c r="I424" s="173">
        <f t="shared" si="13"/>
        <v>-2.2965506943407488E-2</v>
      </c>
      <c r="J424" s="77"/>
      <c r="K424" s="77"/>
    </row>
    <row r="425" spans="1:11" ht="17.5">
      <c r="A425" s="248">
        <v>42963</v>
      </c>
      <c r="B425" s="249">
        <v>94.91</v>
      </c>
      <c r="C425" s="47">
        <f t="shared" si="14"/>
        <v>-9.473684210526967E-4</v>
      </c>
      <c r="G425" s="81">
        <v>42943</v>
      </c>
      <c r="H425" s="82">
        <v>331.47</v>
      </c>
      <c r="I425" s="173">
        <f t="shared" si="13"/>
        <v>1.3173982149407015E-2</v>
      </c>
      <c r="J425" s="77"/>
      <c r="K425" s="77"/>
    </row>
    <row r="426" spans="1:11" ht="17.5">
      <c r="A426" s="248">
        <v>42964</v>
      </c>
      <c r="B426" s="249">
        <v>94.84</v>
      </c>
      <c r="C426" s="47">
        <f t="shared" si="14"/>
        <v>-7.3754082815291611E-4</v>
      </c>
      <c r="G426" s="81">
        <v>42944</v>
      </c>
      <c r="H426" s="82">
        <v>338.17</v>
      </c>
      <c r="I426" s="173">
        <f t="shared" si="13"/>
        <v>2.0212990617552107E-2</v>
      </c>
      <c r="J426" s="77"/>
      <c r="K426" s="77"/>
    </row>
    <row r="427" spans="1:11" ht="17.5">
      <c r="A427" s="248">
        <v>42965</v>
      </c>
      <c r="B427" s="249">
        <v>94.93</v>
      </c>
      <c r="C427" s="47">
        <f t="shared" si="14"/>
        <v>9.4896668072541601E-4</v>
      </c>
      <c r="G427" s="81">
        <v>42945</v>
      </c>
      <c r="H427" s="82">
        <v>334.62</v>
      </c>
      <c r="I427" s="173">
        <f t="shared" si="13"/>
        <v>-1.0497678682319544E-2</v>
      </c>
      <c r="J427" s="77"/>
      <c r="K427" s="77"/>
    </row>
    <row r="428" spans="1:11" ht="17.5">
      <c r="A428" s="248">
        <v>42966</v>
      </c>
      <c r="B428" s="249">
        <v>94.79</v>
      </c>
      <c r="C428" s="47">
        <f t="shared" si="14"/>
        <v>-1.4747708838090956E-3</v>
      </c>
      <c r="G428" s="81">
        <v>42948</v>
      </c>
      <c r="H428" s="82">
        <v>338.84</v>
      </c>
      <c r="I428" s="173">
        <f t="shared" si="13"/>
        <v>1.2611320303627993E-2</v>
      </c>
      <c r="J428" s="77"/>
      <c r="K428" s="77"/>
    </row>
    <row r="429" spans="1:11" ht="17.5">
      <c r="A429" s="248">
        <v>42969</v>
      </c>
      <c r="B429" s="249">
        <v>95.15</v>
      </c>
      <c r="C429" s="47">
        <f t="shared" si="14"/>
        <v>3.7978689735203019E-3</v>
      </c>
      <c r="G429" s="81">
        <v>42949</v>
      </c>
      <c r="H429" s="82">
        <v>338.05</v>
      </c>
      <c r="I429" s="173">
        <f t="shared" si="13"/>
        <v>-2.3314838861998588E-3</v>
      </c>
      <c r="J429" s="77"/>
      <c r="K429" s="77"/>
    </row>
    <row r="430" spans="1:11" ht="17.5">
      <c r="A430" s="248">
        <v>42970</v>
      </c>
      <c r="B430" s="249">
        <v>95.21</v>
      </c>
      <c r="C430" s="47">
        <f t="shared" si="14"/>
        <v>6.3058328954279652E-4</v>
      </c>
      <c r="G430" s="81">
        <v>42950</v>
      </c>
      <c r="H430" s="82">
        <v>340.17</v>
      </c>
      <c r="I430" s="173">
        <f t="shared" si="13"/>
        <v>6.2712616476852112E-3</v>
      </c>
      <c r="J430" s="77"/>
      <c r="K430" s="77"/>
    </row>
    <row r="431" spans="1:11" ht="17.5">
      <c r="A431" s="248">
        <v>42971</v>
      </c>
      <c r="B431" s="249">
        <v>95.14</v>
      </c>
      <c r="C431" s="47">
        <f t="shared" si="14"/>
        <v>-7.3521688898214865E-4</v>
      </c>
      <c r="G431" s="81">
        <v>42951</v>
      </c>
      <c r="H431" s="82">
        <v>339.06</v>
      </c>
      <c r="I431" s="173">
        <f t="shared" si="13"/>
        <v>-3.2630743451803612E-3</v>
      </c>
      <c r="J431" s="77"/>
      <c r="K431" s="77"/>
    </row>
    <row r="432" spans="1:11" ht="17.5">
      <c r="A432" s="248">
        <v>42972</v>
      </c>
      <c r="B432" s="249">
        <v>94.99</v>
      </c>
      <c r="C432" s="47">
        <f t="shared" si="14"/>
        <v>-1.5766239226403522E-3</v>
      </c>
      <c r="G432" s="81">
        <v>42952</v>
      </c>
      <c r="H432" s="82">
        <v>336.9</v>
      </c>
      <c r="I432" s="173">
        <f t="shared" si="13"/>
        <v>-6.3705538842683263E-3</v>
      </c>
      <c r="J432" s="77"/>
      <c r="K432" s="77"/>
    </row>
    <row r="433" spans="1:11" ht="17.5">
      <c r="A433" s="248">
        <v>42973</v>
      </c>
      <c r="B433" s="249">
        <v>95.6</v>
      </c>
      <c r="C433" s="47">
        <f t="shared" si="14"/>
        <v>6.4217286030108234E-3</v>
      </c>
      <c r="G433" s="81">
        <v>42955</v>
      </c>
      <c r="H433" s="82">
        <v>337.54</v>
      </c>
      <c r="I433" s="173">
        <f t="shared" si="13"/>
        <v>1.8996734936183035E-3</v>
      </c>
      <c r="J433" s="77"/>
      <c r="K433" s="77"/>
    </row>
    <row r="434" spans="1:11" ht="17.5">
      <c r="A434" s="248">
        <v>42976</v>
      </c>
      <c r="B434" s="249">
        <v>95.85</v>
      </c>
      <c r="C434" s="47">
        <f t="shared" si="14"/>
        <v>2.6150627615062483E-3</v>
      </c>
      <c r="G434" s="81">
        <v>42956</v>
      </c>
      <c r="H434" s="82">
        <v>339.36</v>
      </c>
      <c r="I434" s="173">
        <f t="shared" si="13"/>
        <v>5.3919535462463308E-3</v>
      </c>
      <c r="J434" s="77"/>
      <c r="K434" s="77"/>
    </row>
    <row r="435" spans="1:11" ht="17.5">
      <c r="A435" s="248">
        <v>42977</v>
      </c>
      <c r="B435" s="249">
        <v>95.89</v>
      </c>
      <c r="C435" s="47">
        <f t="shared" si="14"/>
        <v>4.1731872717787333E-4</v>
      </c>
      <c r="G435" s="81">
        <v>42957</v>
      </c>
      <c r="H435" s="82">
        <v>339.28</v>
      </c>
      <c r="I435" s="173">
        <f t="shared" si="13"/>
        <v>-2.357378595003734E-4</v>
      </c>
      <c r="J435" s="77"/>
      <c r="K435" s="77"/>
    </row>
    <row r="436" spans="1:11" ht="17.5">
      <c r="A436" s="248">
        <v>42978</v>
      </c>
      <c r="B436" s="249">
        <v>96.05</v>
      </c>
      <c r="C436" s="47">
        <f t="shared" si="14"/>
        <v>1.6685785796224373E-3</v>
      </c>
      <c r="G436" s="81">
        <v>42958</v>
      </c>
      <c r="H436" s="82">
        <v>338.21</v>
      </c>
      <c r="I436" s="173">
        <f t="shared" si="13"/>
        <v>-3.1537373261023571E-3</v>
      </c>
      <c r="J436" s="77"/>
      <c r="K436" s="77"/>
    </row>
    <row r="437" spans="1:11" ht="17.5">
      <c r="A437" s="248">
        <v>42979</v>
      </c>
      <c r="B437" s="249">
        <v>96.32</v>
      </c>
      <c r="C437" s="47">
        <f t="shared" si="14"/>
        <v>2.8110359187922818E-3</v>
      </c>
      <c r="G437" s="81">
        <v>42959</v>
      </c>
      <c r="H437" s="82">
        <v>336.45</v>
      </c>
      <c r="I437" s="173">
        <f t="shared" si="13"/>
        <v>-5.2038674196505097E-3</v>
      </c>
      <c r="J437" s="77"/>
      <c r="K437" s="77"/>
    </row>
    <row r="438" spans="1:11" ht="17.5">
      <c r="A438" s="248">
        <v>42980</v>
      </c>
      <c r="B438" s="249">
        <v>96</v>
      </c>
      <c r="C438" s="47">
        <f t="shared" si="14"/>
        <v>-3.3222591362125353E-3</v>
      </c>
      <c r="G438" s="81">
        <v>42962</v>
      </c>
      <c r="H438" s="82">
        <v>333.54</v>
      </c>
      <c r="I438" s="173">
        <f t="shared" si="13"/>
        <v>-8.6491306286222702E-3</v>
      </c>
      <c r="J438" s="77"/>
      <c r="K438" s="77"/>
    </row>
    <row r="439" spans="1:11" ht="17.5">
      <c r="A439" s="248">
        <v>42984</v>
      </c>
      <c r="B439" s="249">
        <v>95.74</v>
      </c>
      <c r="C439" s="47">
        <f t="shared" si="14"/>
        <v>-2.7083333333334236E-3</v>
      </c>
      <c r="G439" s="81">
        <v>42963</v>
      </c>
      <c r="H439" s="82">
        <v>329.49</v>
      </c>
      <c r="I439" s="173">
        <f t="shared" si="13"/>
        <v>-1.2142471667566102E-2</v>
      </c>
      <c r="J439" s="77"/>
      <c r="K439" s="77"/>
    </row>
    <row r="440" spans="1:11" ht="17.5">
      <c r="A440" s="248">
        <v>42985</v>
      </c>
      <c r="B440" s="249">
        <v>95.91</v>
      </c>
      <c r="C440" s="47">
        <f t="shared" si="14"/>
        <v>1.7756423647379282E-3</v>
      </c>
      <c r="G440" s="81">
        <v>42964</v>
      </c>
      <c r="H440" s="82">
        <v>330.87</v>
      </c>
      <c r="I440" s="173">
        <f t="shared" si="13"/>
        <v>4.1882909951742597E-3</v>
      </c>
      <c r="J440" s="77"/>
      <c r="K440" s="77"/>
    </row>
    <row r="441" spans="1:11" ht="17.5">
      <c r="A441" s="248">
        <v>42986</v>
      </c>
      <c r="B441" s="249">
        <v>96.07</v>
      </c>
      <c r="C441" s="47">
        <f t="shared" si="14"/>
        <v>1.6682306328850149E-3</v>
      </c>
      <c r="G441" s="81">
        <v>42965</v>
      </c>
      <c r="H441" s="82">
        <v>323.88</v>
      </c>
      <c r="I441" s="173">
        <f t="shared" si="13"/>
        <v>-2.1126122041889572E-2</v>
      </c>
      <c r="J441" s="77"/>
      <c r="K441" s="77"/>
    </row>
    <row r="442" spans="1:11" ht="17.5">
      <c r="A442" s="248">
        <v>42987</v>
      </c>
      <c r="B442" s="249">
        <v>95.77</v>
      </c>
      <c r="C442" s="47">
        <f t="shared" si="14"/>
        <v>-3.1227230144685869E-3</v>
      </c>
      <c r="G442" s="81">
        <v>42966</v>
      </c>
      <c r="H442" s="82">
        <v>321.23</v>
      </c>
      <c r="I442" s="173">
        <f t="shared" si="13"/>
        <v>-8.1820427318759492E-3</v>
      </c>
      <c r="J442" s="77"/>
      <c r="K442" s="77"/>
    </row>
    <row r="443" spans="1:11" ht="17.5">
      <c r="A443" s="248">
        <v>42990</v>
      </c>
      <c r="B443" s="249">
        <v>95.89</v>
      </c>
      <c r="C443" s="47">
        <f t="shared" si="14"/>
        <v>1.2530019839198658E-3</v>
      </c>
      <c r="G443" s="81">
        <v>42969</v>
      </c>
      <c r="H443" s="82">
        <v>326.25</v>
      </c>
      <c r="I443" s="173">
        <f t="shared" si="13"/>
        <v>1.5627432058026969E-2</v>
      </c>
      <c r="J443" s="77"/>
      <c r="K443" s="77"/>
    </row>
    <row r="444" spans="1:11" ht="17.5">
      <c r="A444" s="248">
        <v>42991</v>
      </c>
      <c r="B444" s="249">
        <v>96.08</v>
      </c>
      <c r="C444" s="47">
        <f t="shared" si="14"/>
        <v>1.981437063301783E-3</v>
      </c>
      <c r="G444" s="81">
        <v>42970</v>
      </c>
      <c r="H444" s="82">
        <v>333.81</v>
      </c>
      <c r="I444" s="173">
        <f t="shared" si="13"/>
        <v>2.317241379310353E-2</v>
      </c>
      <c r="J444" s="77"/>
      <c r="K444" s="77"/>
    </row>
    <row r="445" spans="1:11" ht="17.5">
      <c r="A445" s="248">
        <v>42992</v>
      </c>
      <c r="B445" s="249">
        <v>96.06</v>
      </c>
      <c r="C445" s="47">
        <f t="shared" si="14"/>
        <v>-2.0815986677769072E-4</v>
      </c>
      <c r="G445" s="81">
        <v>42971</v>
      </c>
      <c r="H445" s="82">
        <v>335.47</v>
      </c>
      <c r="I445" s="173">
        <f t="shared" si="13"/>
        <v>4.9728887690603241E-3</v>
      </c>
      <c r="J445" s="77"/>
      <c r="K445" s="77"/>
    </row>
    <row r="446" spans="1:11" ht="17.5">
      <c r="A446" s="248">
        <v>42993</v>
      </c>
      <c r="B446" s="249">
        <v>95.74</v>
      </c>
      <c r="C446" s="47">
        <f t="shared" si="14"/>
        <v>-3.3312513012700995E-3</v>
      </c>
      <c r="G446" s="81">
        <v>42972</v>
      </c>
      <c r="H446" s="82">
        <v>333.09</v>
      </c>
      <c r="I446" s="173">
        <f t="shared" si="13"/>
        <v>-7.0945241005158088E-3</v>
      </c>
      <c r="J446" s="77"/>
      <c r="K446" s="77"/>
    </row>
    <row r="447" spans="1:11" ht="17.5">
      <c r="A447" s="248">
        <v>42994</v>
      </c>
      <c r="B447" s="249">
        <v>95.43</v>
      </c>
      <c r="C447" s="47">
        <f t="shared" si="14"/>
        <v>-3.2379360768747256E-3</v>
      </c>
      <c r="G447" s="81">
        <v>42973</v>
      </c>
      <c r="H447" s="82">
        <v>335.25</v>
      </c>
      <c r="I447" s="173">
        <f t="shared" si="13"/>
        <v>6.4847338557147971E-3</v>
      </c>
      <c r="J447" s="77"/>
      <c r="K447" s="77"/>
    </row>
    <row r="448" spans="1:11" ht="17.5">
      <c r="A448" s="248">
        <v>42997</v>
      </c>
      <c r="B448" s="249">
        <v>94.98</v>
      </c>
      <c r="C448" s="47">
        <f t="shared" si="14"/>
        <v>-4.7154982709839421E-3</v>
      </c>
      <c r="G448" s="81">
        <v>42976</v>
      </c>
      <c r="H448" s="82">
        <v>338.88</v>
      </c>
      <c r="I448" s="173">
        <f t="shared" si="13"/>
        <v>1.0827740492169946E-2</v>
      </c>
      <c r="J448" s="77"/>
      <c r="K448" s="77"/>
    </row>
    <row r="449" spans="1:11" ht="17.5">
      <c r="A449" s="248">
        <v>42998</v>
      </c>
      <c r="B449" s="249">
        <v>95.16</v>
      </c>
      <c r="C449" s="47">
        <f t="shared" si="14"/>
        <v>1.8951358180667732E-3</v>
      </c>
      <c r="G449" s="81">
        <v>42977</v>
      </c>
      <c r="H449" s="82">
        <v>343.62</v>
      </c>
      <c r="I449" s="173">
        <f t="shared" si="13"/>
        <v>1.3987252124646021E-2</v>
      </c>
      <c r="J449" s="77"/>
      <c r="K449" s="77"/>
    </row>
    <row r="450" spans="1:11" ht="17.5">
      <c r="A450" s="248">
        <v>42999</v>
      </c>
      <c r="B450" s="249">
        <v>95.22</v>
      </c>
      <c r="C450" s="47">
        <f t="shared" si="14"/>
        <v>6.3051702395977571E-4</v>
      </c>
      <c r="G450" s="81">
        <v>42978</v>
      </c>
      <c r="H450" s="82">
        <v>345.15</v>
      </c>
      <c r="I450" s="173">
        <f t="shared" si="13"/>
        <v>4.4525929806180642E-3</v>
      </c>
      <c r="J450" s="77"/>
      <c r="K450" s="77"/>
    </row>
    <row r="451" spans="1:11" ht="17.5">
      <c r="A451" s="248">
        <v>43000</v>
      </c>
      <c r="B451" s="249">
        <v>94.49</v>
      </c>
      <c r="C451" s="47">
        <f t="shared" si="14"/>
        <v>-7.6664566267591328E-3</v>
      </c>
      <c r="G451" s="81">
        <v>42979</v>
      </c>
      <c r="H451" s="82">
        <v>345.18</v>
      </c>
      <c r="I451" s="173">
        <f t="shared" si="13"/>
        <v>8.6918730986651482E-5</v>
      </c>
      <c r="J451" s="77"/>
      <c r="K451" s="77"/>
    </row>
    <row r="452" spans="1:11" ht="17.5">
      <c r="A452" s="248">
        <v>43001</v>
      </c>
      <c r="B452" s="249">
        <v>94.1</v>
      </c>
      <c r="C452" s="47">
        <f t="shared" si="14"/>
        <v>-4.1274208910996313E-3</v>
      </c>
      <c r="G452" s="81">
        <v>42980</v>
      </c>
      <c r="H452" s="82">
        <v>346.12</v>
      </c>
      <c r="I452" s="173">
        <f t="shared" si="13"/>
        <v>2.7232168723565486E-3</v>
      </c>
      <c r="J452" s="77"/>
      <c r="K452" s="77"/>
    </row>
    <row r="453" spans="1:11" ht="17.5">
      <c r="A453" s="248">
        <v>43004</v>
      </c>
      <c r="B453" s="249">
        <v>93.82</v>
      </c>
      <c r="C453" s="47">
        <f t="shared" si="14"/>
        <v>-2.9755579171094615E-3</v>
      </c>
      <c r="G453" s="81">
        <v>42983</v>
      </c>
      <c r="H453" s="82">
        <v>347.97</v>
      </c>
      <c r="I453" s="173">
        <f t="shared" si="13"/>
        <v>5.3449670634462265E-3</v>
      </c>
      <c r="J453" s="77"/>
      <c r="K453" s="77"/>
    </row>
    <row r="454" spans="1:11" ht="17.5">
      <c r="A454" s="248">
        <v>43005</v>
      </c>
      <c r="B454" s="249">
        <v>93.29</v>
      </c>
      <c r="C454" s="47">
        <f t="shared" si="14"/>
        <v>-5.6491153272222316E-3</v>
      </c>
      <c r="G454" s="81">
        <v>42984</v>
      </c>
      <c r="H454" s="82">
        <v>348.89</v>
      </c>
      <c r="I454" s="173">
        <f t="shared" si="13"/>
        <v>2.6439060838576722E-3</v>
      </c>
      <c r="J454" s="77"/>
      <c r="K454" s="77"/>
    </row>
    <row r="455" spans="1:11" ht="17.5">
      <c r="A455" s="248">
        <v>43006</v>
      </c>
      <c r="B455" s="249">
        <v>93.37</v>
      </c>
      <c r="C455" s="47">
        <f t="shared" si="14"/>
        <v>8.5754100117907406E-4</v>
      </c>
      <c r="G455" s="81">
        <v>42985</v>
      </c>
      <c r="H455" s="82">
        <v>345.54</v>
      </c>
      <c r="I455" s="173">
        <f t="shared" si="13"/>
        <v>-9.601880248788941E-3</v>
      </c>
      <c r="J455" s="77"/>
      <c r="K455" s="77"/>
    </row>
    <row r="456" spans="1:11" ht="17.5">
      <c r="A456" s="248">
        <v>43007</v>
      </c>
      <c r="B456" s="249">
        <v>93.36</v>
      </c>
      <c r="C456" s="47">
        <f t="shared" si="14"/>
        <v>-1.071007818357339E-4</v>
      </c>
      <c r="G456" s="81">
        <v>42986</v>
      </c>
      <c r="H456" s="82">
        <v>343.68</v>
      </c>
      <c r="I456" s="173">
        <f t="shared" si="13"/>
        <v>-5.3828789720438142E-3</v>
      </c>
      <c r="J456" s="77"/>
      <c r="K456" s="77"/>
    </row>
    <row r="457" spans="1:11" ht="17.5">
      <c r="A457" s="248">
        <v>43008</v>
      </c>
      <c r="B457" s="249">
        <v>93.34</v>
      </c>
      <c r="C457" s="47">
        <f t="shared" si="14"/>
        <v>-2.1422450728358911E-4</v>
      </c>
      <c r="G457" s="81">
        <v>42987</v>
      </c>
      <c r="H457" s="82">
        <v>345.63</v>
      </c>
      <c r="I457" s="173">
        <f t="shared" si="13"/>
        <v>5.6738826815641019E-3</v>
      </c>
      <c r="J457" s="77"/>
      <c r="K457" s="77"/>
    </row>
    <row r="458" spans="1:11" ht="17.5">
      <c r="A458" s="248">
        <v>43011</v>
      </c>
      <c r="B458" s="249">
        <v>92.88</v>
      </c>
      <c r="C458" s="47">
        <f t="shared" si="14"/>
        <v>-4.9282194128991152E-3</v>
      </c>
      <c r="G458" s="81">
        <v>42990</v>
      </c>
      <c r="H458" s="82">
        <v>344.47</v>
      </c>
      <c r="I458" s="173">
        <f t="shared" si="13"/>
        <v>-3.3561901455312348E-3</v>
      </c>
      <c r="J458" s="77"/>
      <c r="K458" s="77"/>
    </row>
    <row r="459" spans="1:11" ht="17.5">
      <c r="A459" s="248">
        <v>43012</v>
      </c>
      <c r="B459" s="249">
        <v>92.94</v>
      </c>
      <c r="C459" s="47">
        <f t="shared" si="14"/>
        <v>6.4599483204141883E-4</v>
      </c>
      <c r="G459" s="81">
        <v>42991</v>
      </c>
      <c r="H459" s="82">
        <v>342.42</v>
      </c>
      <c r="I459" s="173">
        <f t="shared" si="13"/>
        <v>-5.9511713647052433E-3</v>
      </c>
      <c r="J459" s="77"/>
      <c r="K459" s="77"/>
    </row>
    <row r="460" spans="1:11" ht="17.5">
      <c r="A460" s="248">
        <v>43013</v>
      </c>
      <c r="B460" s="249">
        <v>92.75</v>
      </c>
      <c r="C460" s="47">
        <f t="shared" si="14"/>
        <v>-2.0443296750591866E-3</v>
      </c>
      <c r="G460" s="81">
        <v>42992</v>
      </c>
      <c r="H460" s="82">
        <v>340.71</v>
      </c>
      <c r="I460" s="173">
        <f t="shared" si="13"/>
        <v>-4.9938671806554202E-3</v>
      </c>
      <c r="J460" s="77"/>
      <c r="K460" s="77"/>
    </row>
    <row r="461" spans="1:11" ht="17.5">
      <c r="A461" s="248">
        <v>43014</v>
      </c>
      <c r="B461" s="249">
        <v>92.85</v>
      </c>
      <c r="C461" s="47">
        <f t="shared" si="14"/>
        <v>1.0781671159028061E-3</v>
      </c>
      <c r="G461" s="81">
        <v>42993</v>
      </c>
      <c r="H461" s="82">
        <v>337.88</v>
      </c>
      <c r="I461" s="173">
        <f t="shared" si="13"/>
        <v>-8.3061841448739404E-3</v>
      </c>
      <c r="J461" s="77"/>
      <c r="K461" s="77"/>
    </row>
    <row r="462" spans="1:11" ht="17.5">
      <c r="A462" s="248">
        <v>43015</v>
      </c>
      <c r="B462" s="249">
        <v>92.62</v>
      </c>
      <c r="C462" s="47">
        <f t="shared" si="14"/>
        <v>-2.4771136241248382E-3</v>
      </c>
      <c r="G462" s="81">
        <v>42994</v>
      </c>
      <c r="H462" s="82">
        <v>337.68</v>
      </c>
      <c r="I462" s="173">
        <f t="shared" si="13"/>
        <v>-5.9192612761926888E-4</v>
      </c>
      <c r="J462" s="77"/>
      <c r="K462" s="77"/>
    </row>
    <row r="463" spans="1:11" ht="17.5">
      <c r="A463" s="248">
        <v>43018</v>
      </c>
      <c r="B463" s="249">
        <v>92.37</v>
      </c>
      <c r="C463" s="47">
        <f t="shared" si="14"/>
        <v>-2.6992010364932373E-3</v>
      </c>
      <c r="G463" s="81">
        <v>42997</v>
      </c>
      <c r="H463" s="82">
        <v>331.06</v>
      </c>
      <c r="I463" s="173">
        <f t="shared" si="13"/>
        <v>-1.9604359156597972E-2</v>
      </c>
      <c r="J463" s="77"/>
      <c r="K463" s="77"/>
    </row>
    <row r="464" spans="1:11" ht="17.5">
      <c r="A464" s="248">
        <v>43019</v>
      </c>
      <c r="B464" s="249">
        <v>92.66</v>
      </c>
      <c r="C464" s="47">
        <f t="shared" si="14"/>
        <v>3.1395474721229721E-3</v>
      </c>
      <c r="G464" s="81">
        <v>42998</v>
      </c>
      <c r="H464" s="82">
        <v>332.2</v>
      </c>
      <c r="I464" s="173">
        <f t="shared" ref="I464:I527" si="15">H464/H463-1</f>
        <v>3.443484564731536E-3</v>
      </c>
      <c r="J464" s="77"/>
      <c r="K464" s="77"/>
    </row>
    <row r="465" spans="1:11" ht="17.5">
      <c r="A465" s="248">
        <v>43020</v>
      </c>
      <c r="B465" s="249">
        <v>93.25</v>
      </c>
      <c r="C465" s="47">
        <f t="shared" ref="C465:C528" si="16">B465/B464-1</f>
        <v>6.3673645586013183E-3</v>
      </c>
      <c r="G465" s="81">
        <v>42999</v>
      </c>
      <c r="H465" s="82">
        <v>333.07</v>
      </c>
      <c r="I465" s="173">
        <f t="shared" si="15"/>
        <v>2.6189042745334845E-3</v>
      </c>
      <c r="J465" s="77"/>
      <c r="K465" s="77"/>
    </row>
    <row r="466" spans="1:11" ht="17.5">
      <c r="A466" s="248">
        <v>43021</v>
      </c>
      <c r="B466" s="249">
        <v>93.65</v>
      </c>
      <c r="C466" s="47">
        <f t="shared" si="16"/>
        <v>4.2895442359249802E-3</v>
      </c>
      <c r="G466" s="81">
        <v>43000</v>
      </c>
      <c r="H466" s="82">
        <v>336.36</v>
      </c>
      <c r="I466" s="173">
        <f t="shared" si="15"/>
        <v>9.8778034647371005E-3</v>
      </c>
      <c r="J466" s="77"/>
      <c r="K466" s="77"/>
    </row>
    <row r="467" spans="1:11" ht="17.5">
      <c r="A467" s="248">
        <v>43022</v>
      </c>
      <c r="B467" s="249">
        <v>93.54</v>
      </c>
      <c r="C467" s="47">
        <f t="shared" si="16"/>
        <v>-1.1745862253069728E-3</v>
      </c>
      <c r="G467" s="81">
        <v>43001</v>
      </c>
      <c r="H467" s="82">
        <v>334.03</v>
      </c>
      <c r="I467" s="173">
        <f t="shared" si="15"/>
        <v>-6.92710191461543E-3</v>
      </c>
      <c r="J467" s="77"/>
      <c r="K467" s="77"/>
    </row>
    <row r="468" spans="1:11" ht="17.5">
      <c r="A468" s="248">
        <v>43025</v>
      </c>
      <c r="B468" s="249">
        <v>93.23</v>
      </c>
      <c r="C468" s="47">
        <f t="shared" si="16"/>
        <v>-3.314090228779154E-3</v>
      </c>
      <c r="G468" s="81">
        <v>43004</v>
      </c>
      <c r="H468" s="82">
        <v>334.7</v>
      </c>
      <c r="I468" s="173">
        <f t="shared" si="15"/>
        <v>2.005807861569453E-3</v>
      </c>
      <c r="J468" s="77"/>
      <c r="K468" s="77"/>
    </row>
    <row r="469" spans="1:11" ht="17.5">
      <c r="A469" s="248">
        <v>43026</v>
      </c>
      <c r="B469" s="249">
        <v>93.16</v>
      </c>
      <c r="C469" s="47">
        <f t="shared" si="16"/>
        <v>-7.5083127748587497E-4</v>
      </c>
      <c r="G469" s="81">
        <v>43005</v>
      </c>
      <c r="H469" s="82">
        <v>332.91</v>
      </c>
      <c r="I469" s="173">
        <f t="shared" si="15"/>
        <v>-5.348072901105394E-3</v>
      </c>
      <c r="J469" s="77"/>
      <c r="K469" s="77"/>
    </row>
    <row r="470" spans="1:11" ht="17.5">
      <c r="A470" s="248">
        <v>43027</v>
      </c>
      <c r="B470" s="249">
        <v>93.22</v>
      </c>
      <c r="C470" s="47">
        <f t="shared" si="16"/>
        <v>6.440532417346656E-4</v>
      </c>
      <c r="G470" s="81">
        <v>43006</v>
      </c>
      <c r="H470" s="82">
        <v>330.45</v>
      </c>
      <c r="I470" s="173">
        <f t="shared" si="15"/>
        <v>-7.3893845183383711E-3</v>
      </c>
      <c r="J470" s="77"/>
      <c r="K470" s="77"/>
    </row>
    <row r="471" spans="1:11" ht="17.5">
      <c r="A471" s="248">
        <v>43028</v>
      </c>
      <c r="B471" s="249">
        <v>92.82</v>
      </c>
      <c r="C471" s="47">
        <f t="shared" si="16"/>
        <v>-4.290924694271725E-3</v>
      </c>
      <c r="G471" s="81">
        <v>43007</v>
      </c>
      <c r="H471" s="82">
        <v>331.89</v>
      </c>
      <c r="I471" s="173">
        <f t="shared" si="15"/>
        <v>4.3576940535632325E-3</v>
      </c>
      <c r="J471" s="77"/>
      <c r="K471" s="77"/>
    </row>
    <row r="472" spans="1:11" ht="17.5">
      <c r="A472" s="248">
        <v>43029</v>
      </c>
      <c r="B472" s="249">
        <v>93.18</v>
      </c>
      <c r="C472" s="47">
        <f t="shared" si="16"/>
        <v>3.8784744667099691E-3</v>
      </c>
      <c r="G472" s="81">
        <v>43008</v>
      </c>
      <c r="H472" s="82">
        <v>330.75</v>
      </c>
      <c r="I472" s="173">
        <f t="shared" si="15"/>
        <v>-3.4348730000903771E-3</v>
      </c>
      <c r="J472" s="77"/>
      <c r="K472" s="77"/>
    </row>
    <row r="473" spans="1:11" ht="17.5">
      <c r="A473" s="248">
        <v>43032</v>
      </c>
      <c r="B473" s="249">
        <v>93.25</v>
      </c>
      <c r="C473" s="47">
        <f t="shared" si="16"/>
        <v>7.5123417042277651E-4</v>
      </c>
      <c r="G473" s="81">
        <v>43011</v>
      </c>
      <c r="H473" s="82">
        <v>328.07</v>
      </c>
      <c r="I473" s="173">
        <f t="shared" si="15"/>
        <v>-8.1027966742253099E-3</v>
      </c>
      <c r="J473" s="77"/>
      <c r="K473" s="77"/>
    </row>
    <row r="474" spans="1:11" ht="17.5">
      <c r="A474" s="248">
        <v>43033</v>
      </c>
      <c r="B474" s="249">
        <v>93.45</v>
      </c>
      <c r="C474" s="47">
        <f t="shared" si="16"/>
        <v>2.1447721179626011E-3</v>
      </c>
      <c r="G474" s="81">
        <v>43012</v>
      </c>
      <c r="H474" s="82">
        <v>329.39</v>
      </c>
      <c r="I474" s="173">
        <f t="shared" si="15"/>
        <v>4.0235315633858626E-3</v>
      </c>
      <c r="J474" s="77"/>
      <c r="K474" s="77"/>
    </row>
    <row r="475" spans="1:11" ht="17.5">
      <c r="A475" s="248">
        <v>43034</v>
      </c>
      <c r="B475" s="249">
        <v>94</v>
      </c>
      <c r="C475" s="47">
        <f t="shared" si="16"/>
        <v>5.8855002675226586E-3</v>
      </c>
      <c r="G475" s="81">
        <v>43013</v>
      </c>
      <c r="H475" s="82">
        <v>327.22000000000003</v>
      </c>
      <c r="I475" s="173">
        <f t="shared" si="15"/>
        <v>-6.5879352742947983E-3</v>
      </c>
      <c r="J475" s="77"/>
      <c r="K475" s="77"/>
    </row>
    <row r="476" spans="1:11" ht="17.5">
      <c r="A476" s="248">
        <v>43035</v>
      </c>
      <c r="B476" s="249">
        <v>93.82</v>
      </c>
      <c r="C476" s="47">
        <f t="shared" si="16"/>
        <v>-1.9148936170213515E-3</v>
      </c>
      <c r="G476" s="81">
        <v>43014</v>
      </c>
      <c r="H476" s="82">
        <v>333.88</v>
      </c>
      <c r="I476" s="173">
        <f t="shared" si="15"/>
        <v>2.0353279139416758E-2</v>
      </c>
      <c r="J476" s="77"/>
      <c r="K476" s="77"/>
    </row>
    <row r="477" spans="1:11" ht="17.5">
      <c r="A477" s="248">
        <v>43036</v>
      </c>
      <c r="B477" s="249">
        <v>93.51</v>
      </c>
      <c r="C477" s="47">
        <f t="shared" si="16"/>
        <v>-3.3041995310166827E-3</v>
      </c>
      <c r="G477" s="81">
        <v>43015</v>
      </c>
      <c r="H477" s="82">
        <v>334.74</v>
      </c>
      <c r="I477" s="173">
        <f t="shared" si="15"/>
        <v>2.5757757278064286E-3</v>
      </c>
      <c r="J477" s="77"/>
      <c r="K477" s="77"/>
    </row>
    <row r="478" spans="1:11" ht="17.5">
      <c r="A478" s="248">
        <v>43039</v>
      </c>
      <c r="B478" s="249">
        <v>93.25</v>
      </c>
      <c r="C478" s="47">
        <f t="shared" si="16"/>
        <v>-2.7804512886322463E-3</v>
      </c>
      <c r="G478" s="81">
        <v>43018</v>
      </c>
      <c r="H478" s="82">
        <v>335.98</v>
      </c>
      <c r="I478" s="173">
        <f t="shared" si="15"/>
        <v>3.7043675688595012E-3</v>
      </c>
      <c r="J478" s="77"/>
      <c r="K478" s="77"/>
    </row>
    <row r="479" spans="1:11" ht="17.5">
      <c r="A479" s="248">
        <v>43040</v>
      </c>
      <c r="B479" s="249">
        <v>93.37</v>
      </c>
      <c r="C479" s="47">
        <f t="shared" si="16"/>
        <v>1.2868632707774275E-3</v>
      </c>
      <c r="G479" s="81">
        <v>43019</v>
      </c>
      <c r="H479" s="82">
        <v>333.96</v>
      </c>
      <c r="I479" s="173">
        <f t="shared" si="15"/>
        <v>-6.0122626346807984E-3</v>
      </c>
      <c r="J479" s="77"/>
      <c r="K479" s="77"/>
    </row>
    <row r="480" spans="1:11" ht="17.5">
      <c r="A480" s="248">
        <v>43041</v>
      </c>
      <c r="B480" s="249">
        <v>93.22</v>
      </c>
      <c r="C480" s="47">
        <f t="shared" si="16"/>
        <v>-1.6065117275356755E-3</v>
      </c>
      <c r="G480" s="81">
        <v>43020</v>
      </c>
      <c r="H480" s="82">
        <v>335.39</v>
      </c>
      <c r="I480" s="173">
        <f t="shared" si="15"/>
        <v>4.2819499341237854E-3</v>
      </c>
      <c r="J480" s="77"/>
      <c r="K480" s="77"/>
    </row>
    <row r="481" spans="1:11" ht="17.5">
      <c r="A481" s="248">
        <v>43042</v>
      </c>
      <c r="B481" s="249">
        <v>93.9</v>
      </c>
      <c r="C481" s="47">
        <f t="shared" si="16"/>
        <v>7.2945719802617326E-3</v>
      </c>
      <c r="G481" s="81">
        <v>43021</v>
      </c>
      <c r="H481" s="82">
        <v>336.43</v>
      </c>
      <c r="I481" s="173">
        <f t="shared" si="15"/>
        <v>3.100867646620431E-3</v>
      </c>
      <c r="J481" s="77"/>
      <c r="K481" s="77"/>
    </row>
    <row r="482" spans="1:11" ht="17.5">
      <c r="A482" s="248">
        <v>43043</v>
      </c>
      <c r="B482" s="249">
        <v>94.6</v>
      </c>
      <c r="C482" s="47">
        <f t="shared" si="16"/>
        <v>7.4547390841319672E-3</v>
      </c>
      <c r="G482" s="81">
        <v>43022</v>
      </c>
      <c r="H482" s="82">
        <v>340.73</v>
      </c>
      <c r="I482" s="173">
        <f t="shared" si="15"/>
        <v>1.2781262075320265E-2</v>
      </c>
      <c r="J482" s="77"/>
      <c r="K482" s="77"/>
    </row>
    <row r="483" spans="1:11" ht="17.5">
      <c r="A483" s="248">
        <v>43046</v>
      </c>
      <c r="B483" s="249">
        <v>94.52</v>
      </c>
      <c r="C483" s="47">
        <f t="shared" si="16"/>
        <v>-8.4566596194501908E-4</v>
      </c>
      <c r="G483" s="81">
        <v>43025</v>
      </c>
      <c r="H483" s="82">
        <v>340.99</v>
      </c>
      <c r="I483" s="173">
        <f t="shared" si="15"/>
        <v>7.630675314764801E-4</v>
      </c>
      <c r="J483" s="77"/>
      <c r="K483" s="77"/>
    </row>
    <row r="484" spans="1:11" ht="17.5">
      <c r="A484" s="248">
        <v>43047</v>
      </c>
      <c r="B484" s="249">
        <v>94.69</v>
      </c>
      <c r="C484" s="47">
        <f t="shared" si="16"/>
        <v>1.7985611510791255E-3</v>
      </c>
      <c r="G484" s="81">
        <v>43026</v>
      </c>
      <c r="H484" s="82">
        <v>343.88</v>
      </c>
      <c r="I484" s="173">
        <f t="shared" si="15"/>
        <v>8.4753218569459943E-3</v>
      </c>
      <c r="J484" s="77"/>
      <c r="K484" s="77"/>
    </row>
    <row r="485" spans="1:11" ht="17.5">
      <c r="A485" s="248">
        <v>43048</v>
      </c>
      <c r="B485" s="249">
        <v>93.31</v>
      </c>
      <c r="C485" s="47">
        <f t="shared" si="16"/>
        <v>-1.4573872637026031E-2</v>
      </c>
      <c r="G485" s="81">
        <v>43027</v>
      </c>
      <c r="H485" s="82">
        <v>344.52</v>
      </c>
      <c r="I485" s="173">
        <f t="shared" si="15"/>
        <v>1.8611143422122556E-3</v>
      </c>
      <c r="J485" s="77"/>
      <c r="K485" s="77"/>
    </row>
    <row r="486" spans="1:11" ht="17.5">
      <c r="A486" s="248">
        <v>43049</v>
      </c>
      <c r="B486" s="249">
        <v>93.31</v>
      </c>
      <c r="C486" s="47">
        <f t="shared" si="16"/>
        <v>0</v>
      </c>
      <c r="G486" s="81">
        <v>43028</v>
      </c>
      <c r="H486" s="82">
        <v>342.55</v>
      </c>
      <c r="I486" s="173">
        <f t="shared" si="15"/>
        <v>-5.7181005456866663E-3</v>
      </c>
      <c r="J486" s="77"/>
      <c r="K486" s="77"/>
    </row>
    <row r="487" spans="1:11" ht="17.5">
      <c r="A487" s="248">
        <v>43050</v>
      </c>
      <c r="B487" s="249">
        <v>93.55</v>
      </c>
      <c r="C487" s="47">
        <f t="shared" si="16"/>
        <v>2.5720715893258195E-3</v>
      </c>
      <c r="G487" s="81">
        <v>43029</v>
      </c>
      <c r="H487" s="82">
        <v>342.18</v>
      </c>
      <c r="I487" s="173">
        <f t="shared" si="15"/>
        <v>-1.0801342869654063E-3</v>
      </c>
      <c r="J487" s="77"/>
      <c r="K487" s="77"/>
    </row>
    <row r="488" spans="1:11" ht="17.5">
      <c r="A488" s="248">
        <v>43053</v>
      </c>
      <c r="B488" s="249">
        <v>93.3</v>
      </c>
      <c r="C488" s="47">
        <f t="shared" si="16"/>
        <v>-2.6723677177979965E-3</v>
      </c>
      <c r="G488" s="81">
        <v>43032</v>
      </c>
      <c r="H488" s="82">
        <v>342.85</v>
      </c>
      <c r="I488" s="173">
        <f t="shared" si="15"/>
        <v>1.9580337833888795E-3</v>
      </c>
      <c r="J488" s="77"/>
      <c r="K488" s="77"/>
    </row>
    <row r="489" spans="1:11" ht="17.5">
      <c r="A489" s="248">
        <v>43054</v>
      </c>
      <c r="B489" s="249">
        <v>93.09</v>
      </c>
      <c r="C489" s="47">
        <f t="shared" si="16"/>
        <v>-2.2508038585208334E-3</v>
      </c>
      <c r="G489" s="81">
        <v>43033</v>
      </c>
      <c r="H489" s="82">
        <v>342.14</v>
      </c>
      <c r="I489" s="173">
        <f t="shared" si="15"/>
        <v>-2.0708764765933196E-3</v>
      </c>
      <c r="J489" s="77"/>
      <c r="K489" s="77"/>
    </row>
    <row r="490" spans="1:11" ht="17.5">
      <c r="A490" s="248">
        <v>43055</v>
      </c>
      <c r="B490" s="249">
        <v>93.19</v>
      </c>
      <c r="C490" s="47">
        <f t="shared" si="16"/>
        <v>1.0742292405199194E-3</v>
      </c>
      <c r="G490" s="81">
        <v>43034</v>
      </c>
      <c r="H490" s="82">
        <v>339.39</v>
      </c>
      <c r="I490" s="173">
        <f t="shared" si="15"/>
        <v>-8.0376454083124216E-3</v>
      </c>
      <c r="J490" s="77"/>
      <c r="K490" s="77"/>
    </row>
    <row r="491" spans="1:11" ht="17.5">
      <c r="A491" s="248">
        <v>43056</v>
      </c>
      <c r="B491" s="249">
        <v>93.43</v>
      </c>
      <c r="C491" s="47">
        <f t="shared" si="16"/>
        <v>2.5753836248525452E-3</v>
      </c>
      <c r="G491" s="81">
        <v>43035</v>
      </c>
      <c r="H491" s="82">
        <v>337.29</v>
      </c>
      <c r="I491" s="173">
        <f t="shared" si="15"/>
        <v>-6.1875718200299357E-3</v>
      </c>
      <c r="J491" s="77"/>
      <c r="K491" s="77"/>
    </row>
    <row r="492" spans="1:11" ht="17.5">
      <c r="A492" s="248">
        <v>43057</v>
      </c>
      <c r="B492" s="249">
        <v>93.4</v>
      </c>
      <c r="C492" s="47">
        <f t="shared" si="16"/>
        <v>-3.2109600770635627E-4</v>
      </c>
      <c r="G492" s="81">
        <v>43036</v>
      </c>
      <c r="H492" s="82">
        <v>334.9</v>
      </c>
      <c r="I492" s="173">
        <f t="shared" si="15"/>
        <v>-7.0858904800025213E-3</v>
      </c>
      <c r="J492" s="77"/>
      <c r="K492" s="77"/>
    </row>
    <row r="493" spans="1:11" ht="17.5">
      <c r="A493" s="248">
        <v>43060</v>
      </c>
      <c r="B493" s="249">
        <v>92.44</v>
      </c>
      <c r="C493" s="47">
        <f t="shared" si="16"/>
        <v>-1.0278372591006502E-2</v>
      </c>
      <c r="G493" s="81">
        <v>43039</v>
      </c>
      <c r="H493" s="82">
        <v>335.97</v>
      </c>
      <c r="I493" s="173">
        <f t="shared" si="15"/>
        <v>3.1949835771873936E-3</v>
      </c>
      <c r="J493" s="77"/>
      <c r="K493" s="77"/>
    </row>
    <row r="494" spans="1:11" ht="17.5">
      <c r="A494" s="248">
        <v>43061</v>
      </c>
      <c r="B494" s="249">
        <v>91.86</v>
      </c>
      <c r="C494" s="47">
        <f t="shared" si="16"/>
        <v>-6.2743401125053833E-3</v>
      </c>
      <c r="G494" s="81">
        <v>43040</v>
      </c>
      <c r="H494" s="82">
        <v>334.32</v>
      </c>
      <c r="I494" s="173">
        <f t="shared" si="15"/>
        <v>-4.9111527814984512E-3</v>
      </c>
      <c r="J494" s="77"/>
      <c r="K494" s="77"/>
    </row>
    <row r="495" spans="1:11" ht="17.5">
      <c r="A495" s="248">
        <v>43062</v>
      </c>
      <c r="B495" s="249">
        <v>92</v>
      </c>
      <c r="C495" s="47">
        <f t="shared" si="16"/>
        <v>1.524058349662516E-3</v>
      </c>
      <c r="G495" s="81">
        <v>43041</v>
      </c>
      <c r="H495" s="82">
        <v>335.12</v>
      </c>
      <c r="I495" s="173">
        <f t="shared" si="15"/>
        <v>2.3929169657812555E-3</v>
      </c>
      <c r="J495" s="77"/>
      <c r="K495" s="77"/>
    </row>
    <row r="496" spans="1:11" ht="17.5">
      <c r="A496" s="248">
        <v>43064</v>
      </c>
      <c r="B496" s="249">
        <v>90.98</v>
      </c>
      <c r="C496" s="47">
        <f t="shared" si="16"/>
        <v>-1.1086956521739078E-2</v>
      </c>
      <c r="G496" s="81">
        <v>43042</v>
      </c>
      <c r="H496" s="82">
        <v>336.3</v>
      </c>
      <c r="I496" s="173">
        <f t="shared" si="15"/>
        <v>3.5211267605634866E-3</v>
      </c>
      <c r="J496" s="77"/>
      <c r="K496" s="77"/>
    </row>
    <row r="497" spans="1:11" ht="17.5">
      <c r="A497" s="248">
        <v>43067</v>
      </c>
      <c r="B497" s="249">
        <v>91.76</v>
      </c>
      <c r="C497" s="47">
        <f t="shared" si="16"/>
        <v>8.5733128160034866E-3</v>
      </c>
      <c r="G497" s="81">
        <v>43043</v>
      </c>
      <c r="H497" s="82">
        <v>335.24</v>
      </c>
      <c r="I497" s="173">
        <f t="shared" si="15"/>
        <v>-3.1519476657746459E-3</v>
      </c>
      <c r="J497" s="77"/>
      <c r="K497" s="77"/>
    </row>
    <row r="498" spans="1:11" ht="17.5">
      <c r="A498" s="248">
        <v>43068</v>
      </c>
      <c r="B498" s="249">
        <v>91.74</v>
      </c>
      <c r="C498" s="47">
        <f t="shared" si="16"/>
        <v>-2.1795989537931604E-4</v>
      </c>
      <c r="G498" s="81">
        <v>43046</v>
      </c>
      <c r="H498" s="82">
        <v>337.32</v>
      </c>
      <c r="I498" s="173">
        <f t="shared" si="15"/>
        <v>6.2045102016465847E-3</v>
      </c>
      <c r="J498" s="77"/>
      <c r="K498" s="77"/>
    </row>
    <row r="499" spans="1:11" ht="17.5">
      <c r="A499" s="248">
        <v>43069</v>
      </c>
      <c r="B499" s="249">
        <v>92.38</v>
      </c>
      <c r="C499" s="47">
        <f t="shared" si="16"/>
        <v>6.9762371920645272E-3</v>
      </c>
      <c r="G499" s="81">
        <v>43047</v>
      </c>
      <c r="H499" s="82">
        <v>338.32</v>
      </c>
      <c r="I499" s="173">
        <f t="shared" si="15"/>
        <v>2.9645440531247402E-3</v>
      </c>
      <c r="J499" s="77"/>
      <c r="K499" s="77"/>
    </row>
    <row r="500" spans="1:11" ht="17.5">
      <c r="A500" s="248">
        <v>43070</v>
      </c>
      <c r="B500" s="249">
        <v>92.93</v>
      </c>
      <c r="C500" s="47">
        <f t="shared" si="16"/>
        <v>5.9536696254602894E-3</v>
      </c>
      <c r="G500" s="81">
        <v>43048</v>
      </c>
      <c r="H500" s="82">
        <v>338.97</v>
      </c>
      <c r="I500" s="173">
        <f t="shared" si="15"/>
        <v>1.9212579806102692E-3</v>
      </c>
      <c r="J500" s="77"/>
      <c r="K500" s="77"/>
    </row>
    <row r="501" spans="1:11" ht="17.5">
      <c r="A501" s="248">
        <v>43071</v>
      </c>
      <c r="B501" s="249">
        <v>93.05</v>
      </c>
      <c r="C501" s="47">
        <f t="shared" si="16"/>
        <v>1.2912945227590011E-3</v>
      </c>
      <c r="G501" s="81">
        <v>43049</v>
      </c>
      <c r="H501" s="82">
        <v>341.22</v>
      </c>
      <c r="I501" s="173">
        <f t="shared" si="15"/>
        <v>6.6377555535888089E-3</v>
      </c>
      <c r="J501" s="77"/>
      <c r="K501" s="77"/>
    </row>
    <row r="502" spans="1:11" ht="17.5">
      <c r="A502" s="248">
        <v>43074</v>
      </c>
      <c r="B502" s="249">
        <v>93.14</v>
      </c>
      <c r="C502" s="47">
        <f t="shared" si="16"/>
        <v>9.6722192369691484E-4</v>
      </c>
      <c r="G502" s="81">
        <v>43050</v>
      </c>
      <c r="H502" s="82">
        <v>341.98</v>
      </c>
      <c r="I502" s="173">
        <f t="shared" si="15"/>
        <v>2.2273020338783311E-3</v>
      </c>
      <c r="J502" s="77"/>
      <c r="K502" s="77"/>
    </row>
    <row r="503" spans="1:11" ht="17.5">
      <c r="A503" s="248">
        <v>43075</v>
      </c>
      <c r="B503" s="249">
        <v>93.64</v>
      </c>
      <c r="C503" s="47">
        <f t="shared" si="16"/>
        <v>5.3682628301481294E-3</v>
      </c>
      <c r="G503" s="81">
        <v>43053</v>
      </c>
      <c r="H503" s="82">
        <v>342.06</v>
      </c>
      <c r="I503" s="173">
        <f t="shared" si="15"/>
        <v>2.339318088777631E-4</v>
      </c>
      <c r="J503" s="77"/>
      <c r="K503" s="77"/>
    </row>
    <row r="504" spans="1:11" ht="17.5">
      <c r="A504" s="248">
        <v>43076</v>
      </c>
      <c r="B504" s="249">
        <v>93.5</v>
      </c>
      <c r="C504" s="47">
        <f t="shared" si="16"/>
        <v>-1.4950875694147436E-3</v>
      </c>
      <c r="G504" s="81">
        <v>43054</v>
      </c>
      <c r="H504" s="82">
        <v>342.54</v>
      </c>
      <c r="I504" s="173">
        <f t="shared" si="15"/>
        <v>1.4032625855113778E-3</v>
      </c>
      <c r="J504" s="77"/>
      <c r="K504" s="77"/>
    </row>
    <row r="505" spans="1:11" ht="17.5">
      <c r="A505" s="248">
        <v>43077</v>
      </c>
      <c r="B505" s="249">
        <v>93.44</v>
      </c>
      <c r="C505" s="47">
        <f t="shared" si="16"/>
        <v>-6.4171122994649554E-4</v>
      </c>
      <c r="G505" s="81">
        <v>43055</v>
      </c>
      <c r="H505" s="82">
        <v>341.62</v>
      </c>
      <c r="I505" s="173">
        <f t="shared" si="15"/>
        <v>-2.6858177147195406E-3</v>
      </c>
      <c r="J505" s="77"/>
      <c r="K505" s="77"/>
    </row>
    <row r="506" spans="1:11" ht="17.5">
      <c r="A506" s="248">
        <v>43078</v>
      </c>
      <c r="B506" s="249">
        <v>93.46</v>
      </c>
      <c r="C506" s="47">
        <f t="shared" si="16"/>
        <v>2.1404109589040488E-4</v>
      </c>
      <c r="G506" s="81">
        <v>43056</v>
      </c>
      <c r="H506" s="82">
        <v>337.38</v>
      </c>
      <c r="I506" s="173">
        <f t="shared" si="15"/>
        <v>-1.2411451320180289E-2</v>
      </c>
      <c r="J506" s="77"/>
      <c r="K506" s="77"/>
    </row>
    <row r="507" spans="1:11" ht="17.5">
      <c r="A507" s="248">
        <v>43081</v>
      </c>
      <c r="B507" s="249">
        <v>93.84</v>
      </c>
      <c r="C507" s="47">
        <f t="shared" si="16"/>
        <v>4.065910549968077E-3</v>
      </c>
      <c r="G507" s="81">
        <v>43057</v>
      </c>
      <c r="H507" s="82">
        <v>337.02</v>
      </c>
      <c r="I507" s="173">
        <f t="shared" si="15"/>
        <v>-1.0670460608216414E-3</v>
      </c>
      <c r="J507" s="77"/>
      <c r="K507" s="77"/>
    </row>
    <row r="508" spans="1:11" ht="17.5">
      <c r="A508" s="248">
        <v>43082</v>
      </c>
      <c r="B508" s="249">
        <v>93.6</v>
      </c>
      <c r="C508" s="47">
        <f t="shared" si="16"/>
        <v>-2.5575447570332921E-3</v>
      </c>
      <c r="G508" s="81">
        <v>43060</v>
      </c>
      <c r="H508" s="82">
        <v>333.63</v>
      </c>
      <c r="I508" s="173">
        <f t="shared" si="15"/>
        <v>-1.0058750222538659E-2</v>
      </c>
      <c r="J508" s="77"/>
      <c r="K508" s="77"/>
    </row>
    <row r="509" spans="1:11" ht="17.5">
      <c r="A509" s="248">
        <v>43083</v>
      </c>
      <c r="B509" s="249">
        <v>93.3</v>
      </c>
      <c r="C509" s="47">
        <f t="shared" si="16"/>
        <v>-3.2051282051281937E-3</v>
      </c>
      <c r="G509" s="81">
        <v>43061</v>
      </c>
      <c r="H509" s="82">
        <v>332.5</v>
      </c>
      <c r="I509" s="173">
        <f t="shared" si="15"/>
        <v>-3.3869855828312367E-3</v>
      </c>
      <c r="J509" s="77"/>
      <c r="K509" s="77"/>
    </row>
    <row r="510" spans="1:11" ht="17.5">
      <c r="A510" s="248">
        <v>43084</v>
      </c>
      <c r="B510" s="249">
        <v>93.39</v>
      </c>
      <c r="C510" s="47">
        <f t="shared" si="16"/>
        <v>9.6463022508053164E-4</v>
      </c>
      <c r="G510" s="81">
        <v>43062</v>
      </c>
      <c r="H510" s="82">
        <v>332.53</v>
      </c>
      <c r="I510" s="173">
        <f t="shared" si="15"/>
        <v>9.0225563909696049E-5</v>
      </c>
      <c r="J510" s="77"/>
      <c r="K510" s="77"/>
    </row>
    <row r="511" spans="1:11" ht="17.5">
      <c r="A511" s="248">
        <v>43085</v>
      </c>
      <c r="B511" s="249">
        <v>93.23</v>
      </c>
      <c r="C511" s="47">
        <f t="shared" si="16"/>
        <v>-1.7132455294999183E-3</v>
      </c>
      <c r="G511" s="81">
        <v>43063</v>
      </c>
      <c r="H511" s="82">
        <v>333.41</v>
      </c>
      <c r="I511" s="173">
        <f t="shared" si="15"/>
        <v>2.6463777704268665E-3</v>
      </c>
      <c r="J511" s="77"/>
      <c r="K511" s="77"/>
    </row>
    <row r="512" spans="1:11" ht="17.5">
      <c r="A512" s="248">
        <v>43088</v>
      </c>
      <c r="B512" s="249">
        <v>92.73</v>
      </c>
      <c r="C512" s="47">
        <f t="shared" si="16"/>
        <v>-5.3630805534699011E-3</v>
      </c>
      <c r="G512" s="81">
        <v>43064</v>
      </c>
      <c r="H512" s="82">
        <v>325.05</v>
      </c>
      <c r="I512" s="173">
        <f t="shared" si="15"/>
        <v>-2.5074232926426965E-2</v>
      </c>
      <c r="J512" s="77"/>
      <c r="K512" s="77"/>
    </row>
    <row r="513" spans="1:11" ht="17.5">
      <c r="A513" s="248">
        <v>43089</v>
      </c>
      <c r="B513" s="249">
        <v>93.01</v>
      </c>
      <c r="C513" s="47">
        <f t="shared" si="16"/>
        <v>3.0195190337538591E-3</v>
      </c>
      <c r="G513" s="81">
        <v>43067</v>
      </c>
      <c r="H513" s="82">
        <v>323.91000000000003</v>
      </c>
      <c r="I513" s="173">
        <f t="shared" si="15"/>
        <v>-3.5071527457314344E-3</v>
      </c>
      <c r="J513" s="77"/>
      <c r="K513" s="77"/>
    </row>
    <row r="514" spans="1:11" ht="17.5">
      <c r="A514" s="248">
        <v>43090</v>
      </c>
      <c r="B514" s="249">
        <v>93.11</v>
      </c>
      <c r="C514" s="47">
        <f t="shared" si="16"/>
        <v>1.0751532093322691E-3</v>
      </c>
      <c r="G514" s="81">
        <v>43068</v>
      </c>
      <c r="H514" s="82">
        <v>322.83999999999997</v>
      </c>
      <c r="I514" s="173">
        <f t="shared" si="15"/>
        <v>-3.3033867432312736E-3</v>
      </c>
      <c r="J514" s="77"/>
      <c r="K514" s="77"/>
    </row>
    <row r="515" spans="1:11" ht="17.5">
      <c r="A515" s="248">
        <v>43091</v>
      </c>
      <c r="B515" s="249">
        <v>93.25</v>
      </c>
      <c r="C515" s="47">
        <f t="shared" si="16"/>
        <v>1.5035978949629047E-3</v>
      </c>
      <c r="G515" s="81">
        <v>43069</v>
      </c>
      <c r="H515" s="82">
        <v>324.95999999999998</v>
      </c>
      <c r="I515" s="173">
        <f t="shared" si="15"/>
        <v>6.5667203568331445E-3</v>
      </c>
      <c r="J515" s="77"/>
      <c r="K515" s="77"/>
    </row>
    <row r="516" spans="1:11" ht="17.5">
      <c r="A516" s="248">
        <v>43095</v>
      </c>
      <c r="B516" s="249">
        <v>93.59</v>
      </c>
      <c r="C516" s="47">
        <f t="shared" si="16"/>
        <v>3.6461126005362665E-3</v>
      </c>
      <c r="G516" s="81">
        <v>43070</v>
      </c>
      <c r="H516" s="82">
        <v>326.52</v>
      </c>
      <c r="I516" s="173">
        <f t="shared" si="15"/>
        <v>4.8005908419497256E-3</v>
      </c>
      <c r="J516" s="77"/>
      <c r="K516" s="77"/>
    </row>
    <row r="517" spans="1:11" ht="17.5">
      <c r="A517" s="248">
        <v>43096</v>
      </c>
      <c r="B517" s="249">
        <v>93.51</v>
      </c>
      <c r="C517" s="47">
        <f t="shared" si="16"/>
        <v>-8.5479217865158663E-4</v>
      </c>
      <c r="G517" s="81">
        <v>43071</v>
      </c>
      <c r="H517" s="82">
        <v>323.44</v>
      </c>
      <c r="I517" s="173">
        <f t="shared" si="15"/>
        <v>-9.4328065662133698E-3</v>
      </c>
      <c r="J517" s="77"/>
      <c r="K517" s="77"/>
    </row>
    <row r="518" spans="1:11" ht="17.5">
      <c r="A518" s="248">
        <v>43097</v>
      </c>
      <c r="B518" s="249">
        <v>93.41</v>
      </c>
      <c r="C518" s="47">
        <f t="shared" si="16"/>
        <v>-1.0694043417817101E-3</v>
      </c>
      <c r="G518" s="81">
        <v>43074</v>
      </c>
      <c r="H518" s="82">
        <v>322.01</v>
      </c>
      <c r="I518" s="173">
        <f t="shared" si="15"/>
        <v>-4.4212218649517521E-3</v>
      </c>
      <c r="J518" s="77"/>
      <c r="K518" s="77"/>
    </row>
    <row r="519" spans="1:11" ht="17.5">
      <c r="A519" s="248">
        <v>43098</v>
      </c>
      <c r="B519" s="249">
        <v>93.85</v>
      </c>
      <c r="C519" s="47">
        <f t="shared" si="16"/>
        <v>4.7104164436355678E-3</v>
      </c>
      <c r="G519" s="81">
        <v>43075</v>
      </c>
      <c r="H519" s="82">
        <v>326.63</v>
      </c>
      <c r="I519" s="173">
        <f t="shared" si="15"/>
        <v>1.4347380516133157E-2</v>
      </c>
      <c r="J519" s="77"/>
      <c r="K519" s="77"/>
    </row>
    <row r="520" spans="1:11" ht="17.5">
      <c r="A520" s="248">
        <v>43099</v>
      </c>
      <c r="B520" s="249">
        <v>93.73</v>
      </c>
      <c r="C520" s="47">
        <f t="shared" si="16"/>
        <v>-1.2786361214702779E-3</v>
      </c>
      <c r="G520" s="81">
        <v>43076</v>
      </c>
      <c r="H520" s="82">
        <v>328.96</v>
      </c>
      <c r="I520" s="173">
        <f t="shared" si="15"/>
        <v>7.1334537550131749E-3</v>
      </c>
      <c r="J520" s="77"/>
      <c r="K520" s="77"/>
    </row>
    <row r="521" spans="1:11" ht="17.5">
      <c r="A521" s="248">
        <v>43102</v>
      </c>
      <c r="B521" s="249">
        <v>92.8</v>
      </c>
      <c r="C521" s="47">
        <f t="shared" si="16"/>
        <v>-9.922116718233287E-3</v>
      </c>
      <c r="G521" s="81">
        <v>43077</v>
      </c>
      <c r="H521" s="82">
        <v>329.87</v>
      </c>
      <c r="I521" s="173">
        <f t="shared" si="15"/>
        <v>2.7662937743191396E-3</v>
      </c>
      <c r="J521" s="77"/>
      <c r="K521" s="77"/>
    </row>
    <row r="522" spans="1:11" ht="17.5">
      <c r="A522" s="248">
        <v>43103</v>
      </c>
      <c r="B522" s="249">
        <v>92.75</v>
      </c>
      <c r="C522" s="47">
        <f t="shared" si="16"/>
        <v>-5.3879310344828735E-4</v>
      </c>
      <c r="G522" s="81">
        <v>43078</v>
      </c>
      <c r="H522" s="82">
        <v>328.36</v>
      </c>
      <c r="I522" s="173">
        <f t="shared" si="15"/>
        <v>-4.5775608573074278E-3</v>
      </c>
      <c r="J522" s="77"/>
      <c r="K522" s="77"/>
    </row>
    <row r="523" spans="1:11" ht="17.5">
      <c r="A523" s="248">
        <v>43104</v>
      </c>
      <c r="B523" s="249">
        <v>91.86</v>
      </c>
      <c r="C523" s="47">
        <f t="shared" si="16"/>
        <v>-9.5956873315363733E-3</v>
      </c>
      <c r="G523" s="81">
        <v>43081</v>
      </c>
      <c r="H523" s="82">
        <v>326.16000000000003</v>
      </c>
      <c r="I523" s="173">
        <f t="shared" si="15"/>
        <v>-6.6999634547447728E-3</v>
      </c>
      <c r="J523" s="77"/>
      <c r="K523" s="77"/>
    </row>
    <row r="524" spans="1:11" ht="17.5">
      <c r="A524" s="248">
        <v>43105</v>
      </c>
      <c r="B524" s="249">
        <v>91.78</v>
      </c>
      <c r="C524" s="47">
        <f t="shared" si="16"/>
        <v>-8.7089048552146942E-4</v>
      </c>
      <c r="G524" s="81">
        <v>43082</v>
      </c>
      <c r="H524" s="82">
        <v>324.17</v>
      </c>
      <c r="I524" s="173">
        <f t="shared" si="15"/>
        <v>-6.101299975472152E-3</v>
      </c>
      <c r="J524" s="77"/>
      <c r="K524" s="77"/>
    </row>
    <row r="525" spans="1:11" ht="17.5">
      <c r="A525" s="248">
        <v>43106</v>
      </c>
      <c r="B525" s="249">
        <v>91.6</v>
      </c>
      <c r="C525" s="47">
        <f t="shared" si="16"/>
        <v>-1.9612115929397156E-3</v>
      </c>
      <c r="G525" s="81">
        <v>43083</v>
      </c>
      <c r="H525" s="82">
        <v>321.58999999999997</v>
      </c>
      <c r="I525" s="173">
        <f t="shared" si="15"/>
        <v>-7.9587870561743657E-3</v>
      </c>
      <c r="J525" s="77"/>
      <c r="K525" s="77"/>
    </row>
    <row r="526" spans="1:11" ht="17.5">
      <c r="A526" s="248">
        <v>43109</v>
      </c>
      <c r="B526" s="249">
        <v>91.29</v>
      </c>
      <c r="C526" s="47">
        <f t="shared" si="16"/>
        <v>-3.3842794759824102E-3</v>
      </c>
      <c r="G526" s="81">
        <v>43084</v>
      </c>
      <c r="H526" s="82">
        <v>323.85000000000002</v>
      </c>
      <c r="I526" s="173">
        <f t="shared" si="15"/>
        <v>7.0275817034113341E-3</v>
      </c>
      <c r="J526" s="77"/>
      <c r="K526" s="77"/>
    </row>
    <row r="527" spans="1:11" ht="17.5">
      <c r="A527" s="248">
        <v>43110</v>
      </c>
      <c r="B527" s="249">
        <v>91.48</v>
      </c>
      <c r="C527" s="47">
        <f t="shared" si="16"/>
        <v>2.0812794391500411E-3</v>
      </c>
      <c r="G527" s="81">
        <v>43085</v>
      </c>
      <c r="H527" s="82">
        <v>321.5</v>
      </c>
      <c r="I527" s="173">
        <f t="shared" si="15"/>
        <v>-7.256445885440832E-3</v>
      </c>
      <c r="J527" s="77"/>
      <c r="K527" s="77"/>
    </row>
    <row r="528" spans="1:11" ht="17.5">
      <c r="A528" s="248">
        <v>43111</v>
      </c>
      <c r="B528" s="249">
        <v>91.29</v>
      </c>
      <c r="C528" s="47">
        <f t="shared" si="16"/>
        <v>-2.076956711849598E-3</v>
      </c>
      <c r="G528" s="81">
        <v>43088</v>
      </c>
      <c r="H528" s="82">
        <v>314.64</v>
      </c>
      <c r="I528" s="173">
        <f t="shared" ref="I528:I591" si="17">H528/H527-1</f>
        <v>-2.133748055987561E-2</v>
      </c>
      <c r="J528" s="77"/>
      <c r="K528" s="77"/>
    </row>
    <row r="529" spans="1:11" ht="17.5">
      <c r="A529" s="248">
        <v>43112</v>
      </c>
      <c r="B529" s="249">
        <v>90.98</v>
      </c>
      <c r="C529" s="47">
        <f t="shared" ref="C529:C592" si="18">B529/B528-1</f>
        <v>-3.3957717165078449E-3</v>
      </c>
      <c r="G529" s="81">
        <v>43089</v>
      </c>
      <c r="H529" s="82">
        <v>319.60000000000002</v>
      </c>
      <c r="I529" s="173">
        <f t="shared" si="17"/>
        <v>1.5764047800661096E-2</v>
      </c>
      <c r="J529" s="77"/>
      <c r="K529" s="77"/>
    </row>
    <row r="530" spans="1:11" ht="17.5">
      <c r="A530" s="248">
        <v>43113</v>
      </c>
      <c r="B530" s="249">
        <v>90.18</v>
      </c>
      <c r="C530" s="47">
        <f t="shared" si="18"/>
        <v>-8.79314134974718E-3</v>
      </c>
      <c r="G530" s="81">
        <v>43090</v>
      </c>
      <c r="H530" s="82">
        <v>320.72000000000003</v>
      </c>
      <c r="I530" s="173">
        <f t="shared" si="17"/>
        <v>3.5043804755945374E-3</v>
      </c>
      <c r="J530" s="77"/>
      <c r="K530" s="77"/>
    </row>
    <row r="531" spans="1:11" ht="17.5">
      <c r="A531" s="248">
        <v>43117</v>
      </c>
      <c r="B531" s="249">
        <v>89.35</v>
      </c>
      <c r="C531" s="47">
        <f t="shared" si="18"/>
        <v>-9.2038145930363191E-3</v>
      </c>
      <c r="G531" s="81">
        <v>43091</v>
      </c>
      <c r="H531" s="82">
        <v>323.51</v>
      </c>
      <c r="I531" s="173">
        <f t="shared" si="17"/>
        <v>8.6991768520827684E-3</v>
      </c>
      <c r="J531" s="77"/>
      <c r="K531" s="77"/>
    </row>
    <row r="532" spans="1:11" ht="17.5">
      <c r="A532" s="248">
        <v>43118</v>
      </c>
      <c r="B532" s="249">
        <v>89.95</v>
      </c>
      <c r="C532" s="47">
        <f t="shared" si="18"/>
        <v>6.7151650811416719E-3</v>
      </c>
      <c r="G532" s="81">
        <v>43092</v>
      </c>
      <c r="H532" s="82">
        <v>323.61</v>
      </c>
      <c r="I532" s="173">
        <f t="shared" si="17"/>
        <v>3.0910945565842951E-4</v>
      </c>
      <c r="J532" s="77"/>
      <c r="K532" s="77"/>
    </row>
    <row r="533" spans="1:11" ht="17.5">
      <c r="A533" s="248">
        <v>43119</v>
      </c>
      <c r="B533" s="249">
        <v>90.27</v>
      </c>
      <c r="C533" s="47">
        <f t="shared" si="18"/>
        <v>3.5575319622012103E-3</v>
      </c>
      <c r="G533" s="81">
        <v>43095</v>
      </c>
      <c r="H533" s="82">
        <v>324.19</v>
      </c>
      <c r="I533" s="173">
        <f t="shared" si="17"/>
        <v>1.7922808318655559E-3</v>
      </c>
      <c r="J533" s="77"/>
      <c r="K533" s="77"/>
    </row>
    <row r="534" spans="1:11" ht="17.5">
      <c r="A534" s="248">
        <v>43120</v>
      </c>
      <c r="B534" s="249">
        <v>90.75</v>
      </c>
      <c r="C534" s="47">
        <f t="shared" si="18"/>
        <v>5.3173811897639922E-3</v>
      </c>
      <c r="G534" s="81">
        <v>43096</v>
      </c>
      <c r="H534" s="82">
        <v>324.95</v>
      </c>
      <c r="I534" s="173">
        <f t="shared" si="17"/>
        <v>2.3443042660167279E-3</v>
      </c>
      <c r="J534" s="77"/>
      <c r="K534" s="77"/>
    </row>
    <row r="535" spans="1:11" ht="17.5">
      <c r="A535" s="248">
        <v>43123</v>
      </c>
      <c r="B535" s="249">
        <v>90.14</v>
      </c>
      <c r="C535" s="47">
        <f t="shared" si="18"/>
        <v>-6.7217630853994015E-3</v>
      </c>
      <c r="G535" s="81">
        <v>43097</v>
      </c>
      <c r="H535" s="82">
        <v>322.89999999999998</v>
      </c>
      <c r="I535" s="173">
        <f t="shared" si="17"/>
        <v>-6.3086628712110127E-3</v>
      </c>
      <c r="J535" s="77"/>
      <c r="K535" s="77"/>
    </row>
    <row r="536" spans="1:11" ht="17.5">
      <c r="A536" s="248">
        <v>43124</v>
      </c>
      <c r="B536" s="249">
        <v>90.27</v>
      </c>
      <c r="C536" s="47">
        <f t="shared" si="18"/>
        <v>1.4422010206345259E-3</v>
      </c>
      <c r="G536" s="81">
        <v>43098</v>
      </c>
      <c r="H536" s="82">
        <v>325.86</v>
      </c>
      <c r="I536" s="173">
        <f t="shared" si="17"/>
        <v>9.16692474450298E-3</v>
      </c>
      <c r="J536" s="77"/>
      <c r="K536" s="77"/>
    </row>
    <row r="537" spans="1:11" ht="17.5">
      <c r="A537" s="248">
        <v>43125</v>
      </c>
      <c r="B537" s="249">
        <v>89.8</v>
      </c>
      <c r="C537" s="47">
        <f t="shared" si="18"/>
        <v>-5.2066024149772794E-3</v>
      </c>
      <c r="G537" s="81">
        <v>43099</v>
      </c>
      <c r="H537" s="82">
        <v>327.39</v>
      </c>
      <c r="I537" s="173">
        <f t="shared" si="17"/>
        <v>4.6952679064629077E-3</v>
      </c>
    </row>
    <row r="538" spans="1:11" ht="17.5">
      <c r="A538" s="248">
        <v>43126</v>
      </c>
      <c r="B538" s="249">
        <v>90.31</v>
      </c>
      <c r="C538" s="47">
        <f t="shared" si="18"/>
        <v>5.6792873051225712E-3</v>
      </c>
      <c r="G538" s="81">
        <v>43102</v>
      </c>
      <c r="H538" s="82">
        <v>328.07</v>
      </c>
      <c r="I538" s="173">
        <f t="shared" si="17"/>
        <v>2.0770335074375978E-3</v>
      </c>
    </row>
    <row r="539" spans="1:11" ht="17.5">
      <c r="A539" s="248">
        <v>43127</v>
      </c>
      <c r="B539" s="249">
        <v>90.59</v>
      </c>
      <c r="C539" s="47">
        <f t="shared" si="18"/>
        <v>3.1004318458642821E-3</v>
      </c>
      <c r="G539" s="81">
        <v>43103</v>
      </c>
      <c r="H539" s="82">
        <v>327.93</v>
      </c>
      <c r="I539" s="173">
        <f t="shared" si="17"/>
        <v>-4.2673819611660502E-4</v>
      </c>
    </row>
    <row r="540" spans="1:11" ht="17.5">
      <c r="A540" s="248">
        <v>43130</v>
      </c>
      <c r="B540" s="249">
        <v>90.57</v>
      </c>
      <c r="C540" s="47">
        <f t="shared" si="18"/>
        <v>-2.2077491996919107E-4</v>
      </c>
      <c r="G540" s="81">
        <v>43104</v>
      </c>
      <c r="H540" s="82">
        <v>325.45999999999998</v>
      </c>
      <c r="I540" s="173">
        <f t="shared" si="17"/>
        <v>-7.5320952642332628E-3</v>
      </c>
    </row>
    <row r="541" spans="1:11" ht="17.5">
      <c r="A541" s="248">
        <v>43131</v>
      </c>
      <c r="B541" s="249">
        <v>90.8</v>
      </c>
      <c r="C541" s="47">
        <f t="shared" si="18"/>
        <v>2.5394722314231455E-3</v>
      </c>
      <c r="G541" s="81">
        <v>43105</v>
      </c>
      <c r="H541" s="82">
        <v>324.43</v>
      </c>
      <c r="I541" s="173">
        <f t="shared" si="17"/>
        <v>-3.164751428746948E-3</v>
      </c>
    </row>
    <row r="542" spans="1:11" ht="17.5">
      <c r="A542" s="248">
        <v>43132</v>
      </c>
      <c r="B542" s="249">
        <v>91.22</v>
      </c>
      <c r="C542" s="47">
        <f t="shared" si="18"/>
        <v>4.6255506607930652E-3</v>
      </c>
      <c r="G542" s="81">
        <v>43106</v>
      </c>
      <c r="H542" s="82">
        <v>325.81</v>
      </c>
      <c r="I542" s="173">
        <f t="shared" si="17"/>
        <v>4.2536140307616321E-3</v>
      </c>
    </row>
    <row r="543" spans="1:11" ht="17.5">
      <c r="A543" s="248">
        <v>43133</v>
      </c>
      <c r="B543" s="249">
        <v>90.43</v>
      </c>
      <c r="C543" s="47">
        <f t="shared" si="18"/>
        <v>-8.6603814952860292E-3</v>
      </c>
      <c r="E543" s="81"/>
      <c r="F543" s="82"/>
      <c r="G543" s="81">
        <v>43109</v>
      </c>
      <c r="H543" s="82">
        <v>328.12</v>
      </c>
      <c r="I543" s="173">
        <f t="shared" si="17"/>
        <v>7.0900217918419273E-3</v>
      </c>
    </row>
    <row r="544" spans="1:11" ht="17.5">
      <c r="A544" s="248">
        <v>43134</v>
      </c>
      <c r="B544" s="249">
        <v>90</v>
      </c>
      <c r="C544" s="47">
        <f t="shared" si="18"/>
        <v>-4.7550591617826488E-3</v>
      </c>
      <c r="E544" s="81"/>
      <c r="F544" s="82"/>
      <c r="G544" s="81">
        <v>43110</v>
      </c>
      <c r="H544" s="82">
        <v>330.92</v>
      </c>
      <c r="I544" s="173">
        <f t="shared" si="17"/>
        <v>8.5334633670608451E-3</v>
      </c>
    </row>
    <row r="545" spans="1:9" ht="17.5">
      <c r="A545" s="248">
        <v>43137</v>
      </c>
      <c r="B545" s="249">
        <v>89.9</v>
      </c>
      <c r="C545" s="47">
        <f t="shared" si="18"/>
        <v>-1.1111111111110628E-3</v>
      </c>
      <c r="E545" s="81"/>
      <c r="F545" s="82"/>
      <c r="G545" s="81">
        <v>43111</v>
      </c>
      <c r="H545" s="82">
        <v>336.3</v>
      </c>
      <c r="I545" s="173">
        <f t="shared" si="17"/>
        <v>1.6257705789918919E-2</v>
      </c>
    </row>
    <row r="546" spans="1:9" ht="17.5">
      <c r="A546" s="248">
        <v>43138</v>
      </c>
      <c r="B546" s="249">
        <v>89.66</v>
      </c>
      <c r="C546" s="47">
        <f t="shared" si="18"/>
        <v>-2.6696329254728424E-3</v>
      </c>
      <c r="E546" s="81"/>
      <c r="F546" s="82"/>
      <c r="G546" s="81">
        <v>43112</v>
      </c>
      <c r="H546" s="82">
        <v>334.62</v>
      </c>
      <c r="I546" s="173">
        <f t="shared" si="17"/>
        <v>-4.9955396966994137E-3</v>
      </c>
    </row>
    <row r="547" spans="1:9" ht="17.5">
      <c r="A547" s="248">
        <v>43139</v>
      </c>
      <c r="B547" s="249">
        <v>89.98</v>
      </c>
      <c r="C547" s="47">
        <f t="shared" si="18"/>
        <v>3.5690385902298338E-3</v>
      </c>
      <c r="E547" s="81"/>
      <c r="F547" s="82"/>
      <c r="G547" s="81">
        <v>43113</v>
      </c>
      <c r="H547" s="82">
        <v>333.92</v>
      </c>
      <c r="I547" s="173">
        <f t="shared" si="17"/>
        <v>-2.0919251688482632E-3</v>
      </c>
    </row>
    <row r="548" spans="1:9" ht="17.5">
      <c r="A548" s="248">
        <v>43140</v>
      </c>
      <c r="B548" s="249">
        <v>88.8</v>
      </c>
      <c r="C548" s="47">
        <f t="shared" si="18"/>
        <v>-1.311402533896433E-2</v>
      </c>
      <c r="E548" s="81"/>
      <c r="F548" s="82"/>
      <c r="G548" s="81">
        <v>43116</v>
      </c>
      <c r="H548" s="82">
        <v>334.06</v>
      </c>
      <c r="I548" s="173">
        <f t="shared" si="17"/>
        <v>4.192620987062412E-4</v>
      </c>
    </row>
    <row r="549" spans="1:9" ht="17.5">
      <c r="A549" s="248">
        <v>43141</v>
      </c>
      <c r="B549" s="249">
        <v>88.28</v>
      </c>
      <c r="C549" s="47">
        <f t="shared" si="18"/>
        <v>-5.855855855855796E-3</v>
      </c>
      <c r="E549" s="81"/>
      <c r="F549" s="82"/>
      <c r="G549" s="81">
        <v>43117</v>
      </c>
      <c r="H549" s="82">
        <v>330.6</v>
      </c>
      <c r="I549" s="173">
        <f t="shared" si="17"/>
        <v>-1.0357420822606711E-2</v>
      </c>
    </row>
    <row r="550" spans="1:9" ht="17.5">
      <c r="A550" s="248">
        <v>43144</v>
      </c>
      <c r="B550" s="249">
        <v>88.62</v>
      </c>
      <c r="C550" s="47">
        <f t="shared" si="18"/>
        <v>3.8513819664702797E-3</v>
      </c>
      <c r="E550" s="81"/>
      <c r="F550" s="82"/>
      <c r="G550" s="81">
        <v>43118</v>
      </c>
      <c r="H550" s="82">
        <v>330.67</v>
      </c>
      <c r="I550" s="173">
        <f t="shared" si="17"/>
        <v>2.1173623714454415E-4</v>
      </c>
    </row>
    <row r="551" spans="1:9" ht="17.5">
      <c r="A551" s="248">
        <v>43145</v>
      </c>
      <c r="B551" s="249">
        <v>88.96</v>
      </c>
      <c r="C551" s="47">
        <f t="shared" si="18"/>
        <v>3.8366057323402369E-3</v>
      </c>
      <c r="E551" s="81"/>
      <c r="F551" s="82"/>
      <c r="G551" s="81">
        <v>43119</v>
      </c>
      <c r="H551" s="82">
        <v>334.27</v>
      </c>
      <c r="I551" s="173">
        <f t="shared" si="17"/>
        <v>1.0886987026340389E-2</v>
      </c>
    </row>
    <row r="552" spans="1:9" ht="17.5">
      <c r="A552" s="248">
        <v>43146</v>
      </c>
      <c r="B552" s="249">
        <v>89.22</v>
      </c>
      <c r="C552" s="47">
        <f t="shared" si="18"/>
        <v>2.9226618705036067E-3</v>
      </c>
      <c r="E552" s="81"/>
      <c r="F552" s="82"/>
      <c r="G552" s="81">
        <v>43120</v>
      </c>
      <c r="H552" s="82">
        <v>330.67</v>
      </c>
      <c r="I552" s="173">
        <f t="shared" si="17"/>
        <v>-1.0769737038920479E-2</v>
      </c>
    </row>
    <row r="553" spans="1:9" ht="17.5">
      <c r="A553" s="248">
        <v>43147</v>
      </c>
      <c r="B553" s="249">
        <v>88.8</v>
      </c>
      <c r="C553" s="47">
        <f t="shared" si="18"/>
        <v>-4.7074646940148401E-3</v>
      </c>
      <c r="E553" s="81"/>
      <c r="F553" s="82"/>
      <c r="G553" s="81">
        <v>43123</v>
      </c>
      <c r="H553" s="82">
        <v>325.07</v>
      </c>
      <c r="I553" s="173">
        <f t="shared" si="17"/>
        <v>-1.6935313152085185E-2</v>
      </c>
    </row>
    <row r="554" spans="1:9" ht="17.5">
      <c r="A554" s="248">
        <v>43148</v>
      </c>
      <c r="B554" s="249">
        <v>88.84</v>
      </c>
      <c r="C554" s="47">
        <f t="shared" si="18"/>
        <v>4.5045045045055687E-4</v>
      </c>
      <c r="E554" s="81"/>
      <c r="F554" s="82"/>
      <c r="G554" s="81">
        <v>43124</v>
      </c>
      <c r="H554" s="82">
        <v>322.73</v>
      </c>
      <c r="I554" s="173">
        <f t="shared" si="17"/>
        <v>-7.198449564709053E-3</v>
      </c>
    </row>
    <row r="555" spans="1:9" ht="17.5">
      <c r="A555" s="248">
        <v>43152</v>
      </c>
      <c r="B555" s="249">
        <v>87.71</v>
      </c>
      <c r="C555" s="47">
        <f t="shared" si="18"/>
        <v>-1.2719495722647522E-2</v>
      </c>
      <c r="E555" s="81"/>
      <c r="F555" s="82"/>
      <c r="G555" s="81">
        <v>43125</v>
      </c>
      <c r="H555" s="82">
        <v>322.88</v>
      </c>
      <c r="I555" s="173">
        <f t="shared" si="17"/>
        <v>4.647848046352987E-4</v>
      </c>
    </row>
    <row r="556" spans="1:9" ht="17.5">
      <c r="A556" s="248">
        <v>43153</v>
      </c>
      <c r="B556" s="249">
        <v>86.24</v>
      </c>
      <c r="C556" s="47">
        <f t="shared" si="18"/>
        <v>-1.6759776536312887E-2</v>
      </c>
      <c r="E556" s="81"/>
      <c r="F556" s="82"/>
      <c r="G556" s="81">
        <v>43126</v>
      </c>
      <c r="H556" s="82">
        <v>319.26</v>
      </c>
      <c r="I556" s="173">
        <f t="shared" si="17"/>
        <v>-1.1211595639246785E-2</v>
      </c>
    </row>
    <row r="557" spans="1:9" ht="17.5">
      <c r="A557" s="248">
        <v>43154</v>
      </c>
      <c r="B557" s="249">
        <v>85.37</v>
      </c>
      <c r="C557" s="47">
        <f t="shared" si="18"/>
        <v>-1.0088126159554567E-2</v>
      </c>
      <c r="E557" s="81"/>
      <c r="F557" s="82"/>
      <c r="G557" s="81">
        <v>43127</v>
      </c>
      <c r="H557" s="82">
        <v>318.61</v>
      </c>
      <c r="I557" s="173">
        <f t="shared" si="17"/>
        <v>-2.0359581532293225E-3</v>
      </c>
    </row>
    <row r="558" spans="1:9" ht="17.5">
      <c r="A558" s="248">
        <v>43155</v>
      </c>
      <c r="B558" s="249">
        <v>86.39</v>
      </c>
      <c r="C558" s="47">
        <f t="shared" si="18"/>
        <v>1.1947991097575272E-2</v>
      </c>
      <c r="E558" s="81"/>
      <c r="F558" s="82"/>
      <c r="G558" s="81">
        <v>43130</v>
      </c>
      <c r="H558" s="82">
        <v>324.16000000000003</v>
      </c>
      <c r="I558" s="173">
        <f t="shared" si="17"/>
        <v>1.7419415586453768E-2</v>
      </c>
    </row>
    <row r="559" spans="1:9" ht="17.5">
      <c r="A559" s="248">
        <v>43158</v>
      </c>
      <c r="B559" s="249">
        <v>85.56</v>
      </c>
      <c r="C559" s="47">
        <f t="shared" si="18"/>
        <v>-9.6075934714665578E-3</v>
      </c>
      <c r="E559" s="81"/>
      <c r="F559" s="82"/>
      <c r="G559" s="81">
        <v>43131</v>
      </c>
      <c r="H559" s="82">
        <v>325.95999999999998</v>
      </c>
      <c r="I559" s="173">
        <f t="shared" si="17"/>
        <v>5.5528134254687611E-3</v>
      </c>
    </row>
    <row r="560" spans="1:9" ht="17.5">
      <c r="A560" s="248">
        <v>43159</v>
      </c>
      <c r="B560" s="249">
        <v>84.24</v>
      </c>
      <c r="C560" s="47">
        <f t="shared" si="18"/>
        <v>-1.5427769985974837E-2</v>
      </c>
      <c r="E560" s="81"/>
      <c r="F560" s="82"/>
      <c r="G560" s="81">
        <v>43132</v>
      </c>
      <c r="H560" s="82">
        <v>325.51</v>
      </c>
      <c r="I560" s="173">
        <f t="shared" si="17"/>
        <v>-1.3805374892624789E-3</v>
      </c>
    </row>
    <row r="561" spans="1:9" ht="17.5">
      <c r="A561" s="248">
        <v>43160</v>
      </c>
      <c r="B561" s="249">
        <v>84.06</v>
      </c>
      <c r="C561" s="47">
        <f t="shared" si="18"/>
        <v>-2.1367521367520181E-3</v>
      </c>
      <c r="E561" s="81"/>
      <c r="F561" s="82"/>
      <c r="G561" s="81">
        <v>43133</v>
      </c>
      <c r="H561" s="82">
        <v>324.19</v>
      </c>
      <c r="I561" s="173">
        <f t="shared" si="17"/>
        <v>-4.0551749562225403E-3</v>
      </c>
    </row>
    <row r="562" spans="1:9" ht="17.5">
      <c r="A562" s="248">
        <v>43161</v>
      </c>
      <c r="B562" s="249">
        <v>83.69</v>
      </c>
      <c r="C562" s="47">
        <f t="shared" si="18"/>
        <v>-4.4016178919820126E-3</v>
      </c>
      <c r="E562" s="81"/>
      <c r="F562" s="82"/>
      <c r="G562" s="81">
        <v>43134</v>
      </c>
      <c r="H562" s="82">
        <v>325.60000000000002</v>
      </c>
      <c r="I562" s="173">
        <f t="shared" si="17"/>
        <v>4.3493013356366017E-3</v>
      </c>
    </row>
    <row r="563" spans="1:9" ht="17.5">
      <c r="A563" s="248">
        <v>43162</v>
      </c>
      <c r="B563" s="249">
        <v>81.89</v>
      </c>
      <c r="C563" s="47">
        <f t="shared" si="18"/>
        <v>-2.1507945991157795E-2</v>
      </c>
      <c r="E563" s="81"/>
      <c r="F563" s="82"/>
      <c r="G563" s="81">
        <v>43137</v>
      </c>
      <c r="H563" s="82">
        <v>325.87</v>
      </c>
      <c r="I563" s="173">
        <f t="shared" si="17"/>
        <v>8.292383292383132E-4</v>
      </c>
    </row>
    <row r="564" spans="1:9" ht="17.5">
      <c r="A564" s="248">
        <v>43165</v>
      </c>
      <c r="B564" s="249">
        <v>81.25</v>
      </c>
      <c r="C564" s="47">
        <f t="shared" si="18"/>
        <v>-7.8153620710709193E-3</v>
      </c>
      <c r="E564" s="81"/>
      <c r="F564" s="82"/>
      <c r="G564" s="81">
        <v>43138</v>
      </c>
      <c r="H564" s="82">
        <v>327.07</v>
      </c>
      <c r="I564" s="173">
        <f t="shared" si="17"/>
        <v>3.6824500567711471E-3</v>
      </c>
    </row>
    <row r="565" spans="1:9" ht="17.5">
      <c r="A565" s="248">
        <v>43166</v>
      </c>
      <c r="B565" s="249">
        <v>81.96</v>
      </c>
      <c r="C565" s="47">
        <f t="shared" si="18"/>
        <v>8.7384615384613618E-3</v>
      </c>
      <c r="E565" s="81"/>
      <c r="F565" s="82"/>
      <c r="G565" s="81">
        <v>43139</v>
      </c>
      <c r="H565" s="82">
        <v>331.92</v>
      </c>
      <c r="I565" s="173">
        <f t="shared" si="17"/>
        <v>1.4828629956890049E-2</v>
      </c>
    </row>
    <row r="566" spans="1:9" ht="17.5">
      <c r="A566" s="248">
        <v>43167</v>
      </c>
      <c r="B566" s="249">
        <v>82.76</v>
      </c>
      <c r="C566" s="47">
        <f t="shared" si="18"/>
        <v>9.760858955588203E-3</v>
      </c>
      <c r="E566" s="81"/>
      <c r="F566" s="82"/>
      <c r="G566" s="81">
        <v>43140</v>
      </c>
      <c r="H566" s="82">
        <v>333.71</v>
      </c>
      <c r="I566" s="173">
        <f t="shared" si="17"/>
        <v>5.3928657507831268E-3</v>
      </c>
    </row>
    <row r="567" spans="1:9" ht="17.5">
      <c r="A567" s="248">
        <v>43168</v>
      </c>
      <c r="B567" s="249">
        <v>82.88</v>
      </c>
      <c r="C567" s="47">
        <f t="shared" si="18"/>
        <v>1.4499758337360724E-3</v>
      </c>
      <c r="E567" s="81"/>
      <c r="F567" s="82"/>
      <c r="G567" s="81">
        <v>43141</v>
      </c>
      <c r="H567" s="82">
        <v>330.42</v>
      </c>
      <c r="I567" s="173">
        <f t="shared" si="17"/>
        <v>-9.8588594887776271E-3</v>
      </c>
    </row>
    <row r="568" spans="1:9" ht="17.5">
      <c r="A568" s="248">
        <v>43169</v>
      </c>
      <c r="B568" s="249">
        <v>82.24</v>
      </c>
      <c r="C568" s="47">
        <f t="shared" si="18"/>
        <v>-7.7220077220077066E-3</v>
      </c>
      <c r="E568" s="81"/>
      <c r="F568" s="82"/>
      <c r="G568" s="81">
        <v>43144</v>
      </c>
      <c r="H568" s="82">
        <v>325.08</v>
      </c>
      <c r="I568" s="173">
        <f t="shared" si="17"/>
        <v>-1.616124931904861E-2</v>
      </c>
    </row>
    <row r="569" spans="1:9" ht="17.5">
      <c r="A569" s="248">
        <v>43172</v>
      </c>
      <c r="B569" s="249">
        <v>82.07</v>
      </c>
      <c r="C569" s="47">
        <f t="shared" si="18"/>
        <v>-2.067120622568086E-3</v>
      </c>
      <c r="E569" s="81"/>
      <c r="F569" s="82"/>
      <c r="G569" s="81">
        <v>43145</v>
      </c>
      <c r="H569" s="82">
        <v>329.02</v>
      </c>
      <c r="I569" s="173">
        <f t="shared" si="17"/>
        <v>1.2120093515442409E-2</v>
      </c>
    </row>
    <row r="570" spans="1:9" ht="17.5">
      <c r="A570" s="248">
        <v>43173</v>
      </c>
      <c r="B570" s="249">
        <v>82.56</v>
      </c>
      <c r="C570" s="47">
        <f t="shared" si="18"/>
        <v>5.970512976727349E-3</v>
      </c>
      <c r="E570" s="81"/>
      <c r="F570" s="82"/>
      <c r="G570" s="81">
        <v>43146</v>
      </c>
      <c r="H570" s="82">
        <v>332.03</v>
      </c>
      <c r="I570" s="173">
        <f t="shared" si="17"/>
        <v>9.1483800376876978E-3</v>
      </c>
    </row>
    <row r="571" spans="1:9" ht="17.5">
      <c r="A571" s="248">
        <v>43174</v>
      </c>
      <c r="B571" s="249">
        <v>84.25</v>
      </c>
      <c r="C571" s="47">
        <f t="shared" si="18"/>
        <v>2.0469961240310086E-2</v>
      </c>
      <c r="E571" s="81"/>
      <c r="F571" s="82"/>
      <c r="G571" s="81">
        <v>43147</v>
      </c>
      <c r="H571" s="82">
        <v>331.18</v>
      </c>
      <c r="I571" s="173">
        <f t="shared" si="17"/>
        <v>-2.5600096376832138E-3</v>
      </c>
    </row>
    <row r="572" spans="1:9" ht="17.5">
      <c r="A572" s="248">
        <v>43175</v>
      </c>
      <c r="B572" s="249">
        <v>84.78</v>
      </c>
      <c r="C572" s="47">
        <f t="shared" si="18"/>
        <v>6.2908011869435843E-3</v>
      </c>
      <c r="E572" s="81"/>
      <c r="F572" s="82"/>
      <c r="G572" s="81">
        <v>43148</v>
      </c>
      <c r="H572" s="82">
        <v>328.52</v>
      </c>
      <c r="I572" s="173">
        <f t="shared" si="17"/>
        <v>-8.0318859834531686E-3</v>
      </c>
    </row>
    <row r="573" spans="1:9" ht="17.5">
      <c r="A573" s="248">
        <v>43176</v>
      </c>
      <c r="B573" s="249">
        <v>84.44</v>
      </c>
      <c r="C573" s="47">
        <f t="shared" si="18"/>
        <v>-4.010379806558162E-3</v>
      </c>
      <c r="E573" s="81"/>
      <c r="F573" s="82"/>
      <c r="G573" s="81">
        <v>43151</v>
      </c>
      <c r="H573" s="82">
        <v>325.37</v>
      </c>
      <c r="I573" s="173">
        <f t="shared" si="17"/>
        <v>-9.5884573237549064E-3</v>
      </c>
    </row>
    <row r="574" spans="1:9" ht="17.5">
      <c r="A574" s="248">
        <v>43179</v>
      </c>
      <c r="B574" s="249">
        <v>82.96</v>
      </c>
      <c r="C574" s="47">
        <f t="shared" si="18"/>
        <v>-1.7527238275698798E-2</v>
      </c>
      <c r="E574" s="81"/>
      <c r="F574" s="82"/>
      <c r="G574" s="81">
        <v>43152</v>
      </c>
      <c r="H574" s="82">
        <v>321.67</v>
      </c>
      <c r="I574" s="173">
        <f t="shared" si="17"/>
        <v>-1.1371669176629684E-2</v>
      </c>
    </row>
    <row r="575" spans="1:9" ht="17.5">
      <c r="A575" s="248">
        <v>43180</v>
      </c>
      <c r="B575" s="249">
        <v>82.81</v>
      </c>
      <c r="C575" s="47">
        <f t="shared" si="18"/>
        <v>-1.8081002892958997E-3</v>
      </c>
      <c r="E575" s="81"/>
      <c r="F575" s="82"/>
      <c r="G575" s="81">
        <v>43153</v>
      </c>
      <c r="H575" s="82">
        <v>321.89999999999998</v>
      </c>
      <c r="I575" s="173">
        <f t="shared" si="17"/>
        <v>7.1501849721755661E-4</v>
      </c>
    </row>
    <row r="576" spans="1:9" ht="17.5">
      <c r="A576" s="248">
        <v>43181</v>
      </c>
      <c r="B576" s="249">
        <v>82.88</v>
      </c>
      <c r="C576" s="47">
        <f t="shared" si="18"/>
        <v>8.4530853761610736E-4</v>
      </c>
      <c r="E576" s="81"/>
      <c r="F576" s="82"/>
      <c r="G576" s="81">
        <v>43154</v>
      </c>
      <c r="H576" s="82">
        <v>308.29000000000002</v>
      </c>
      <c r="I576" s="173">
        <f t="shared" si="17"/>
        <v>-4.2280211245728339E-2</v>
      </c>
    </row>
    <row r="577" spans="1:9" ht="17.5">
      <c r="A577" s="248">
        <v>43182</v>
      </c>
      <c r="B577" s="249">
        <v>83.21</v>
      </c>
      <c r="C577" s="47">
        <f t="shared" si="18"/>
        <v>3.9816602316602445E-3</v>
      </c>
      <c r="E577" s="81"/>
      <c r="F577" s="82"/>
      <c r="G577" s="81">
        <v>43155</v>
      </c>
      <c r="H577" s="82">
        <v>313.45</v>
      </c>
      <c r="I577" s="173">
        <f t="shared" si="17"/>
        <v>1.6737487430665832E-2</v>
      </c>
    </row>
    <row r="578" spans="1:9" ht="17.5">
      <c r="A578" s="248">
        <v>43183</v>
      </c>
      <c r="B578" s="249">
        <v>83.02</v>
      </c>
      <c r="C578" s="47">
        <f t="shared" si="18"/>
        <v>-2.2833794015142406E-3</v>
      </c>
      <c r="E578" s="81"/>
      <c r="F578" s="82"/>
      <c r="G578" s="81">
        <v>43158</v>
      </c>
      <c r="H578" s="82">
        <v>312.85000000000002</v>
      </c>
      <c r="I578" s="173">
        <f t="shared" si="17"/>
        <v>-1.9141808900939861E-3</v>
      </c>
    </row>
    <row r="579" spans="1:9" ht="17.5">
      <c r="A579" s="248">
        <v>43186</v>
      </c>
      <c r="B579" s="249">
        <v>83.82</v>
      </c>
      <c r="C579" s="47">
        <f t="shared" si="18"/>
        <v>9.6362322331968731E-3</v>
      </c>
      <c r="E579" s="81"/>
      <c r="F579" s="82"/>
      <c r="G579" s="81">
        <v>43159</v>
      </c>
      <c r="H579" s="82">
        <v>314.64999999999998</v>
      </c>
      <c r="I579" s="173">
        <f t="shared" si="17"/>
        <v>5.7535560172605749E-3</v>
      </c>
    </row>
    <row r="580" spans="1:9" ht="17.5">
      <c r="A580" s="248">
        <v>43187</v>
      </c>
      <c r="B580" s="249">
        <v>84.65</v>
      </c>
      <c r="C580" s="47">
        <f t="shared" si="18"/>
        <v>9.902171319494224E-3</v>
      </c>
      <c r="E580" s="81"/>
      <c r="F580" s="82"/>
      <c r="G580" s="81">
        <v>43160</v>
      </c>
      <c r="H580" s="82">
        <v>312.51</v>
      </c>
      <c r="I580" s="173">
        <f t="shared" si="17"/>
        <v>-6.8012076910852759E-3</v>
      </c>
    </row>
    <row r="581" spans="1:9" ht="17.5">
      <c r="A581" s="248">
        <v>43188</v>
      </c>
      <c r="B581" s="249">
        <v>84.71</v>
      </c>
      <c r="C581" s="47">
        <f t="shared" si="18"/>
        <v>7.0880094506775571E-4</v>
      </c>
      <c r="E581" s="81"/>
      <c r="F581" s="82"/>
      <c r="G581" s="81">
        <v>43161</v>
      </c>
      <c r="H581" s="82">
        <v>312.60000000000002</v>
      </c>
      <c r="I581" s="173">
        <f t="shared" si="17"/>
        <v>2.8799078429497804E-4</v>
      </c>
    </row>
    <row r="582" spans="1:9" ht="17.5">
      <c r="A582" s="248">
        <v>43189</v>
      </c>
      <c r="B582" s="249">
        <v>84.62</v>
      </c>
      <c r="C582" s="47">
        <f t="shared" si="18"/>
        <v>-1.0624483532049034E-3</v>
      </c>
      <c r="E582" s="81"/>
      <c r="F582" s="82"/>
      <c r="G582" s="81">
        <v>43162</v>
      </c>
      <c r="H582" s="82">
        <v>305.89</v>
      </c>
      <c r="I582" s="173">
        <f t="shared" si="17"/>
        <v>-2.1465131158029505E-2</v>
      </c>
    </row>
    <row r="583" spans="1:9" ht="17.5">
      <c r="A583" s="248">
        <v>43190</v>
      </c>
      <c r="B583" s="249">
        <v>84.93</v>
      </c>
      <c r="C583" s="47">
        <f t="shared" si="18"/>
        <v>3.6634365398251489E-3</v>
      </c>
      <c r="E583" s="81"/>
      <c r="F583" s="82"/>
      <c r="G583" s="81">
        <v>43165</v>
      </c>
      <c r="H583" s="82">
        <v>296.24</v>
      </c>
      <c r="I583" s="173">
        <f t="shared" si="17"/>
        <v>-3.154728824087083E-2</v>
      </c>
    </row>
    <row r="584" spans="1:9" ht="17.5">
      <c r="A584" s="248">
        <v>43193</v>
      </c>
      <c r="B584" s="249">
        <v>85.26</v>
      </c>
      <c r="C584" s="47">
        <f t="shared" si="18"/>
        <v>3.8855528081949142E-3</v>
      </c>
      <c r="E584" s="81"/>
      <c r="F584" s="82"/>
      <c r="G584" s="81">
        <v>43166</v>
      </c>
      <c r="H584" s="82">
        <v>288.91000000000003</v>
      </c>
      <c r="I584" s="173">
        <f t="shared" si="17"/>
        <v>-2.4743451255738513E-2</v>
      </c>
    </row>
    <row r="585" spans="1:9" ht="17.5">
      <c r="A585" s="248">
        <v>43194</v>
      </c>
      <c r="B585" s="249">
        <v>83.88</v>
      </c>
      <c r="C585" s="47">
        <f t="shared" si="18"/>
        <v>-1.6185784658691138E-2</v>
      </c>
      <c r="E585" s="81"/>
      <c r="F585" s="82"/>
      <c r="G585" s="81">
        <v>43167</v>
      </c>
      <c r="H585" s="82">
        <v>292.60000000000002</v>
      </c>
      <c r="I585" s="173">
        <f t="shared" si="17"/>
        <v>1.2772143574123485E-2</v>
      </c>
    </row>
    <row r="586" spans="1:9" ht="17.5">
      <c r="A586" s="248">
        <v>43195</v>
      </c>
      <c r="B586" s="249">
        <v>83.63</v>
      </c>
      <c r="C586" s="47">
        <f t="shared" si="18"/>
        <v>-2.9804482594182335E-3</v>
      </c>
      <c r="E586" s="81"/>
      <c r="F586" s="82"/>
      <c r="G586" s="81">
        <v>43168</v>
      </c>
      <c r="H586" s="82">
        <v>294.02999999999997</v>
      </c>
      <c r="I586" s="173">
        <f t="shared" si="17"/>
        <v>4.8872180451127178E-3</v>
      </c>
    </row>
    <row r="587" spans="1:9" ht="17.5">
      <c r="A587" s="248">
        <v>43196</v>
      </c>
      <c r="B587" s="249">
        <v>83.39</v>
      </c>
      <c r="C587" s="47">
        <f t="shared" si="18"/>
        <v>-2.8697835704889485E-3</v>
      </c>
      <c r="E587" s="81"/>
      <c r="F587" s="82"/>
      <c r="G587" s="81">
        <v>43169</v>
      </c>
      <c r="H587" s="82">
        <v>290.22000000000003</v>
      </c>
      <c r="I587" s="173">
        <f t="shared" si="17"/>
        <v>-1.2957861442709717E-2</v>
      </c>
    </row>
    <row r="588" spans="1:9" ht="17.5">
      <c r="A588" s="248">
        <v>43197</v>
      </c>
      <c r="B588" s="249">
        <v>82.67</v>
      </c>
      <c r="C588" s="47">
        <f t="shared" si="18"/>
        <v>-8.6341287924210919E-3</v>
      </c>
      <c r="E588" s="81"/>
      <c r="F588" s="82"/>
      <c r="G588" s="81">
        <v>43172</v>
      </c>
      <c r="H588" s="82">
        <v>282.39</v>
      </c>
      <c r="I588" s="173">
        <f t="shared" si="17"/>
        <v>-2.697953276824494E-2</v>
      </c>
    </row>
    <row r="589" spans="1:9" ht="17.5">
      <c r="A589" s="248">
        <v>43200</v>
      </c>
      <c r="B589" s="249">
        <v>81.69</v>
      </c>
      <c r="C589" s="47">
        <f t="shared" si="18"/>
        <v>-1.1854360711261669E-2</v>
      </c>
      <c r="E589" s="81"/>
      <c r="F589" s="82"/>
      <c r="G589" s="81">
        <v>43173</v>
      </c>
      <c r="H589" s="82">
        <v>275.45</v>
      </c>
      <c r="I589" s="173">
        <f t="shared" si="17"/>
        <v>-2.4575941074400642E-2</v>
      </c>
    </row>
    <row r="590" spans="1:9" ht="17.5">
      <c r="A590" s="248">
        <v>43201</v>
      </c>
      <c r="B590" s="249">
        <v>81.99</v>
      </c>
      <c r="C590" s="47">
        <f t="shared" si="18"/>
        <v>3.6724201248623523E-3</v>
      </c>
      <c r="E590" s="81"/>
      <c r="F590" s="82"/>
      <c r="G590" s="81">
        <v>43174</v>
      </c>
      <c r="H590" s="82">
        <v>290.45</v>
      </c>
      <c r="I590" s="173">
        <f t="shared" si="17"/>
        <v>5.4456344164095061E-2</v>
      </c>
    </row>
    <row r="591" spans="1:9" ht="17.5">
      <c r="A591" s="248">
        <v>43202</v>
      </c>
      <c r="B591" s="249">
        <v>82.2</v>
      </c>
      <c r="C591" s="47">
        <f t="shared" si="18"/>
        <v>2.5612879619467677E-3</v>
      </c>
      <c r="E591" s="81"/>
      <c r="F591" s="82"/>
      <c r="G591" s="81">
        <v>43175</v>
      </c>
      <c r="H591" s="82">
        <v>298.56</v>
      </c>
      <c r="I591" s="173">
        <f t="shared" si="17"/>
        <v>2.7922189705629208E-2</v>
      </c>
    </row>
    <row r="592" spans="1:9" ht="17.5">
      <c r="A592" s="248">
        <v>43203</v>
      </c>
      <c r="B592" s="249">
        <v>81.430000000000007</v>
      </c>
      <c r="C592" s="47">
        <f t="shared" si="18"/>
        <v>-9.3673965936739156E-3</v>
      </c>
      <c r="E592" s="81"/>
      <c r="F592" s="82"/>
      <c r="G592" s="81">
        <v>43176</v>
      </c>
      <c r="H592" s="82">
        <v>300.37</v>
      </c>
      <c r="I592" s="173">
        <f t="shared" ref="I592:I655" si="19">H592/H591-1</f>
        <v>6.0624330117899916E-3</v>
      </c>
    </row>
    <row r="593" spans="1:9" ht="17.5">
      <c r="A593" s="248">
        <v>43207</v>
      </c>
      <c r="B593" s="249">
        <v>81.39</v>
      </c>
      <c r="C593" s="47">
        <f t="shared" ref="C593:C656" si="20">B593/B592-1</f>
        <v>-4.9121945229035902E-4</v>
      </c>
      <c r="E593" s="81"/>
      <c r="F593" s="82"/>
      <c r="G593" s="81">
        <v>43179</v>
      </c>
      <c r="H593" s="82">
        <v>298.5</v>
      </c>
      <c r="I593" s="173">
        <f t="shared" si="19"/>
        <v>-6.2256550254685683E-3</v>
      </c>
    </row>
    <row r="594" spans="1:9" ht="17.5">
      <c r="A594" s="248">
        <v>43208</v>
      </c>
      <c r="B594" s="249">
        <v>81.069999999999993</v>
      </c>
      <c r="C594" s="47">
        <f t="shared" si="20"/>
        <v>-3.9316869394275811E-3</v>
      </c>
      <c r="E594" s="81"/>
      <c r="F594" s="82"/>
      <c r="G594" s="81">
        <v>43180</v>
      </c>
      <c r="H594" s="82">
        <v>302.64</v>
      </c>
      <c r="I594" s="173">
        <f t="shared" si="19"/>
        <v>1.3869346733668353E-2</v>
      </c>
    </row>
    <row r="595" spans="1:9" ht="17.5">
      <c r="A595" s="248">
        <v>43209</v>
      </c>
      <c r="B595" s="249">
        <v>81.62</v>
      </c>
      <c r="C595" s="47">
        <f t="shared" si="20"/>
        <v>6.7842605156038793E-3</v>
      </c>
      <c r="E595" s="81"/>
      <c r="F595" s="82"/>
      <c r="G595" s="81">
        <v>43181</v>
      </c>
      <c r="H595" s="82">
        <v>304.24</v>
      </c>
      <c r="I595" s="173">
        <f t="shared" si="19"/>
        <v>5.2868094105207319E-3</v>
      </c>
    </row>
    <row r="596" spans="1:9" ht="17.5">
      <c r="A596" s="248">
        <v>43210</v>
      </c>
      <c r="B596" s="249">
        <v>80.89</v>
      </c>
      <c r="C596" s="47">
        <f t="shared" si="20"/>
        <v>-8.9438863023769688E-3</v>
      </c>
      <c r="E596" s="81"/>
      <c r="F596" s="82"/>
      <c r="G596" s="81">
        <v>43182</v>
      </c>
      <c r="H596" s="82">
        <v>303.88</v>
      </c>
      <c r="I596" s="173">
        <f t="shared" si="19"/>
        <v>-1.1832763607678709E-3</v>
      </c>
    </row>
    <row r="597" spans="1:9" ht="17.5">
      <c r="A597" s="248">
        <v>43211</v>
      </c>
      <c r="B597" s="249">
        <v>80.03</v>
      </c>
      <c r="C597" s="47">
        <f t="shared" si="20"/>
        <v>-1.0631722091729467E-2</v>
      </c>
      <c r="E597" s="81"/>
      <c r="F597" s="82"/>
      <c r="G597" s="81">
        <v>43183</v>
      </c>
      <c r="H597" s="82">
        <v>301.17</v>
      </c>
      <c r="I597" s="173">
        <f t="shared" si="19"/>
        <v>-8.9179939449781642E-3</v>
      </c>
    </row>
    <row r="598" spans="1:9" ht="17.5">
      <c r="A598" s="248">
        <v>43214</v>
      </c>
      <c r="B598" s="249">
        <v>80.959999999999994</v>
      </c>
      <c r="C598" s="47">
        <f t="shared" si="20"/>
        <v>1.1620642259152714E-2</v>
      </c>
      <c r="E598" s="81"/>
      <c r="F598" s="82"/>
      <c r="G598" s="81">
        <v>43186</v>
      </c>
      <c r="H598" s="82">
        <v>301.20999999999998</v>
      </c>
      <c r="I598" s="173">
        <f t="shared" si="19"/>
        <v>1.328153534547738E-4</v>
      </c>
    </row>
    <row r="599" spans="1:9" ht="17.5">
      <c r="A599" s="248">
        <v>43215</v>
      </c>
      <c r="B599" s="249">
        <v>80.41</v>
      </c>
      <c r="C599" s="47">
        <f t="shared" si="20"/>
        <v>-6.7934782608695121E-3</v>
      </c>
      <c r="E599" s="81"/>
      <c r="F599" s="82"/>
      <c r="G599" s="81">
        <v>43187</v>
      </c>
      <c r="H599" s="82">
        <v>304.05</v>
      </c>
      <c r="I599" s="173">
        <f t="shared" si="19"/>
        <v>9.4286378274295313E-3</v>
      </c>
    </row>
    <row r="600" spans="1:9" ht="17.5">
      <c r="A600" s="248">
        <v>43216</v>
      </c>
      <c r="B600" s="249">
        <v>80.19</v>
      </c>
      <c r="C600" s="47">
        <f t="shared" si="20"/>
        <v>-2.7359781121750748E-3</v>
      </c>
      <c r="E600" s="81"/>
      <c r="F600" s="82"/>
      <c r="G600" s="81">
        <v>43188</v>
      </c>
      <c r="H600" s="82">
        <v>307.36</v>
      </c>
      <c r="I600" s="173">
        <f t="shared" si="19"/>
        <v>1.088636737378712E-2</v>
      </c>
    </row>
    <row r="601" spans="1:9" ht="17.5">
      <c r="A601" s="248">
        <v>43217</v>
      </c>
      <c r="B601" s="249">
        <v>80.34</v>
      </c>
      <c r="C601" s="47">
        <f t="shared" si="20"/>
        <v>1.8705574261130842E-3</v>
      </c>
      <c r="E601" s="81"/>
      <c r="F601" s="82"/>
      <c r="G601" s="81">
        <v>43189</v>
      </c>
      <c r="H601" s="82">
        <v>304.87</v>
      </c>
      <c r="I601" s="173">
        <f t="shared" si="19"/>
        <v>-8.1012493492972348E-3</v>
      </c>
    </row>
    <row r="602" spans="1:9" ht="17.5">
      <c r="A602" s="248">
        <v>43218</v>
      </c>
      <c r="B602" s="249">
        <v>78.97</v>
      </c>
      <c r="C602" s="47">
        <f t="shared" si="20"/>
        <v>-1.7052526761264675E-2</v>
      </c>
      <c r="E602" s="81"/>
      <c r="F602" s="82"/>
      <c r="G602" s="81">
        <v>43190</v>
      </c>
      <c r="H602" s="82">
        <v>307.12</v>
      </c>
      <c r="I602" s="173">
        <f t="shared" si="19"/>
        <v>7.3801948371436943E-3</v>
      </c>
    </row>
    <row r="603" spans="1:9" ht="17.5">
      <c r="A603" s="248">
        <v>43221</v>
      </c>
      <c r="B603" s="249">
        <v>78.540000000000006</v>
      </c>
      <c r="C603" s="47">
        <f t="shared" si="20"/>
        <v>-5.4451057363554822E-3</v>
      </c>
      <c r="E603" s="81"/>
      <c r="F603" s="82"/>
      <c r="G603" s="81">
        <v>43193</v>
      </c>
      <c r="H603" s="82">
        <v>311.64999999999998</v>
      </c>
      <c r="I603" s="173">
        <f t="shared" si="19"/>
        <v>1.474993487887466E-2</v>
      </c>
    </row>
    <row r="604" spans="1:9" ht="17.5">
      <c r="A604" s="248">
        <v>43222</v>
      </c>
      <c r="B604" s="249">
        <v>78.87</v>
      </c>
      <c r="C604" s="47">
        <f t="shared" si="20"/>
        <v>4.2016806722688926E-3</v>
      </c>
      <c r="E604" s="81"/>
      <c r="F604" s="82"/>
      <c r="G604" s="81">
        <v>43194</v>
      </c>
      <c r="H604" s="82">
        <v>309.92</v>
      </c>
      <c r="I604" s="173">
        <f t="shared" si="19"/>
        <v>-5.5510989892506579E-3</v>
      </c>
    </row>
    <row r="605" spans="1:9" ht="17.5">
      <c r="A605" s="248">
        <v>43223</v>
      </c>
      <c r="B605" s="249">
        <v>80.23</v>
      </c>
      <c r="C605" s="47">
        <f t="shared" si="20"/>
        <v>1.7243565360720137E-2</v>
      </c>
      <c r="E605" s="81"/>
      <c r="F605" s="82"/>
      <c r="G605" s="81">
        <v>43195</v>
      </c>
      <c r="H605" s="82">
        <v>307.10000000000002</v>
      </c>
      <c r="I605" s="173">
        <f t="shared" si="19"/>
        <v>-9.0991223541558863E-3</v>
      </c>
    </row>
    <row r="606" spans="1:9" ht="17.5">
      <c r="A606" s="248">
        <v>43224</v>
      </c>
      <c r="B606" s="249">
        <v>79.02</v>
      </c>
      <c r="C606" s="47">
        <f t="shared" si="20"/>
        <v>-1.5081640284183018E-2</v>
      </c>
      <c r="E606" s="81"/>
      <c r="F606" s="82"/>
      <c r="G606" s="81">
        <v>43196</v>
      </c>
      <c r="H606" s="82">
        <v>302.58999999999997</v>
      </c>
      <c r="I606" s="173">
        <f t="shared" si="19"/>
        <v>-1.4685770107456975E-2</v>
      </c>
    </row>
    <row r="607" spans="1:9" ht="17.5">
      <c r="A607" s="248">
        <v>43225</v>
      </c>
      <c r="B607" s="249">
        <v>77.959999999999994</v>
      </c>
      <c r="C607" s="47">
        <f t="shared" si="20"/>
        <v>-1.3414325487218437E-2</v>
      </c>
      <c r="E607" s="81"/>
      <c r="F607" s="82"/>
      <c r="G607" s="81">
        <v>43197</v>
      </c>
      <c r="H607" s="82">
        <v>303.61</v>
      </c>
      <c r="I607" s="173">
        <f t="shared" si="19"/>
        <v>3.3708979146700457E-3</v>
      </c>
    </row>
    <row r="608" spans="1:9" ht="17.5">
      <c r="A608" s="248">
        <v>43228</v>
      </c>
      <c r="B608" s="249">
        <v>77.27</v>
      </c>
      <c r="C608" s="47">
        <f t="shared" si="20"/>
        <v>-8.8506926629040583E-3</v>
      </c>
      <c r="E608" s="81"/>
      <c r="F608" s="82"/>
      <c r="G608" s="81">
        <v>43200</v>
      </c>
      <c r="H608" s="82">
        <v>299.58</v>
      </c>
      <c r="I608" s="173">
        <f t="shared" si="19"/>
        <v>-1.3273607588682901E-2</v>
      </c>
    </row>
    <row r="609" spans="1:9" ht="17.5">
      <c r="A609" s="248">
        <v>43229</v>
      </c>
      <c r="B609" s="249">
        <v>77.650000000000006</v>
      </c>
      <c r="C609" s="47">
        <f t="shared" si="20"/>
        <v>4.9178206289635096E-3</v>
      </c>
      <c r="E609" s="81"/>
      <c r="F609" s="82"/>
      <c r="G609" s="81">
        <v>43201</v>
      </c>
      <c r="H609" s="82">
        <v>299.17</v>
      </c>
      <c r="I609" s="173">
        <f t="shared" si="19"/>
        <v>-1.3685826824219038E-3</v>
      </c>
    </row>
    <row r="610" spans="1:9" ht="17.5">
      <c r="A610" s="248">
        <v>43230</v>
      </c>
      <c r="B610" s="249">
        <v>77.989999999999995</v>
      </c>
      <c r="C610" s="47">
        <f t="shared" si="20"/>
        <v>4.3786220218928751E-3</v>
      </c>
      <c r="E610" s="81"/>
      <c r="F610" s="82"/>
      <c r="G610" s="81">
        <v>43202</v>
      </c>
      <c r="H610" s="82">
        <v>300.61</v>
      </c>
      <c r="I610" s="173">
        <f t="shared" si="19"/>
        <v>4.8133168432664686E-3</v>
      </c>
    </row>
    <row r="611" spans="1:9" ht="17.5">
      <c r="A611" s="248">
        <v>43231</v>
      </c>
      <c r="B611" s="249">
        <v>78.040000000000006</v>
      </c>
      <c r="C611" s="47">
        <f t="shared" si="20"/>
        <v>6.4110783433779517E-4</v>
      </c>
      <c r="E611" s="81"/>
      <c r="F611" s="82"/>
      <c r="G611" s="81">
        <v>43203</v>
      </c>
      <c r="H611" s="82">
        <v>299.93</v>
      </c>
      <c r="I611" s="173">
        <f t="shared" si="19"/>
        <v>-2.2620671301686324E-3</v>
      </c>
    </row>
    <row r="612" spans="1:9" ht="17.5">
      <c r="A612" s="248">
        <v>43232</v>
      </c>
      <c r="B612" s="249">
        <v>77.91</v>
      </c>
      <c r="C612" s="47">
        <f t="shared" si="20"/>
        <v>-1.6658124038955169E-3</v>
      </c>
      <c r="E612" s="81"/>
      <c r="F612" s="82"/>
      <c r="G612" s="81">
        <v>43204</v>
      </c>
      <c r="H612" s="82">
        <v>299.17</v>
      </c>
      <c r="I612" s="173">
        <f t="shared" si="19"/>
        <v>-2.5339245824025358E-3</v>
      </c>
    </row>
    <row r="613" spans="1:9" ht="17.5">
      <c r="A613" s="248">
        <v>43235</v>
      </c>
      <c r="B613" s="249">
        <v>77.489999999999995</v>
      </c>
      <c r="C613" s="47">
        <f t="shared" si="20"/>
        <v>-5.3908355795148077E-3</v>
      </c>
      <c r="E613" s="81"/>
      <c r="F613" s="82"/>
      <c r="G613" s="81">
        <v>43207</v>
      </c>
      <c r="H613" s="82">
        <v>297.58999999999997</v>
      </c>
      <c r="I613" s="173">
        <f t="shared" si="19"/>
        <v>-5.2812782030284833E-3</v>
      </c>
    </row>
    <row r="614" spans="1:9" ht="17.5">
      <c r="A614" s="248">
        <v>43236</v>
      </c>
      <c r="B614" s="249">
        <v>77.77</v>
      </c>
      <c r="C614" s="47">
        <f t="shared" si="20"/>
        <v>3.6133694670279493E-3</v>
      </c>
      <c r="E614" s="81"/>
      <c r="F614" s="82"/>
      <c r="G614" s="81">
        <v>43208</v>
      </c>
      <c r="H614" s="82">
        <v>294.92</v>
      </c>
      <c r="I614" s="173">
        <f t="shared" si="19"/>
        <v>-8.9720756745856889E-3</v>
      </c>
    </row>
    <row r="615" spans="1:9" ht="17.5">
      <c r="A615" s="248">
        <v>43237</v>
      </c>
      <c r="B615" s="249">
        <v>77.28</v>
      </c>
      <c r="C615" s="47">
        <f t="shared" si="20"/>
        <v>-6.3006300630061851E-3</v>
      </c>
      <c r="E615" s="81"/>
      <c r="F615" s="82"/>
      <c r="G615" s="81">
        <v>43209</v>
      </c>
      <c r="H615" s="82">
        <v>294.33999999999997</v>
      </c>
      <c r="I615" s="173">
        <f t="shared" si="19"/>
        <v>-1.9666350196665405E-3</v>
      </c>
    </row>
    <row r="616" spans="1:9" ht="17.5">
      <c r="A616" s="248">
        <v>43238</v>
      </c>
      <c r="B616" s="249">
        <v>77.69</v>
      </c>
      <c r="C616" s="47">
        <f t="shared" si="20"/>
        <v>5.3053830227742793E-3</v>
      </c>
      <c r="E616" s="81"/>
      <c r="F616" s="82"/>
      <c r="G616" s="81">
        <v>43210</v>
      </c>
      <c r="H616" s="82">
        <v>291.91000000000003</v>
      </c>
      <c r="I616" s="173">
        <f t="shared" si="19"/>
        <v>-8.2557586464631072E-3</v>
      </c>
    </row>
    <row r="617" spans="1:9" ht="17.5">
      <c r="A617" s="248">
        <v>43239</v>
      </c>
      <c r="B617" s="249">
        <v>78.2</v>
      </c>
      <c r="C617" s="47">
        <f t="shared" si="20"/>
        <v>6.5645514223195978E-3</v>
      </c>
      <c r="E617" s="81"/>
      <c r="F617" s="82"/>
      <c r="G617" s="81">
        <v>43211</v>
      </c>
      <c r="H617" s="82">
        <v>288.94</v>
      </c>
      <c r="I617" s="173">
        <f t="shared" si="19"/>
        <v>-1.0174368812305268E-2</v>
      </c>
    </row>
    <row r="618" spans="1:9" ht="17.5">
      <c r="A618" s="248">
        <v>43242</v>
      </c>
      <c r="B618" s="249">
        <v>78.25</v>
      </c>
      <c r="C618" s="47">
        <f t="shared" si="20"/>
        <v>6.3938618925818425E-4</v>
      </c>
      <c r="E618" s="81"/>
      <c r="F618" s="82"/>
      <c r="G618" s="81">
        <v>43214</v>
      </c>
      <c r="H618" s="82">
        <v>281.29000000000002</v>
      </c>
      <c r="I618" s="173">
        <f t="shared" si="19"/>
        <v>-2.6476085000346039E-2</v>
      </c>
    </row>
    <row r="619" spans="1:9" ht="17.5">
      <c r="A619" s="248">
        <v>43243</v>
      </c>
      <c r="B619" s="249">
        <v>78.930000000000007</v>
      </c>
      <c r="C619" s="47">
        <f t="shared" si="20"/>
        <v>8.6900958466453737E-3</v>
      </c>
      <c r="E619" s="81"/>
      <c r="F619" s="82"/>
      <c r="G619" s="81">
        <v>43215</v>
      </c>
      <c r="H619" s="82">
        <v>281.32</v>
      </c>
      <c r="I619" s="173">
        <f t="shared" si="19"/>
        <v>1.0665149845334732E-4</v>
      </c>
    </row>
    <row r="620" spans="1:9" ht="17.5">
      <c r="A620" s="248">
        <v>43244</v>
      </c>
      <c r="B620" s="249">
        <v>79.63</v>
      </c>
      <c r="C620" s="47">
        <f t="shared" si="20"/>
        <v>8.8686177625743046E-3</v>
      </c>
      <c r="E620" s="81"/>
      <c r="F620" s="82"/>
      <c r="G620" s="81">
        <v>43216</v>
      </c>
      <c r="H620" s="82">
        <v>281.36</v>
      </c>
      <c r="I620" s="173">
        <f t="shared" si="19"/>
        <v>1.4218683349920269E-4</v>
      </c>
    </row>
    <row r="621" spans="1:9" ht="17.5">
      <c r="A621" s="248">
        <v>43245</v>
      </c>
      <c r="B621" s="249">
        <v>79.89</v>
      </c>
      <c r="C621" s="47">
        <f t="shared" si="20"/>
        <v>3.2651010925530688E-3</v>
      </c>
      <c r="E621" s="81"/>
      <c r="F621" s="82"/>
      <c r="G621" s="81">
        <v>43217</v>
      </c>
      <c r="H621" s="82">
        <v>283.63</v>
      </c>
      <c r="I621" s="173">
        <f t="shared" si="19"/>
        <v>8.0679556440146349E-3</v>
      </c>
    </row>
    <row r="622" spans="1:9" ht="17.5">
      <c r="A622" s="248">
        <v>43246</v>
      </c>
      <c r="B622" s="249">
        <v>80.02</v>
      </c>
      <c r="C622" s="47">
        <f t="shared" si="20"/>
        <v>1.6272374514958443E-3</v>
      </c>
      <c r="E622" s="81"/>
      <c r="F622" s="82"/>
      <c r="G622" s="81">
        <v>43218</v>
      </c>
      <c r="H622" s="82">
        <v>287.7</v>
      </c>
      <c r="I622" s="173">
        <f t="shared" si="19"/>
        <v>1.4349680922328467E-2</v>
      </c>
    </row>
    <row r="623" spans="1:9" ht="17.5">
      <c r="A623" s="248">
        <v>43250</v>
      </c>
      <c r="B623" s="249">
        <v>79.61</v>
      </c>
      <c r="C623" s="47">
        <f t="shared" si="20"/>
        <v>-5.1237190702323465E-3</v>
      </c>
      <c r="E623" s="81"/>
      <c r="F623" s="82"/>
      <c r="G623" s="81">
        <v>43221</v>
      </c>
      <c r="H623" s="82">
        <v>287.11</v>
      </c>
      <c r="I623" s="173">
        <f t="shared" si="19"/>
        <v>-2.0507473062216786E-3</v>
      </c>
    </row>
    <row r="624" spans="1:9" ht="17.5">
      <c r="A624" s="248">
        <v>43251</v>
      </c>
      <c r="B624" s="249">
        <v>79.47</v>
      </c>
      <c r="C624" s="47">
        <f t="shared" si="20"/>
        <v>-1.758573043587508E-3</v>
      </c>
      <c r="E624" s="81"/>
      <c r="F624" s="82"/>
      <c r="G624" s="81">
        <v>43222</v>
      </c>
      <c r="H624" s="82">
        <v>286.72000000000003</v>
      </c>
      <c r="I624" s="173">
        <f t="shared" si="19"/>
        <v>-1.358364389955069E-3</v>
      </c>
    </row>
    <row r="625" spans="1:9" ht="17.5">
      <c r="A625" s="248">
        <v>43252</v>
      </c>
      <c r="B625" s="249">
        <v>80.239999999999995</v>
      </c>
      <c r="C625" s="47">
        <f t="shared" si="20"/>
        <v>9.6891908896439283E-3</v>
      </c>
      <c r="E625" s="81"/>
      <c r="F625" s="82"/>
      <c r="G625" s="81">
        <v>43223</v>
      </c>
      <c r="H625" s="82">
        <v>285.45</v>
      </c>
      <c r="I625" s="173">
        <f t="shared" si="19"/>
        <v>-4.4294084821430157E-3</v>
      </c>
    </row>
    <row r="626" spans="1:9" ht="17.5">
      <c r="A626" s="248">
        <v>43253</v>
      </c>
      <c r="B626" s="249">
        <v>79.7</v>
      </c>
      <c r="C626" s="47">
        <f t="shared" si="20"/>
        <v>-6.7298105682950249E-3</v>
      </c>
      <c r="E626" s="81"/>
      <c r="F626" s="82"/>
      <c r="G626" s="81">
        <v>43224</v>
      </c>
      <c r="H626" s="82">
        <v>283.43</v>
      </c>
      <c r="I626" s="173">
        <f t="shared" si="19"/>
        <v>-7.076545804869494E-3</v>
      </c>
    </row>
    <row r="627" spans="1:9" ht="17.5">
      <c r="A627" s="248">
        <v>43256</v>
      </c>
      <c r="B627" s="249">
        <v>78.650000000000006</v>
      </c>
      <c r="C627" s="47">
        <f t="shared" si="20"/>
        <v>-1.3174404015056429E-2</v>
      </c>
      <c r="E627" s="81"/>
      <c r="F627" s="82"/>
      <c r="G627" s="81">
        <v>43225</v>
      </c>
      <c r="H627" s="82">
        <v>276.92</v>
      </c>
      <c r="I627" s="173">
        <f t="shared" si="19"/>
        <v>-2.296863423067419E-2</v>
      </c>
    </row>
    <row r="628" spans="1:9" ht="17.5">
      <c r="A628" s="248">
        <v>43257</v>
      </c>
      <c r="B628" s="249">
        <v>79.11</v>
      </c>
      <c r="C628" s="47">
        <f t="shared" si="20"/>
        <v>5.8486967577875415E-3</v>
      </c>
      <c r="E628" s="81"/>
      <c r="F628" s="82"/>
      <c r="G628" s="81">
        <v>43228</v>
      </c>
      <c r="H628" s="82">
        <v>271.36</v>
      </c>
      <c r="I628" s="173">
        <f t="shared" si="19"/>
        <v>-2.0078000866676327E-2</v>
      </c>
    </row>
    <row r="629" spans="1:9" ht="17.5">
      <c r="A629" s="248">
        <v>43258</v>
      </c>
      <c r="B629" s="249">
        <v>78.33</v>
      </c>
      <c r="C629" s="47">
        <f t="shared" si="20"/>
        <v>-9.8596890405764359E-3</v>
      </c>
      <c r="E629" s="81"/>
      <c r="F629" s="82"/>
      <c r="G629" s="81">
        <v>43229</v>
      </c>
      <c r="H629" s="82">
        <v>269.69</v>
      </c>
      <c r="I629" s="173">
        <f t="shared" si="19"/>
        <v>-6.1541863207548175E-3</v>
      </c>
    </row>
    <row r="630" spans="1:9" ht="17.5">
      <c r="A630" s="248">
        <v>43259</v>
      </c>
      <c r="B630" s="249">
        <v>77.680000000000007</v>
      </c>
      <c r="C630" s="47">
        <f t="shared" si="20"/>
        <v>-8.2982254564022417E-3</v>
      </c>
      <c r="E630" s="81"/>
      <c r="F630" s="82"/>
      <c r="G630" s="81">
        <v>43230</v>
      </c>
      <c r="H630" s="82">
        <v>270.10000000000002</v>
      </c>
      <c r="I630" s="173">
        <f t="shared" si="19"/>
        <v>1.5202640068228135E-3</v>
      </c>
    </row>
    <row r="631" spans="1:9" ht="17.5">
      <c r="A631" s="248">
        <v>43260</v>
      </c>
      <c r="B631" s="249">
        <v>76.38</v>
      </c>
      <c r="C631" s="47">
        <f t="shared" si="20"/>
        <v>-1.6735324407827101E-2</v>
      </c>
      <c r="E631" s="81"/>
      <c r="F631" s="82"/>
      <c r="G631" s="81">
        <v>43231</v>
      </c>
      <c r="H631" s="82">
        <v>264.83999999999997</v>
      </c>
      <c r="I631" s="173">
        <f t="shared" si="19"/>
        <v>-1.9474268789337446E-2</v>
      </c>
    </row>
    <row r="632" spans="1:9" ht="17.5">
      <c r="A632" s="248">
        <v>43263</v>
      </c>
      <c r="B632" s="249">
        <v>74.36</v>
      </c>
      <c r="C632" s="47">
        <f t="shared" si="20"/>
        <v>-2.6446713799423871E-2</v>
      </c>
      <c r="E632" s="81"/>
      <c r="F632" s="82"/>
      <c r="G632" s="81">
        <v>43232</v>
      </c>
      <c r="H632" s="82">
        <v>269.27999999999997</v>
      </c>
      <c r="I632" s="173">
        <f t="shared" si="19"/>
        <v>1.6764839148164956E-2</v>
      </c>
    </row>
    <row r="633" spans="1:9" ht="17.5">
      <c r="A633" s="248">
        <v>43264</v>
      </c>
      <c r="B633" s="249">
        <v>74.319999999999993</v>
      </c>
      <c r="C633" s="47">
        <f t="shared" si="20"/>
        <v>-5.379236148467248E-4</v>
      </c>
      <c r="E633" s="81"/>
      <c r="F633" s="82"/>
      <c r="G633" s="81">
        <v>43235</v>
      </c>
      <c r="H633" s="82">
        <v>269.89999999999998</v>
      </c>
      <c r="I633" s="173">
        <f t="shared" si="19"/>
        <v>2.3024361259655901E-3</v>
      </c>
    </row>
    <row r="634" spans="1:9" ht="17.5">
      <c r="A634" s="248">
        <v>43265</v>
      </c>
      <c r="B634" s="249">
        <v>76.55</v>
      </c>
      <c r="C634" s="47">
        <f t="shared" si="20"/>
        <v>3.0005382131323977E-2</v>
      </c>
      <c r="E634" s="81"/>
      <c r="F634" s="82"/>
      <c r="G634" s="81">
        <v>43236</v>
      </c>
      <c r="H634" s="82">
        <v>275.8</v>
      </c>
      <c r="I634" s="173">
        <f t="shared" si="19"/>
        <v>2.1859948128936768E-2</v>
      </c>
    </row>
    <row r="635" spans="1:9" ht="17.5">
      <c r="A635" s="248">
        <v>43266</v>
      </c>
      <c r="B635" s="249">
        <v>74.849999999999994</v>
      </c>
      <c r="C635" s="47">
        <f t="shared" si="20"/>
        <v>-2.2207707380796915E-2</v>
      </c>
      <c r="E635" s="81"/>
      <c r="F635" s="82"/>
      <c r="G635" s="81">
        <v>43237</v>
      </c>
      <c r="H635" s="82">
        <v>275.45999999999998</v>
      </c>
      <c r="I635" s="173">
        <f t="shared" si="19"/>
        <v>-1.232777374909455E-3</v>
      </c>
    </row>
    <row r="636" spans="1:9" ht="17.5">
      <c r="A636" s="248">
        <v>43267</v>
      </c>
      <c r="B636" s="249">
        <v>75.25</v>
      </c>
      <c r="C636" s="47">
        <f t="shared" si="20"/>
        <v>5.3440213760855837E-3</v>
      </c>
      <c r="E636" s="81"/>
      <c r="F636" s="82"/>
      <c r="G636" s="81">
        <v>43238</v>
      </c>
      <c r="H636" s="82">
        <v>272.17</v>
      </c>
      <c r="I636" s="173">
        <f t="shared" si="19"/>
        <v>-1.194365788136198E-2</v>
      </c>
    </row>
    <row r="637" spans="1:9" ht="17.5">
      <c r="A637" s="248">
        <v>43271</v>
      </c>
      <c r="B637" s="249">
        <v>75.03</v>
      </c>
      <c r="C637" s="47">
        <f t="shared" si="20"/>
        <v>-2.9235880398671421E-3</v>
      </c>
      <c r="E637" s="81"/>
      <c r="F637" s="82"/>
      <c r="G637" s="81">
        <v>43239</v>
      </c>
      <c r="H637" s="82">
        <v>276.56</v>
      </c>
      <c r="I637" s="173">
        <f t="shared" si="19"/>
        <v>1.6129624866811243E-2</v>
      </c>
    </row>
    <row r="638" spans="1:9" ht="17.5">
      <c r="A638" s="248">
        <v>43272</v>
      </c>
      <c r="B638" s="249">
        <v>75.14</v>
      </c>
      <c r="C638" s="47">
        <f t="shared" si="20"/>
        <v>1.4660802345727308E-3</v>
      </c>
      <c r="E638" s="81"/>
      <c r="F638" s="82"/>
      <c r="G638" s="81">
        <v>43242</v>
      </c>
      <c r="H638" s="82">
        <v>276.66000000000003</v>
      </c>
      <c r="I638" s="173">
        <f t="shared" si="19"/>
        <v>3.615851894707145E-4</v>
      </c>
    </row>
    <row r="639" spans="1:9" ht="17.5">
      <c r="A639" s="248">
        <v>43273</v>
      </c>
      <c r="B639" s="249">
        <v>75.64</v>
      </c>
      <c r="C639" s="47">
        <f t="shared" si="20"/>
        <v>6.6542454085707359E-3</v>
      </c>
      <c r="E639" s="81"/>
      <c r="F639" s="82"/>
      <c r="G639" s="81">
        <v>43243</v>
      </c>
      <c r="H639" s="82">
        <v>272.01</v>
      </c>
      <c r="I639" s="173">
        <f t="shared" si="19"/>
        <v>-1.6807633918889731E-2</v>
      </c>
    </row>
    <row r="640" spans="1:9" ht="17.5">
      <c r="A640" s="248">
        <v>43274</v>
      </c>
      <c r="B640" s="249">
        <v>75.739999999999995</v>
      </c>
      <c r="C640" s="47">
        <f t="shared" si="20"/>
        <v>1.3220518244314583E-3</v>
      </c>
      <c r="E640" s="81"/>
      <c r="F640" s="82"/>
      <c r="G640" s="81">
        <v>43244</v>
      </c>
      <c r="H640" s="82">
        <v>272.47000000000003</v>
      </c>
      <c r="I640" s="173">
        <f t="shared" si="19"/>
        <v>1.6911142972686477E-3</v>
      </c>
    </row>
    <row r="641" spans="1:9" ht="17.5">
      <c r="A641" s="248">
        <v>43277</v>
      </c>
      <c r="B641" s="249">
        <v>74.709999999999994</v>
      </c>
      <c r="C641" s="47">
        <f t="shared" si="20"/>
        <v>-1.3599155003960917E-2</v>
      </c>
      <c r="E641" s="81"/>
      <c r="F641" s="82"/>
      <c r="G641" s="81">
        <v>43245</v>
      </c>
      <c r="H641" s="82">
        <v>274.97000000000003</v>
      </c>
      <c r="I641" s="173">
        <f t="shared" si="19"/>
        <v>9.1753220538040026E-3</v>
      </c>
    </row>
    <row r="642" spans="1:9" ht="17.5">
      <c r="A642" s="248">
        <v>43278</v>
      </c>
      <c r="B642" s="249">
        <v>74.14</v>
      </c>
      <c r="C642" s="47">
        <f t="shared" si="20"/>
        <v>-7.6295007361798506E-3</v>
      </c>
      <c r="E642" s="81"/>
      <c r="F642" s="82"/>
      <c r="G642" s="81">
        <v>43246</v>
      </c>
      <c r="H642" s="82">
        <v>278.89999999999998</v>
      </c>
      <c r="I642" s="173">
        <f t="shared" si="19"/>
        <v>1.4292468269265557E-2</v>
      </c>
    </row>
    <row r="643" spans="1:9" ht="17.5">
      <c r="A643" s="248">
        <v>43279</v>
      </c>
      <c r="B643" s="249">
        <v>74.41</v>
      </c>
      <c r="C643" s="47">
        <f t="shared" si="20"/>
        <v>3.6417588346371321E-3</v>
      </c>
      <c r="E643" s="81"/>
      <c r="F643" s="82"/>
      <c r="G643" s="81">
        <v>43249</v>
      </c>
      <c r="H643" s="82">
        <v>283.68</v>
      </c>
      <c r="I643" s="173">
        <f t="shared" si="19"/>
        <v>1.7138759411975624E-2</v>
      </c>
    </row>
    <row r="644" spans="1:9" ht="17.5">
      <c r="A644" s="248">
        <v>43280</v>
      </c>
      <c r="B644" s="249">
        <v>74.709999999999994</v>
      </c>
      <c r="C644" s="47">
        <f t="shared" si="20"/>
        <v>4.031716167181898E-3</v>
      </c>
      <c r="E644" s="81"/>
      <c r="F644" s="82"/>
      <c r="G644" s="81">
        <v>43250</v>
      </c>
      <c r="H644" s="82">
        <v>286.8</v>
      </c>
      <c r="I644" s="173">
        <f t="shared" si="19"/>
        <v>1.0998307952622799E-2</v>
      </c>
    </row>
    <row r="645" spans="1:9" ht="17.5">
      <c r="A645" s="248">
        <v>43281</v>
      </c>
      <c r="B645" s="249">
        <v>75.760000000000005</v>
      </c>
      <c r="C645" s="47">
        <f t="shared" si="20"/>
        <v>1.4054343461384233E-2</v>
      </c>
      <c r="E645" s="81"/>
      <c r="F645" s="82"/>
      <c r="G645" s="81">
        <v>43251</v>
      </c>
      <c r="H645" s="82">
        <v>284.32</v>
      </c>
      <c r="I645" s="173">
        <f t="shared" si="19"/>
        <v>-8.6471408647141867E-3</v>
      </c>
    </row>
    <row r="646" spans="1:9" ht="17.5">
      <c r="A646" s="248">
        <v>43285</v>
      </c>
      <c r="B646" s="249">
        <v>75.16</v>
      </c>
      <c r="C646" s="47">
        <f t="shared" si="20"/>
        <v>-7.9197465681098977E-3</v>
      </c>
      <c r="E646" s="81"/>
      <c r="F646" s="82"/>
      <c r="G646" s="81">
        <v>43252</v>
      </c>
      <c r="H646" s="82">
        <v>284.52</v>
      </c>
      <c r="I646" s="173">
        <f t="shared" si="19"/>
        <v>7.0343275182893628E-4</v>
      </c>
    </row>
    <row r="647" spans="1:9" ht="17.5">
      <c r="A647" s="248">
        <v>43286</v>
      </c>
      <c r="B647" s="249">
        <v>74.56</v>
      </c>
      <c r="C647" s="47">
        <f t="shared" si="20"/>
        <v>-7.9829696647152337E-3</v>
      </c>
      <c r="E647" s="81"/>
      <c r="F647" s="82"/>
      <c r="G647" s="81">
        <v>43253</v>
      </c>
      <c r="H647" s="82">
        <v>283.41000000000003</v>
      </c>
      <c r="I647" s="173">
        <f t="shared" si="19"/>
        <v>-3.901307465204451E-3</v>
      </c>
    </row>
    <row r="648" spans="1:9" ht="17.5">
      <c r="A648" s="248">
        <v>43287</v>
      </c>
      <c r="B648" s="249">
        <v>74.78</v>
      </c>
      <c r="C648" s="47">
        <f t="shared" si="20"/>
        <v>2.9506437768240801E-3</v>
      </c>
      <c r="E648" s="81"/>
      <c r="F648" s="82"/>
      <c r="G648" s="81">
        <v>43256</v>
      </c>
      <c r="H648" s="82">
        <v>286.02999999999997</v>
      </c>
      <c r="I648" s="173">
        <f t="shared" si="19"/>
        <v>9.2445573550683502E-3</v>
      </c>
    </row>
    <row r="649" spans="1:9" ht="17.5">
      <c r="A649" s="248">
        <v>43288</v>
      </c>
      <c r="B649" s="249">
        <v>74.430000000000007</v>
      </c>
      <c r="C649" s="47">
        <f t="shared" si="20"/>
        <v>-4.6803958277613633E-3</v>
      </c>
      <c r="E649" s="81"/>
      <c r="F649" s="82"/>
      <c r="G649" s="81">
        <v>43257</v>
      </c>
      <c r="H649" s="82">
        <v>284.61</v>
      </c>
      <c r="I649" s="173">
        <f t="shared" si="19"/>
        <v>-4.9645142117957786E-3</v>
      </c>
    </row>
    <row r="650" spans="1:9" ht="17.5">
      <c r="A650" s="248">
        <v>43291</v>
      </c>
      <c r="B650" s="249">
        <v>73.8</v>
      </c>
      <c r="C650" s="47">
        <f t="shared" si="20"/>
        <v>-8.46432889963733E-3</v>
      </c>
      <c r="E650" s="81"/>
      <c r="F650" s="82"/>
      <c r="G650" s="81">
        <v>43258</v>
      </c>
      <c r="H650" s="82">
        <v>287.77999999999997</v>
      </c>
      <c r="I650" s="173">
        <f t="shared" si="19"/>
        <v>1.1138048557675306E-2</v>
      </c>
    </row>
    <row r="651" spans="1:9" ht="17.5">
      <c r="A651" s="248">
        <v>43292</v>
      </c>
      <c r="B651" s="249">
        <v>73.59</v>
      </c>
      <c r="C651" s="47">
        <f t="shared" si="20"/>
        <v>-2.8455284552845184E-3</v>
      </c>
      <c r="E651" s="81"/>
      <c r="F651" s="82"/>
      <c r="G651" s="81">
        <v>43259</v>
      </c>
      <c r="H651" s="82">
        <v>284.72000000000003</v>
      </c>
      <c r="I651" s="173">
        <f t="shared" si="19"/>
        <v>-1.0633122524150163E-2</v>
      </c>
    </row>
    <row r="652" spans="1:9" ht="17.5">
      <c r="A652" s="248">
        <v>43293</v>
      </c>
      <c r="B652" s="249">
        <v>73.290000000000006</v>
      </c>
      <c r="C652" s="47">
        <f t="shared" si="20"/>
        <v>-4.0766408479412375E-3</v>
      </c>
      <c r="E652" s="81"/>
      <c r="F652" s="82"/>
      <c r="G652" s="81">
        <v>43260</v>
      </c>
      <c r="H652" s="82">
        <v>281.85000000000002</v>
      </c>
      <c r="I652" s="173">
        <f t="shared" si="19"/>
        <v>-1.0080078673784798E-2</v>
      </c>
    </row>
    <row r="653" spans="1:9" ht="17.5">
      <c r="A653" s="248">
        <v>43294</v>
      </c>
      <c r="B653" s="249">
        <v>72.010000000000005</v>
      </c>
      <c r="C653" s="47">
        <f t="shared" si="20"/>
        <v>-1.7464865602401458E-2</v>
      </c>
      <c r="E653" s="81"/>
      <c r="F653" s="82"/>
      <c r="G653" s="81">
        <v>43263</v>
      </c>
      <c r="H653" s="82">
        <v>272.14</v>
      </c>
      <c r="I653" s="173">
        <f t="shared" si="19"/>
        <v>-3.4450949086393567E-2</v>
      </c>
    </row>
    <row r="654" spans="1:9" ht="17.5">
      <c r="A654" s="248">
        <v>43295</v>
      </c>
      <c r="B654" s="249">
        <v>72.73</v>
      </c>
      <c r="C654" s="47">
        <f t="shared" si="20"/>
        <v>9.998611303985605E-3</v>
      </c>
      <c r="E654" s="81"/>
      <c r="F654" s="82"/>
      <c r="G654" s="81">
        <v>43264</v>
      </c>
      <c r="H654" s="82">
        <v>273.58999999999997</v>
      </c>
      <c r="I654" s="173">
        <f t="shared" si="19"/>
        <v>5.3281399279783148E-3</v>
      </c>
    </row>
    <row r="655" spans="1:9" ht="17.5">
      <c r="A655" s="248">
        <v>43298</v>
      </c>
      <c r="B655" s="249">
        <v>72.760000000000005</v>
      </c>
      <c r="C655" s="47">
        <f t="shared" si="20"/>
        <v>4.1248453183007072E-4</v>
      </c>
      <c r="E655" s="81"/>
      <c r="F655" s="82"/>
      <c r="G655" s="81">
        <v>43265</v>
      </c>
      <c r="H655" s="82">
        <v>274.91000000000003</v>
      </c>
      <c r="I655" s="173">
        <f t="shared" si="19"/>
        <v>4.8247377462629082E-3</v>
      </c>
    </row>
    <row r="656" spans="1:9" ht="17.5">
      <c r="A656" s="248">
        <v>43299</v>
      </c>
      <c r="B656" s="249">
        <v>73.83</v>
      </c>
      <c r="C656" s="47">
        <f t="shared" si="20"/>
        <v>1.4705882352941124E-2</v>
      </c>
      <c r="E656" s="81"/>
      <c r="F656" s="82"/>
      <c r="G656" s="81">
        <v>43266</v>
      </c>
      <c r="H656" s="82">
        <v>270.70999999999998</v>
      </c>
      <c r="I656" s="173">
        <f t="shared" ref="I656:I719" si="21">H656/H655-1</f>
        <v>-1.5277727256193141E-2</v>
      </c>
    </row>
    <row r="657" spans="1:9" ht="17.5">
      <c r="A657" s="248">
        <v>43300</v>
      </c>
      <c r="B657" s="249">
        <v>74.41</v>
      </c>
      <c r="C657" s="47">
        <f t="shared" ref="C657:C720" si="22">B657/B656-1</f>
        <v>7.8558851415413411E-3</v>
      </c>
      <c r="E657" s="81"/>
      <c r="F657" s="82"/>
      <c r="G657" s="81">
        <v>43267</v>
      </c>
      <c r="H657" s="82">
        <v>269.87</v>
      </c>
      <c r="I657" s="173">
        <f t="shared" si="21"/>
        <v>-3.1029514979128425E-3</v>
      </c>
    </row>
    <row r="658" spans="1:9" ht="17.5">
      <c r="A658" s="248">
        <v>43301</v>
      </c>
      <c r="B658" s="249">
        <v>74.819999999999993</v>
      </c>
      <c r="C658" s="47">
        <f t="shared" si="22"/>
        <v>5.5100120951485643E-3</v>
      </c>
      <c r="E658" s="81"/>
      <c r="F658" s="82"/>
      <c r="G658" s="81">
        <v>43270</v>
      </c>
      <c r="H658" s="82">
        <v>268.97000000000003</v>
      </c>
      <c r="I658" s="173">
        <f t="shared" si="21"/>
        <v>-3.3349390447251492E-3</v>
      </c>
    </row>
    <row r="659" spans="1:9" ht="17.5">
      <c r="A659" s="248">
        <v>43302</v>
      </c>
      <c r="B659" s="249">
        <v>75.64</v>
      </c>
      <c r="C659" s="47">
        <f t="shared" si="22"/>
        <v>1.0959636460839528E-2</v>
      </c>
      <c r="E659" s="81"/>
      <c r="F659" s="82"/>
      <c r="G659" s="81">
        <v>43271</v>
      </c>
      <c r="H659" s="82">
        <v>273.79000000000002</v>
      </c>
      <c r="I659" s="173">
        <f t="shared" si="21"/>
        <v>1.7920214150277003E-2</v>
      </c>
    </row>
    <row r="660" spans="1:9" ht="17.5">
      <c r="A660" s="248">
        <v>43305</v>
      </c>
      <c r="B660" s="249">
        <v>75.69</v>
      </c>
      <c r="C660" s="47">
        <f t="shared" si="22"/>
        <v>6.6102591221572915E-4</v>
      </c>
      <c r="E660" s="81"/>
      <c r="F660" s="82"/>
      <c r="G660" s="81">
        <v>43272</v>
      </c>
      <c r="H660" s="82">
        <v>268.32</v>
      </c>
      <c r="I660" s="173">
        <f t="shared" si="21"/>
        <v>-1.9978815880784651E-2</v>
      </c>
    </row>
    <row r="661" spans="1:9" ht="17.5">
      <c r="A661" s="248">
        <v>43306</v>
      </c>
      <c r="B661" s="249">
        <v>74.989999999999995</v>
      </c>
      <c r="C661" s="47">
        <f t="shared" si="22"/>
        <v>-9.2482494384992231E-3</v>
      </c>
      <c r="E661" s="81"/>
      <c r="F661" s="82"/>
      <c r="G661" s="81">
        <v>43273</v>
      </c>
      <c r="H661" s="82">
        <v>269.44</v>
      </c>
      <c r="I661" s="173">
        <f t="shared" si="21"/>
        <v>4.174120453190211E-3</v>
      </c>
    </row>
    <row r="662" spans="1:9" ht="17.5">
      <c r="A662" s="248">
        <v>43307</v>
      </c>
      <c r="B662" s="249">
        <v>76.12</v>
      </c>
      <c r="C662" s="47">
        <f t="shared" si="22"/>
        <v>1.5068675823443289E-2</v>
      </c>
      <c r="E662" s="81"/>
      <c r="F662" s="82"/>
      <c r="G662" s="81">
        <v>43274</v>
      </c>
      <c r="H662" s="82">
        <v>273.14999999999998</v>
      </c>
      <c r="I662" s="173">
        <f t="shared" si="21"/>
        <v>1.3769299287410774E-2</v>
      </c>
    </row>
    <row r="663" spans="1:9" ht="17.5">
      <c r="A663" s="248">
        <v>43308</v>
      </c>
      <c r="B663" s="249">
        <v>77.11</v>
      </c>
      <c r="C663" s="47">
        <f t="shared" si="22"/>
        <v>1.300578034682065E-2</v>
      </c>
      <c r="E663" s="81"/>
      <c r="F663" s="82"/>
      <c r="G663" s="81">
        <v>43277</v>
      </c>
      <c r="H663" s="82">
        <v>276.75</v>
      </c>
      <c r="I663" s="173">
        <f t="shared" si="21"/>
        <v>1.3179571663920919E-2</v>
      </c>
    </row>
    <row r="664" spans="1:9" ht="17.5">
      <c r="A664" s="248">
        <v>43309</v>
      </c>
      <c r="B664" s="249">
        <v>77.41</v>
      </c>
      <c r="C664" s="47">
        <f t="shared" si="22"/>
        <v>3.8905459732849756E-3</v>
      </c>
      <c r="E664" s="81"/>
      <c r="F664" s="82"/>
      <c r="G664" s="81">
        <v>43278</v>
      </c>
      <c r="H664" s="82">
        <v>276.66000000000003</v>
      </c>
      <c r="I664" s="173">
        <f t="shared" si="21"/>
        <v>-3.252032520324466E-4</v>
      </c>
    </row>
    <row r="665" spans="1:9" ht="17.5">
      <c r="A665" s="248">
        <v>43312</v>
      </c>
      <c r="B665" s="249">
        <v>77.760000000000005</v>
      </c>
      <c r="C665" s="47">
        <f t="shared" si="22"/>
        <v>4.521379666709846E-3</v>
      </c>
      <c r="E665" s="81"/>
      <c r="F665" s="82"/>
      <c r="G665" s="81">
        <v>43279</v>
      </c>
      <c r="H665" s="82">
        <v>273.39</v>
      </c>
      <c r="I665" s="173">
        <f t="shared" si="21"/>
        <v>-1.1819561917154719E-2</v>
      </c>
    </row>
    <row r="666" spans="1:9" ht="17.5">
      <c r="A666" s="248">
        <v>43313</v>
      </c>
      <c r="B666" s="249">
        <v>76.63</v>
      </c>
      <c r="C666" s="47">
        <f t="shared" si="22"/>
        <v>-1.4531893004115393E-2</v>
      </c>
      <c r="E666" s="81"/>
      <c r="F666" s="82"/>
      <c r="G666" s="81">
        <v>43280</v>
      </c>
      <c r="H666" s="82">
        <v>270.16000000000003</v>
      </c>
      <c r="I666" s="173">
        <f t="shared" si="21"/>
        <v>-1.1814623797505308E-2</v>
      </c>
    </row>
    <row r="667" spans="1:9" ht="17.5">
      <c r="A667" s="248">
        <v>43314</v>
      </c>
      <c r="B667" s="249">
        <v>78.099999999999994</v>
      </c>
      <c r="C667" s="47">
        <f t="shared" si="22"/>
        <v>1.9183087563617418E-2</v>
      </c>
      <c r="E667" s="81"/>
      <c r="F667" s="82"/>
      <c r="G667" s="81">
        <v>43281</v>
      </c>
      <c r="H667" s="82">
        <v>268.42</v>
      </c>
      <c r="I667" s="173">
        <f t="shared" si="21"/>
        <v>-6.4406277761327457E-3</v>
      </c>
    </row>
    <row r="668" spans="1:9" ht="17.5">
      <c r="A668" s="248">
        <v>43315</v>
      </c>
      <c r="B668" s="249">
        <v>78.27</v>
      </c>
      <c r="C668" s="47">
        <f t="shared" si="22"/>
        <v>2.1766965428937635E-3</v>
      </c>
      <c r="E668" s="81"/>
      <c r="F668" s="82"/>
      <c r="G668" s="81">
        <v>43284</v>
      </c>
      <c r="H668" s="82">
        <v>268.43</v>
      </c>
      <c r="I668" s="173">
        <f t="shared" si="21"/>
        <v>3.7255048058959517E-5</v>
      </c>
    </row>
    <row r="669" spans="1:9" ht="17.5">
      <c r="A669" s="248">
        <v>43316</v>
      </c>
      <c r="B669" s="249">
        <v>78.11</v>
      </c>
      <c r="C669" s="47">
        <f t="shared" si="22"/>
        <v>-2.044205953749767E-3</v>
      </c>
      <c r="E669" s="81"/>
      <c r="F669" s="82"/>
      <c r="G669" s="81">
        <v>43285</v>
      </c>
      <c r="H669" s="82">
        <v>267.56</v>
      </c>
      <c r="I669" s="173">
        <f t="shared" si="21"/>
        <v>-3.2410684349737373E-3</v>
      </c>
    </row>
    <row r="670" spans="1:9" ht="17.5">
      <c r="A670" s="248">
        <v>43319</v>
      </c>
      <c r="B670" s="249">
        <v>79.27</v>
      </c>
      <c r="C670" s="47">
        <f t="shared" si="22"/>
        <v>1.4850851363461759E-2</v>
      </c>
      <c r="E670" s="81"/>
      <c r="F670" s="82"/>
      <c r="G670" s="81">
        <v>43286</v>
      </c>
      <c r="H670" s="82">
        <v>264.97000000000003</v>
      </c>
      <c r="I670" s="173">
        <f t="shared" si="21"/>
        <v>-9.6800717596052799E-3</v>
      </c>
    </row>
    <row r="671" spans="1:9" ht="17.5">
      <c r="A671" s="248">
        <v>43320</v>
      </c>
      <c r="B671" s="249">
        <v>77.94</v>
      </c>
      <c r="C671" s="47">
        <f t="shared" si="22"/>
        <v>-1.6778100163996501E-2</v>
      </c>
      <c r="E671" s="81"/>
      <c r="F671" s="82"/>
      <c r="G671" s="81">
        <v>43287</v>
      </c>
      <c r="H671" s="82">
        <v>268.51</v>
      </c>
      <c r="I671" s="173">
        <f t="shared" si="21"/>
        <v>1.3360003019209588E-2</v>
      </c>
    </row>
    <row r="672" spans="1:9" ht="17.5">
      <c r="A672" s="248">
        <v>43321</v>
      </c>
      <c r="B672" s="249">
        <v>79.34</v>
      </c>
      <c r="C672" s="47">
        <f t="shared" si="22"/>
        <v>1.7962535283551517E-2</v>
      </c>
      <c r="E672" s="81"/>
      <c r="F672" s="82"/>
      <c r="G672" s="81">
        <v>43288</v>
      </c>
      <c r="H672" s="82">
        <v>269.23</v>
      </c>
      <c r="I672" s="173">
        <f t="shared" si="21"/>
        <v>2.6814643774906166E-3</v>
      </c>
    </row>
    <row r="673" spans="1:9" ht="17.5">
      <c r="A673" s="248">
        <v>43322</v>
      </c>
      <c r="B673" s="249">
        <v>79.010000000000005</v>
      </c>
      <c r="C673" s="47">
        <f t="shared" si="22"/>
        <v>-4.1593143433324986E-3</v>
      </c>
      <c r="E673" s="81"/>
      <c r="F673" s="82"/>
      <c r="G673" s="81">
        <v>43291</v>
      </c>
      <c r="H673" s="82">
        <v>264.19</v>
      </c>
      <c r="I673" s="173">
        <f t="shared" si="21"/>
        <v>-1.8720053485867139E-2</v>
      </c>
    </row>
    <row r="674" spans="1:9" ht="17.5">
      <c r="A674" s="248">
        <v>43323</v>
      </c>
      <c r="B674" s="249">
        <v>79.61</v>
      </c>
      <c r="C674" s="47">
        <f t="shared" si="22"/>
        <v>7.5939754461460396E-3</v>
      </c>
      <c r="E674" s="81"/>
      <c r="F674" s="82"/>
      <c r="G674" s="81">
        <v>43292</v>
      </c>
      <c r="H674" s="82">
        <v>261.17</v>
      </c>
      <c r="I674" s="173">
        <f t="shared" si="21"/>
        <v>-1.1431166963170369E-2</v>
      </c>
    </row>
    <row r="675" spans="1:9" ht="17.5">
      <c r="A675" s="248">
        <v>43326</v>
      </c>
      <c r="B675" s="249">
        <v>79.459999999999994</v>
      </c>
      <c r="C675" s="47">
        <f t="shared" si="22"/>
        <v>-1.8841854038438299E-3</v>
      </c>
      <c r="E675" s="81"/>
      <c r="F675" s="82"/>
      <c r="G675" s="81">
        <v>43293</v>
      </c>
      <c r="H675" s="82">
        <v>261.8</v>
      </c>
      <c r="I675" s="173">
        <f t="shared" si="21"/>
        <v>2.4122219244169241E-3</v>
      </c>
    </row>
    <row r="676" spans="1:9" ht="17.5">
      <c r="A676" s="248">
        <v>43327</v>
      </c>
      <c r="B676" s="249">
        <v>78.77</v>
      </c>
      <c r="C676" s="47">
        <f t="shared" si="22"/>
        <v>-8.6836143971809054E-3</v>
      </c>
      <c r="E676" s="81"/>
      <c r="F676" s="82"/>
      <c r="G676" s="81">
        <v>43294</v>
      </c>
      <c r="H676" s="82">
        <v>259.8</v>
      </c>
      <c r="I676" s="173">
        <f t="shared" si="21"/>
        <v>-7.6394194041252694E-3</v>
      </c>
    </row>
    <row r="677" spans="1:9" ht="17.5">
      <c r="A677" s="248">
        <v>43328</v>
      </c>
      <c r="B677" s="249">
        <v>77.91</v>
      </c>
      <c r="C677" s="47">
        <f t="shared" si="22"/>
        <v>-1.0917862130252587E-2</v>
      </c>
      <c r="E677" s="81"/>
      <c r="F677" s="82"/>
      <c r="G677" s="81">
        <v>43295</v>
      </c>
      <c r="H677" s="82">
        <v>259.3</v>
      </c>
      <c r="I677" s="173">
        <f t="shared" si="21"/>
        <v>-1.9245573518090753E-3</v>
      </c>
    </row>
    <row r="678" spans="1:9" ht="17.5">
      <c r="A678" s="248">
        <v>43329</v>
      </c>
      <c r="B678" s="249">
        <v>77.819999999999993</v>
      </c>
      <c r="C678" s="47">
        <f t="shared" si="22"/>
        <v>-1.1551790527531969E-3</v>
      </c>
      <c r="E678" s="81"/>
      <c r="F678" s="82"/>
      <c r="G678" s="81">
        <v>43298</v>
      </c>
      <c r="H678" s="82">
        <v>263.72000000000003</v>
      </c>
      <c r="I678" s="173">
        <f t="shared" si="21"/>
        <v>1.7045892788276173E-2</v>
      </c>
    </row>
    <row r="679" spans="1:9" ht="17.5">
      <c r="A679" s="248">
        <v>43330</v>
      </c>
      <c r="B679" s="249">
        <v>76.64</v>
      </c>
      <c r="C679" s="47">
        <f t="shared" si="22"/>
        <v>-1.5163197121562444E-2</v>
      </c>
      <c r="E679" s="81"/>
      <c r="F679" s="82"/>
      <c r="G679" s="81">
        <v>43299</v>
      </c>
      <c r="H679" s="82">
        <v>264.39999999999998</v>
      </c>
      <c r="I679" s="173">
        <f t="shared" si="21"/>
        <v>2.5784923403608939E-3</v>
      </c>
    </row>
    <row r="680" spans="1:9" ht="17.5">
      <c r="A680" s="248">
        <v>43333</v>
      </c>
      <c r="B680" s="249">
        <v>76.069999999999993</v>
      </c>
      <c r="C680" s="47">
        <f t="shared" si="22"/>
        <v>-7.4373695198330925E-3</v>
      </c>
      <c r="E680" s="81"/>
      <c r="F680" s="82"/>
      <c r="G680" s="81">
        <v>43300</v>
      </c>
      <c r="H680" s="82">
        <v>265.77999999999997</v>
      </c>
      <c r="I680" s="173">
        <f t="shared" si="21"/>
        <v>5.2193645990923354E-3</v>
      </c>
    </row>
    <row r="681" spans="1:9" ht="17.5">
      <c r="A681" s="248">
        <v>43334</v>
      </c>
      <c r="B681" s="249">
        <v>76.87</v>
      </c>
      <c r="C681" s="47">
        <f t="shared" si="22"/>
        <v>1.0516629420270984E-2</v>
      </c>
      <c r="E681" s="81"/>
      <c r="F681" s="82"/>
      <c r="G681" s="81">
        <v>43301</v>
      </c>
      <c r="H681" s="82">
        <v>266.7</v>
      </c>
      <c r="I681" s="173">
        <f t="shared" si="21"/>
        <v>3.4615095191512513E-3</v>
      </c>
    </row>
    <row r="682" spans="1:9" ht="17.5">
      <c r="A682" s="248">
        <v>43335</v>
      </c>
      <c r="B682" s="249">
        <v>76.8</v>
      </c>
      <c r="C682" s="47">
        <f t="shared" si="22"/>
        <v>-9.106283335502674E-4</v>
      </c>
      <c r="E682" s="81"/>
      <c r="F682" s="82"/>
      <c r="G682" s="81">
        <v>43302</v>
      </c>
      <c r="H682" s="82">
        <v>266.48</v>
      </c>
      <c r="I682" s="173">
        <f t="shared" si="21"/>
        <v>-8.2489688788889293E-4</v>
      </c>
    </row>
    <row r="683" spans="1:9" ht="17.5">
      <c r="A683" s="248">
        <v>43336</v>
      </c>
      <c r="B683" s="249">
        <v>77.62</v>
      </c>
      <c r="C683" s="47">
        <f t="shared" si="22"/>
        <v>1.0677083333333393E-2</v>
      </c>
      <c r="E683" s="81"/>
      <c r="F683" s="82"/>
      <c r="G683" s="81">
        <v>43305</v>
      </c>
      <c r="H683" s="82">
        <v>265.98</v>
      </c>
      <c r="I683" s="173">
        <f t="shared" si="21"/>
        <v>-1.8763134193935382E-3</v>
      </c>
    </row>
    <row r="684" spans="1:9" ht="17.5">
      <c r="A684" s="248">
        <v>43337</v>
      </c>
      <c r="B684" s="249">
        <v>76.41</v>
      </c>
      <c r="C684" s="47">
        <f t="shared" si="22"/>
        <v>-1.5588765782015068E-2</v>
      </c>
      <c r="E684" s="81"/>
      <c r="F684" s="82"/>
      <c r="G684" s="81">
        <v>43306</v>
      </c>
      <c r="H684" s="82">
        <v>265.77999999999997</v>
      </c>
      <c r="I684" s="173">
        <f t="shared" si="21"/>
        <v>-7.5193623580738223E-4</v>
      </c>
    </row>
    <row r="685" spans="1:9" ht="17.5">
      <c r="A685" s="248">
        <v>43340</v>
      </c>
      <c r="B685" s="249">
        <v>75.95</v>
      </c>
      <c r="C685" s="47">
        <f t="shared" si="22"/>
        <v>-6.0201544300483301E-3</v>
      </c>
      <c r="E685" s="81"/>
      <c r="F685" s="82"/>
      <c r="G685" s="81">
        <v>43307</v>
      </c>
      <c r="H685" s="82">
        <v>266.66000000000003</v>
      </c>
      <c r="I685" s="173">
        <f t="shared" si="21"/>
        <v>3.3110091052752644E-3</v>
      </c>
    </row>
    <row r="686" spans="1:9" ht="17.5">
      <c r="A686" s="248">
        <v>43341</v>
      </c>
      <c r="B686" s="249">
        <v>75.92</v>
      </c>
      <c r="C686" s="47">
        <f t="shared" si="22"/>
        <v>-3.9499670836073975E-4</v>
      </c>
      <c r="E686" s="81"/>
      <c r="F686" s="82"/>
      <c r="G686" s="81">
        <v>43308</v>
      </c>
      <c r="H686" s="82">
        <v>268.45</v>
      </c>
      <c r="I686" s="173">
        <f t="shared" si="21"/>
        <v>6.712667816695328E-3</v>
      </c>
    </row>
    <row r="687" spans="1:9" ht="17.5">
      <c r="A687" s="248">
        <v>43342</v>
      </c>
      <c r="B687" s="249">
        <v>75.31</v>
      </c>
      <c r="C687" s="47">
        <f t="shared" si="22"/>
        <v>-8.034773445732335E-3</v>
      </c>
      <c r="E687" s="81"/>
      <c r="F687" s="82"/>
      <c r="G687" s="81">
        <v>43309</v>
      </c>
      <c r="H687" s="82">
        <v>267.32</v>
      </c>
      <c r="I687" s="173">
        <f t="shared" si="21"/>
        <v>-4.2093499720617933E-3</v>
      </c>
    </row>
    <row r="688" spans="1:9" ht="17.5">
      <c r="A688" s="248">
        <v>43343</v>
      </c>
      <c r="B688" s="249">
        <v>75.13</v>
      </c>
      <c r="C688" s="47">
        <f t="shared" si="22"/>
        <v>-2.3901208338866775E-3</v>
      </c>
      <c r="E688" s="81"/>
      <c r="F688" s="82"/>
      <c r="G688" s="81">
        <v>43312</v>
      </c>
      <c r="H688" s="82">
        <v>268.36</v>
      </c>
      <c r="I688" s="173">
        <f t="shared" si="21"/>
        <v>3.8904683525362582E-3</v>
      </c>
    </row>
    <row r="689" spans="1:9" ht="17.5">
      <c r="A689" s="248">
        <v>43344</v>
      </c>
      <c r="B689" s="249">
        <v>75.39</v>
      </c>
      <c r="C689" s="47">
        <f t="shared" si="22"/>
        <v>3.4606681751632173E-3</v>
      </c>
      <c r="E689" s="81"/>
      <c r="F689" s="82"/>
      <c r="G689" s="81">
        <v>43313</v>
      </c>
      <c r="H689" s="82">
        <v>265.89</v>
      </c>
      <c r="I689" s="173">
        <f t="shared" si="21"/>
        <v>-9.2040542554777671E-3</v>
      </c>
    </row>
    <row r="690" spans="1:9" ht="17.5">
      <c r="A690" s="248">
        <v>43348</v>
      </c>
      <c r="B690" s="249">
        <v>74.7</v>
      </c>
      <c r="C690" s="47">
        <f t="shared" si="22"/>
        <v>-9.1524074810982459E-3</v>
      </c>
      <c r="E690" s="81"/>
      <c r="F690" s="82"/>
      <c r="G690" s="81">
        <v>43314</v>
      </c>
      <c r="H690" s="82">
        <v>265.88</v>
      </c>
      <c r="I690" s="173">
        <f t="shared" si="21"/>
        <v>-3.7609537778759972E-5</v>
      </c>
    </row>
    <row r="691" spans="1:9" ht="17.5">
      <c r="A691" s="248">
        <v>43349</v>
      </c>
      <c r="B691" s="249">
        <v>75.84</v>
      </c>
      <c r="C691" s="47">
        <f t="shared" si="22"/>
        <v>1.5261044176706928E-2</v>
      </c>
      <c r="E691" s="81"/>
      <c r="F691" s="82"/>
      <c r="G691" s="81">
        <v>43315</v>
      </c>
      <c r="H691" s="82">
        <v>267.97000000000003</v>
      </c>
      <c r="I691" s="173">
        <f t="shared" si="21"/>
        <v>7.8606890326464729E-3</v>
      </c>
    </row>
    <row r="692" spans="1:9" ht="17.5">
      <c r="A692" s="248">
        <v>43350</v>
      </c>
      <c r="B692" s="249">
        <v>75.86</v>
      </c>
      <c r="C692" s="47">
        <f t="shared" si="22"/>
        <v>2.6371308016881478E-4</v>
      </c>
      <c r="E692" s="81"/>
      <c r="F692" s="82"/>
      <c r="G692" s="81">
        <v>43316</v>
      </c>
      <c r="H692" s="82">
        <v>269.67</v>
      </c>
      <c r="I692" s="173">
        <f t="shared" si="21"/>
        <v>6.3439937306415395E-3</v>
      </c>
    </row>
    <row r="693" spans="1:9" ht="17.5">
      <c r="A693" s="248">
        <v>43351</v>
      </c>
      <c r="B693" s="249">
        <v>76.319999999999993</v>
      </c>
      <c r="C693" s="47">
        <f t="shared" si="22"/>
        <v>6.063801740047392E-3</v>
      </c>
      <c r="E693" s="81"/>
      <c r="F693" s="82"/>
      <c r="G693" s="81">
        <v>43319</v>
      </c>
      <c r="H693" s="82">
        <v>269.98</v>
      </c>
      <c r="I693" s="173">
        <f t="shared" si="21"/>
        <v>1.1495531575629325E-3</v>
      </c>
    </row>
    <row r="694" spans="1:9" ht="17.5">
      <c r="A694" s="248">
        <v>43354</v>
      </c>
      <c r="B694" s="249">
        <v>76.3</v>
      </c>
      <c r="C694" s="47">
        <f t="shared" si="22"/>
        <v>-2.620545073375169E-4</v>
      </c>
      <c r="E694" s="81"/>
      <c r="F694" s="82"/>
      <c r="G694" s="81">
        <v>43320</v>
      </c>
      <c r="H694" s="82">
        <v>269.94</v>
      </c>
      <c r="I694" s="173">
        <f t="shared" si="21"/>
        <v>-1.4815912289811717E-4</v>
      </c>
    </row>
    <row r="695" spans="1:9" ht="17.5">
      <c r="A695" s="248">
        <v>43355</v>
      </c>
      <c r="B695" s="249">
        <v>75.13</v>
      </c>
      <c r="C695" s="47">
        <f t="shared" si="22"/>
        <v>-1.5334207077326356E-2</v>
      </c>
      <c r="E695" s="81"/>
      <c r="F695" s="82"/>
      <c r="G695" s="81">
        <v>43321</v>
      </c>
      <c r="H695" s="82">
        <v>269.95999999999998</v>
      </c>
      <c r="I695" s="173">
        <f t="shared" si="21"/>
        <v>7.4090538638049708E-5</v>
      </c>
    </row>
    <row r="696" spans="1:9" ht="17.5">
      <c r="A696" s="248">
        <v>43356</v>
      </c>
      <c r="B696" s="249">
        <v>75.069999999999993</v>
      </c>
      <c r="C696" s="47">
        <f t="shared" si="22"/>
        <v>-7.9861573272999031E-4</v>
      </c>
      <c r="E696" s="81"/>
      <c r="F696" s="82"/>
      <c r="G696" s="81">
        <v>43322</v>
      </c>
      <c r="H696" s="82">
        <v>273.68</v>
      </c>
      <c r="I696" s="173">
        <f t="shared" si="21"/>
        <v>1.3779819232478951E-2</v>
      </c>
    </row>
    <row r="697" spans="1:9" ht="17.5">
      <c r="A697" s="248">
        <v>43357</v>
      </c>
      <c r="B697" s="249">
        <v>75.02</v>
      </c>
      <c r="C697" s="47">
        <f t="shared" si="22"/>
        <v>-6.6604502464362447E-4</v>
      </c>
      <c r="E697" s="81"/>
      <c r="F697" s="82"/>
      <c r="G697" s="81">
        <v>43323</v>
      </c>
      <c r="H697" s="82">
        <v>274.43</v>
      </c>
      <c r="I697" s="173">
        <f t="shared" si="21"/>
        <v>2.7404267757964451E-3</v>
      </c>
    </row>
    <row r="698" spans="1:9" ht="17.5">
      <c r="A698" s="248">
        <v>43358</v>
      </c>
      <c r="B698" s="249">
        <v>74.61</v>
      </c>
      <c r="C698" s="47">
        <f t="shared" si="22"/>
        <v>-5.4652092775259176E-3</v>
      </c>
      <c r="E698" s="81"/>
      <c r="F698" s="82"/>
      <c r="G698" s="81">
        <v>43326</v>
      </c>
      <c r="H698" s="82">
        <v>274.16000000000003</v>
      </c>
      <c r="I698" s="173">
        <f t="shared" si="21"/>
        <v>-9.8385744998719105E-4</v>
      </c>
    </row>
    <row r="699" spans="1:9" ht="17.5">
      <c r="A699" s="248">
        <v>43361</v>
      </c>
      <c r="B699" s="249">
        <v>74.88</v>
      </c>
      <c r="C699" s="47">
        <f t="shared" si="22"/>
        <v>3.6188178528346882E-3</v>
      </c>
      <c r="E699" s="81"/>
      <c r="F699" s="82"/>
      <c r="G699" s="81">
        <v>43327</v>
      </c>
      <c r="H699" s="82">
        <v>274.02999999999997</v>
      </c>
      <c r="I699" s="173">
        <f t="shared" si="21"/>
        <v>-4.7417566384611032E-4</v>
      </c>
    </row>
    <row r="700" spans="1:9" ht="17.5">
      <c r="A700" s="248">
        <v>43362</v>
      </c>
      <c r="B700" s="249">
        <v>74.19</v>
      </c>
      <c r="C700" s="47">
        <f t="shared" si="22"/>
        <v>-9.2147435897436125E-3</v>
      </c>
      <c r="E700" s="81"/>
      <c r="F700" s="82"/>
      <c r="G700" s="81">
        <v>43328</v>
      </c>
      <c r="H700" s="82">
        <v>274.42</v>
      </c>
      <c r="I700" s="173">
        <f t="shared" si="21"/>
        <v>1.4232018392148493E-3</v>
      </c>
    </row>
    <row r="701" spans="1:9" ht="17.5">
      <c r="A701" s="248">
        <v>43363</v>
      </c>
      <c r="B701" s="249">
        <v>73.97</v>
      </c>
      <c r="C701" s="47">
        <f t="shared" si="22"/>
        <v>-2.9653592128319195E-3</v>
      </c>
      <c r="E701" s="81"/>
      <c r="F701" s="82"/>
      <c r="G701" s="81">
        <v>43329</v>
      </c>
      <c r="H701" s="82">
        <v>273.38</v>
      </c>
      <c r="I701" s="173">
        <f t="shared" si="21"/>
        <v>-3.7898112382480642E-3</v>
      </c>
    </row>
    <row r="702" spans="1:9" ht="17.5">
      <c r="A702" s="248">
        <v>43364</v>
      </c>
      <c r="B702" s="249">
        <v>73.48</v>
      </c>
      <c r="C702" s="47">
        <f t="shared" si="22"/>
        <v>-6.6243071515478258E-3</v>
      </c>
      <c r="E702" s="81"/>
      <c r="F702" s="82"/>
      <c r="G702" s="81">
        <v>43330</v>
      </c>
      <c r="H702" s="82">
        <v>271.13</v>
      </c>
      <c r="I702" s="173">
        <f t="shared" si="21"/>
        <v>-8.2303021435364832E-3</v>
      </c>
    </row>
    <row r="703" spans="1:9" ht="17.5">
      <c r="A703" s="248">
        <v>43365</v>
      </c>
      <c r="B703" s="249">
        <v>72.59</v>
      </c>
      <c r="C703" s="47">
        <f t="shared" si="22"/>
        <v>-1.2112139357648322E-2</v>
      </c>
      <c r="E703" s="81"/>
      <c r="F703" s="82"/>
      <c r="G703" s="81">
        <v>43333</v>
      </c>
      <c r="H703" s="82">
        <v>269.26</v>
      </c>
      <c r="I703" s="173">
        <f t="shared" si="21"/>
        <v>-6.8970604507063715E-3</v>
      </c>
    </row>
    <row r="704" spans="1:9" ht="17.5">
      <c r="A704" s="248">
        <v>43368</v>
      </c>
      <c r="B704" s="249">
        <v>70.88</v>
      </c>
      <c r="C704" s="47">
        <f t="shared" si="22"/>
        <v>-2.3556963769114314E-2</v>
      </c>
      <c r="E704" s="81"/>
      <c r="F704" s="82"/>
      <c r="G704" s="81">
        <v>43334</v>
      </c>
      <c r="H704" s="82">
        <v>269.58</v>
      </c>
      <c r="I704" s="173">
        <f t="shared" si="21"/>
        <v>1.1884423976824543E-3</v>
      </c>
    </row>
    <row r="705" spans="1:9" ht="17.5">
      <c r="A705" s="248">
        <v>43369</v>
      </c>
      <c r="B705" s="249">
        <v>69.75</v>
      </c>
      <c r="C705" s="47">
        <f t="shared" si="22"/>
        <v>-1.5942437923250452E-2</v>
      </c>
      <c r="E705" s="81"/>
      <c r="F705" s="82"/>
      <c r="G705" s="81">
        <v>43335</v>
      </c>
      <c r="H705" s="82">
        <v>268.7</v>
      </c>
      <c r="I705" s="173">
        <f t="shared" si="21"/>
        <v>-3.2643371169968072E-3</v>
      </c>
    </row>
    <row r="706" spans="1:9" ht="17.5">
      <c r="A706" s="248">
        <v>43370</v>
      </c>
      <c r="B706" s="249">
        <v>71.42</v>
      </c>
      <c r="C706" s="47">
        <f t="shared" si="22"/>
        <v>2.3942652329749237E-2</v>
      </c>
      <c r="E706" s="81"/>
      <c r="F706" s="82"/>
      <c r="G706" s="81">
        <v>43336</v>
      </c>
      <c r="H706" s="82">
        <v>273.05</v>
      </c>
      <c r="I706" s="173">
        <f t="shared" si="21"/>
        <v>1.6189058429475267E-2</v>
      </c>
    </row>
    <row r="707" spans="1:9" ht="17.5">
      <c r="A707" s="248">
        <v>43371</v>
      </c>
      <c r="B707" s="249">
        <v>70.52</v>
      </c>
      <c r="C707" s="47">
        <f t="shared" si="22"/>
        <v>-1.2601512181461882E-2</v>
      </c>
      <c r="E707" s="81"/>
      <c r="F707" s="82"/>
      <c r="G707" s="81">
        <v>43337</v>
      </c>
      <c r="H707" s="82">
        <v>273.3</v>
      </c>
      <c r="I707" s="173">
        <f t="shared" si="21"/>
        <v>9.155832265153041E-4</v>
      </c>
    </row>
    <row r="708" spans="1:9" ht="17.5">
      <c r="A708" s="248">
        <v>43372</v>
      </c>
      <c r="B708" s="249">
        <v>70.36</v>
      </c>
      <c r="C708" s="47">
        <f t="shared" si="22"/>
        <v>-2.2688598979012653E-3</v>
      </c>
      <c r="E708" s="81"/>
      <c r="F708" s="82"/>
      <c r="G708" s="81">
        <v>43340</v>
      </c>
      <c r="H708" s="82">
        <v>270.16000000000003</v>
      </c>
      <c r="I708" s="173">
        <f t="shared" si="21"/>
        <v>-1.1489206000731778E-2</v>
      </c>
    </row>
    <row r="709" spans="1:9" ht="17.5">
      <c r="A709" s="248">
        <v>43375</v>
      </c>
      <c r="B709" s="249">
        <v>71.430000000000007</v>
      </c>
      <c r="C709" s="47">
        <f t="shared" si="22"/>
        <v>1.5207504263786253E-2</v>
      </c>
      <c r="E709" s="81"/>
      <c r="F709" s="82"/>
      <c r="G709" s="81">
        <v>43341</v>
      </c>
      <c r="H709" s="82">
        <v>270.04000000000002</v>
      </c>
      <c r="I709" s="173">
        <f t="shared" si="21"/>
        <v>-4.4418122594025444E-4</v>
      </c>
    </row>
    <row r="710" spans="1:9" ht="17.5">
      <c r="A710" s="248">
        <v>43376</v>
      </c>
      <c r="B710" s="249">
        <v>72.77</v>
      </c>
      <c r="C710" s="47">
        <f t="shared" si="22"/>
        <v>1.8759624807503705E-2</v>
      </c>
      <c r="E710" s="81"/>
      <c r="F710" s="82"/>
      <c r="G710" s="81">
        <v>43342</v>
      </c>
      <c r="H710" s="82">
        <v>270.04000000000002</v>
      </c>
      <c r="I710" s="173">
        <f t="shared" si="21"/>
        <v>0</v>
      </c>
    </row>
    <row r="711" spans="1:9" ht="17.5">
      <c r="A711" s="248">
        <v>43377</v>
      </c>
      <c r="B711" s="249">
        <v>71.739999999999995</v>
      </c>
      <c r="C711" s="47">
        <f t="shared" si="22"/>
        <v>-1.415418441665528E-2</v>
      </c>
      <c r="E711" s="81"/>
      <c r="F711" s="82"/>
      <c r="G711" s="81">
        <v>43343</v>
      </c>
      <c r="H711" s="82">
        <v>266.43</v>
      </c>
      <c r="I711" s="173">
        <f t="shared" si="21"/>
        <v>-1.3368389868167685E-2</v>
      </c>
    </row>
    <row r="712" spans="1:9" ht="17.5">
      <c r="A712" s="248">
        <v>43378</v>
      </c>
      <c r="B712" s="249">
        <v>71.459999999999994</v>
      </c>
      <c r="C712" s="47">
        <f t="shared" si="22"/>
        <v>-3.9029829941454874E-3</v>
      </c>
      <c r="E712" s="81"/>
      <c r="F712" s="82"/>
      <c r="G712" s="81">
        <v>43344</v>
      </c>
      <c r="H712" s="82">
        <v>265.77999999999997</v>
      </c>
      <c r="I712" s="173">
        <f t="shared" si="21"/>
        <v>-2.4396652028676469E-3</v>
      </c>
    </row>
    <row r="713" spans="1:9" ht="17.5">
      <c r="A713" s="248">
        <v>43379</v>
      </c>
      <c r="B713" s="249">
        <v>70.5</v>
      </c>
      <c r="C713" s="47">
        <f t="shared" si="22"/>
        <v>-1.3434089000839533E-2</v>
      </c>
      <c r="E713" s="81"/>
      <c r="F713" s="82"/>
      <c r="G713" s="81">
        <v>43347</v>
      </c>
      <c r="H713" s="82">
        <v>265.18</v>
      </c>
      <c r="I713" s="173">
        <f t="shared" si="21"/>
        <v>-2.2575062081419128E-3</v>
      </c>
    </row>
    <row r="714" spans="1:9" ht="17.5">
      <c r="A714" s="248">
        <v>43382</v>
      </c>
      <c r="B714" s="249">
        <v>70.3</v>
      </c>
      <c r="C714" s="47">
        <f t="shared" si="22"/>
        <v>-2.8368794326241176E-3</v>
      </c>
      <c r="E714" s="81"/>
      <c r="F714" s="82"/>
      <c r="G714" s="81">
        <v>43348</v>
      </c>
      <c r="H714" s="82">
        <v>264.02</v>
      </c>
      <c r="I714" s="173">
        <f t="shared" si="21"/>
        <v>-4.374387208688546E-3</v>
      </c>
    </row>
    <row r="715" spans="1:9" ht="17.5">
      <c r="A715" s="248">
        <v>43383</v>
      </c>
      <c r="B715" s="249">
        <v>70.239999999999995</v>
      </c>
      <c r="C715" s="47">
        <f t="shared" si="22"/>
        <v>-8.5348506401139446E-4</v>
      </c>
      <c r="E715" s="81"/>
      <c r="F715" s="82"/>
      <c r="G715" s="81">
        <v>43349</v>
      </c>
      <c r="H715" s="82">
        <v>262.8</v>
      </c>
      <c r="I715" s="173">
        <f t="shared" si="21"/>
        <v>-4.6208620559047286E-3</v>
      </c>
    </row>
    <row r="716" spans="1:9" ht="17.5">
      <c r="A716" s="248">
        <v>43384</v>
      </c>
      <c r="B716" s="249">
        <v>69.989999999999995</v>
      </c>
      <c r="C716" s="47">
        <f t="shared" si="22"/>
        <v>-3.5592255125285188E-3</v>
      </c>
      <c r="E716" s="81"/>
      <c r="F716" s="82"/>
      <c r="G716" s="81">
        <v>43350</v>
      </c>
      <c r="H716" s="82">
        <v>263.10000000000002</v>
      </c>
      <c r="I716" s="173">
        <f t="shared" si="21"/>
        <v>1.1415525114155667E-3</v>
      </c>
    </row>
    <row r="717" spans="1:9" ht="17.5">
      <c r="A717" s="248">
        <v>43385</v>
      </c>
      <c r="B717" s="249">
        <v>69.78</v>
      </c>
      <c r="C717" s="47">
        <f t="shared" si="22"/>
        <v>-3.0004286326617002E-3</v>
      </c>
      <c r="E717" s="81"/>
      <c r="F717" s="82"/>
      <c r="G717" s="81">
        <v>43351</v>
      </c>
      <c r="H717" s="82">
        <v>266.70999999999998</v>
      </c>
      <c r="I717" s="173">
        <f t="shared" si="21"/>
        <v>1.3721018624097026E-2</v>
      </c>
    </row>
    <row r="718" spans="1:9" ht="17.5">
      <c r="A718" s="248">
        <v>43386</v>
      </c>
      <c r="B718" s="249">
        <v>69.260000000000005</v>
      </c>
      <c r="C718" s="47">
        <f t="shared" si="22"/>
        <v>-7.4519919747778607E-3</v>
      </c>
      <c r="E718" s="81"/>
      <c r="F718" s="82"/>
      <c r="G718" s="81">
        <v>43354</v>
      </c>
      <c r="H718" s="82">
        <v>269.52</v>
      </c>
      <c r="I718" s="173">
        <f t="shared" si="21"/>
        <v>1.053578793446075E-2</v>
      </c>
    </row>
    <row r="719" spans="1:9" ht="17.5">
      <c r="A719" s="248">
        <v>43389</v>
      </c>
      <c r="B719" s="249">
        <v>69.650000000000006</v>
      </c>
      <c r="C719" s="47">
        <f t="shared" si="22"/>
        <v>5.6309558186542485E-3</v>
      </c>
      <c r="E719" s="81"/>
      <c r="F719" s="82"/>
      <c r="G719" s="81">
        <v>43355</v>
      </c>
      <c r="H719" s="82">
        <v>267.82</v>
      </c>
      <c r="I719" s="173">
        <f t="shared" si="21"/>
        <v>-6.3075096467793967E-3</v>
      </c>
    </row>
    <row r="720" spans="1:9" ht="17.5">
      <c r="A720" s="248">
        <v>43390</v>
      </c>
      <c r="B720" s="249">
        <v>70.39</v>
      </c>
      <c r="C720" s="47">
        <f t="shared" si="22"/>
        <v>1.0624551328068943E-2</v>
      </c>
      <c r="E720" s="81"/>
      <c r="F720" s="82"/>
      <c r="G720" s="81">
        <v>43356</v>
      </c>
      <c r="H720" s="82">
        <v>264.52</v>
      </c>
      <c r="I720" s="173">
        <f t="shared" ref="I720:I783" si="23">H720/H719-1</f>
        <v>-1.2321708610260718E-2</v>
      </c>
    </row>
    <row r="721" spans="1:9" ht="17.5">
      <c r="A721" s="248">
        <v>43391</v>
      </c>
      <c r="B721" s="249">
        <v>69.34</v>
      </c>
      <c r="C721" s="47">
        <f t="shared" ref="C721:C784" si="24">B721/B720-1</f>
        <v>-1.4916891603920956E-2</v>
      </c>
      <c r="E721" s="81"/>
      <c r="F721" s="82"/>
      <c r="G721" s="81">
        <v>43357</v>
      </c>
      <c r="H721" s="82">
        <v>263.36</v>
      </c>
      <c r="I721" s="173">
        <f t="shared" si="23"/>
        <v>-4.3853016785119214E-3</v>
      </c>
    </row>
    <row r="722" spans="1:9" ht="17.5">
      <c r="A722" s="248">
        <v>43392</v>
      </c>
      <c r="B722" s="249">
        <v>68.63</v>
      </c>
      <c r="C722" s="47">
        <f t="shared" si="24"/>
        <v>-1.0239400057686865E-2</v>
      </c>
      <c r="E722" s="81"/>
      <c r="F722" s="82"/>
      <c r="G722" s="81">
        <v>43358</v>
      </c>
      <c r="H722" s="82">
        <v>258.70999999999998</v>
      </c>
      <c r="I722" s="173">
        <f t="shared" si="23"/>
        <v>-1.7656439854192074E-2</v>
      </c>
    </row>
    <row r="723" spans="1:9" ht="17.5">
      <c r="A723" s="248">
        <v>43393</v>
      </c>
      <c r="B723" s="249">
        <v>69.39</v>
      </c>
      <c r="C723" s="47">
        <f t="shared" si="24"/>
        <v>1.1073874398950911E-2</v>
      </c>
      <c r="E723" s="81"/>
      <c r="F723" s="82"/>
      <c r="G723" s="81">
        <v>43361</v>
      </c>
      <c r="H723" s="82">
        <v>257.75</v>
      </c>
      <c r="I723" s="173">
        <f t="shared" si="23"/>
        <v>-3.7107185651887864E-3</v>
      </c>
    </row>
    <row r="724" spans="1:9" ht="17.5">
      <c r="A724" s="248">
        <v>43396</v>
      </c>
      <c r="B724" s="249">
        <v>69.349999999999994</v>
      </c>
      <c r="C724" s="47">
        <f t="shared" si="24"/>
        <v>-5.7645193831967756E-4</v>
      </c>
      <c r="E724" s="81"/>
      <c r="F724" s="82"/>
      <c r="G724" s="81">
        <v>43362</v>
      </c>
      <c r="H724" s="82">
        <v>259.27</v>
      </c>
      <c r="I724" s="173">
        <f t="shared" si="23"/>
        <v>5.8971871968962475E-3</v>
      </c>
    </row>
    <row r="725" spans="1:9" ht="17.5">
      <c r="A725" s="248">
        <v>43397</v>
      </c>
      <c r="B725" s="249">
        <v>70.55</v>
      </c>
      <c r="C725" s="47">
        <f t="shared" si="24"/>
        <v>1.7303532804614274E-2</v>
      </c>
      <c r="E725" s="81"/>
      <c r="F725" s="82"/>
      <c r="G725" s="81">
        <v>43363</v>
      </c>
      <c r="H725" s="82">
        <v>255.58</v>
      </c>
      <c r="I725" s="173">
        <f t="shared" si="23"/>
        <v>-1.4232267520345454E-2</v>
      </c>
    </row>
    <row r="726" spans="1:9" ht="17.5">
      <c r="A726" s="248">
        <v>43398</v>
      </c>
      <c r="B726" s="249">
        <v>71.010000000000005</v>
      </c>
      <c r="C726" s="47">
        <f t="shared" si="24"/>
        <v>6.5201984408223002E-3</v>
      </c>
      <c r="E726" s="81"/>
      <c r="F726" s="82"/>
      <c r="G726" s="81">
        <v>43364</v>
      </c>
      <c r="H726" s="82">
        <v>253.71</v>
      </c>
      <c r="I726" s="173">
        <f t="shared" si="23"/>
        <v>-7.3166914469050548E-3</v>
      </c>
    </row>
    <row r="727" spans="1:9" ht="17.5">
      <c r="A727" s="248">
        <v>43399</v>
      </c>
      <c r="B727" s="249">
        <v>71.17</v>
      </c>
      <c r="C727" s="47">
        <f t="shared" si="24"/>
        <v>2.253203774116308E-3</v>
      </c>
      <c r="E727" s="81"/>
      <c r="F727" s="82"/>
      <c r="G727" s="81">
        <v>43365</v>
      </c>
      <c r="H727" s="82">
        <v>249.03</v>
      </c>
      <c r="I727" s="173">
        <f t="shared" si="23"/>
        <v>-1.8446257538134114E-2</v>
      </c>
    </row>
    <row r="728" spans="1:9" ht="17.5">
      <c r="A728" s="248">
        <v>43400</v>
      </c>
      <c r="B728" s="249">
        <v>71.349999999999994</v>
      </c>
      <c r="C728" s="47">
        <f t="shared" si="24"/>
        <v>2.5291555430657642E-3</v>
      </c>
      <c r="E728" s="81"/>
      <c r="F728" s="82"/>
      <c r="G728" s="81">
        <v>43368</v>
      </c>
      <c r="H728" s="82">
        <v>244.28</v>
      </c>
      <c r="I728" s="173">
        <f t="shared" si="23"/>
        <v>-1.9074007147733218E-2</v>
      </c>
    </row>
    <row r="729" spans="1:9" ht="17.5">
      <c r="A729" s="248">
        <v>43403</v>
      </c>
      <c r="B729" s="249">
        <v>70.239999999999995</v>
      </c>
      <c r="C729" s="47">
        <f t="shared" si="24"/>
        <v>-1.5557112824106545E-2</v>
      </c>
      <c r="E729" s="81"/>
      <c r="F729" s="82"/>
      <c r="G729" s="81">
        <v>43369</v>
      </c>
      <c r="H729" s="82">
        <v>245.01</v>
      </c>
      <c r="I729" s="173">
        <f t="shared" si="23"/>
        <v>2.9883739970524292E-3</v>
      </c>
    </row>
    <row r="730" spans="1:9" ht="17.5">
      <c r="A730" s="248">
        <v>43404</v>
      </c>
      <c r="B730" s="249">
        <v>71.599999999999994</v>
      </c>
      <c r="C730" s="47">
        <f t="shared" si="24"/>
        <v>1.9362186788154823E-2</v>
      </c>
      <c r="E730" s="81"/>
      <c r="F730" s="82"/>
      <c r="G730" s="81">
        <v>43370</v>
      </c>
      <c r="H730" s="82">
        <v>241.76</v>
      </c>
      <c r="I730" s="173">
        <f t="shared" si="23"/>
        <v>-1.326476470348148E-2</v>
      </c>
    </row>
    <row r="731" spans="1:9" ht="17.5">
      <c r="A731" s="248">
        <v>43405</v>
      </c>
      <c r="B731" s="249">
        <v>71.05</v>
      </c>
      <c r="C731" s="47">
        <f t="shared" si="24"/>
        <v>-7.6815642458100131E-3</v>
      </c>
      <c r="E731" s="81"/>
      <c r="F731" s="82"/>
      <c r="G731" s="81">
        <v>43371</v>
      </c>
      <c r="H731" s="82">
        <v>240.73</v>
      </c>
      <c r="I731" s="173">
        <f t="shared" si="23"/>
        <v>-4.2604235605558927E-3</v>
      </c>
    </row>
    <row r="732" spans="1:9" ht="17.5">
      <c r="A732" s="248">
        <v>43406</v>
      </c>
      <c r="B732" s="249">
        <v>70.8</v>
      </c>
      <c r="C732" s="47">
        <f t="shared" si="24"/>
        <v>-3.5186488388458947E-3</v>
      </c>
      <c r="E732" s="81"/>
      <c r="F732" s="82"/>
      <c r="G732" s="81">
        <v>43372</v>
      </c>
      <c r="H732" s="82">
        <v>241.86</v>
      </c>
      <c r="I732" s="173">
        <f t="shared" si="23"/>
        <v>4.6940555809413809E-3</v>
      </c>
    </row>
    <row r="733" spans="1:9" ht="17.5">
      <c r="A733" s="248">
        <v>43407</v>
      </c>
      <c r="B733" s="249">
        <v>71.94</v>
      </c>
      <c r="C733" s="47">
        <f t="shared" si="24"/>
        <v>1.610169491525415E-2</v>
      </c>
      <c r="E733" s="81"/>
      <c r="F733" s="82"/>
      <c r="G733" s="81">
        <v>43375</v>
      </c>
      <c r="H733" s="82">
        <v>242.13</v>
      </c>
      <c r="I733" s="173">
        <f t="shared" si="23"/>
        <v>1.1163483006697561E-3</v>
      </c>
    </row>
    <row r="734" spans="1:9" ht="17.5">
      <c r="A734" s="248">
        <v>43410</v>
      </c>
      <c r="B734" s="249">
        <v>71.91</v>
      </c>
      <c r="C734" s="47">
        <f t="shared" si="24"/>
        <v>-4.170141784820558E-4</v>
      </c>
      <c r="E734" s="81"/>
      <c r="F734" s="82"/>
      <c r="G734" s="81">
        <v>43376</v>
      </c>
      <c r="H734" s="82">
        <v>247.15</v>
      </c>
      <c r="I734" s="173">
        <f t="shared" si="23"/>
        <v>2.0732664271259305E-2</v>
      </c>
    </row>
    <row r="735" spans="1:9" ht="17.5">
      <c r="A735" s="248">
        <v>43411</v>
      </c>
      <c r="B735" s="249">
        <v>72.41</v>
      </c>
      <c r="C735" s="47">
        <f t="shared" si="24"/>
        <v>6.9531358642747065E-3</v>
      </c>
      <c r="E735" s="81"/>
      <c r="F735" s="82"/>
      <c r="G735" s="81">
        <v>43377</v>
      </c>
      <c r="H735" s="82">
        <v>249.7</v>
      </c>
      <c r="I735" s="173">
        <f t="shared" si="23"/>
        <v>1.0317620878009137E-2</v>
      </c>
    </row>
    <row r="736" spans="1:9" ht="17.5">
      <c r="A736" s="248">
        <v>43412</v>
      </c>
      <c r="B736" s="249">
        <v>71.44</v>
      </c>
      <c r="C736" s="47">
        <f t="shared" si="24"/>
        <v>-1.3395939787322231E-2</v>
      </c>
      <c r="E736" s="81"/>
      <c r="F736" s="82"/>
      <c r="G736" s="81">
        <v>43378</v>
      </c>
      <c r="H736" s="82">
        <v>249.86</v>
      </c>
      <c r="I736" s="173">
        <f t="shared" si="23"/>
        <v>6.4076892270725772E-4</v>
      </c>
    </row>
    <row r="737" spans="1:9" ht="17.5">
      <c r="A737" s="248">
        <v>43413</v>
      </c>
      <c r="B737" s="249">
        <v>74.72</v>
      </c>
      <c r="C737" s="47">
        <f t="shared" si="24"/>
        <v>4.5912653975364037E-2</v>
      </c>
      <c r="E737" s="81"/>
      <c r="F737" s="82"/>
      <c r="G737" s="81">
        <v>43379</v>
      </c>
      <c r="H737" s="82">
        <v>246.52</v>
      </c>
      <c r="I737" s="173">
        <f t="shared" si="23"/>
        <v>-1.336748579204361E-2</v>
      </c>
    </row>
    <row r="738" spans="1:9" ht="17.5">
      <c r="A738" s="248">
        <v>43414</v>
      </c>
      <c r="B738" s="249">
        <v>74.7</v>
      </c>
      <c r="C738" s="47">
        <f t="shared" si="24"/>
        <v>-2.676659528907388E-4</v>
      </c>
      <c r="E738" s="81"/>
      <c r="F738" s="82"/>
      <c r="G738" s="81">
        <v>43382</v>
      </c>
      <c r="H738" s="82">
        <v>242.76</v>
      </c>
      <c r="I738" s="173">
        <f t="shared" si="23"/>
        <v>-1.5252312185623951E-2</v>
      </c>
    </row>
    <row r="739" spans="1:9" ht="17.5">
      <c r="A739" s="248">
        <v>43417</v>
      </c>
      <c r="B739" s="249">
        <v>74.069999999999993</v>
      </c>
      <c r="C739" s="47">
        <f t="shared" si="24"/>
        <v>-8.4337349397591854E-3</v>
      </c>
      <c r="E739" s="81"/>
      <c r="F739" s="82"/>
      <c r="G739" s="81">
        <v>43383</v>
      </c>
      <c r="H739" s="82">
        <v>238.05</v>
      </c>
      <c r="I739" s="173">
        <f t="shared" si="23"/>
        <v>-1.9401878398418115E-2</v>
      </c>
    </row>
    <row r="740" spans="1:9" ht="17.5">
      <c r="A740" s="248">
        <v>43418</v>
      </c>
      <c r="B740" s="249">
        <v>75.459999999999994</v>
      </c>
      <c r="C740" s="47">
        <f t="shared" si="24"/>
        <v>1.8766032131767307E-2</v>
      </c>
      <c r="E740" s="81"/>
      <c r="F740" s="82"/>
      <c r="G740" s="81">
        <v>43384</v>
      </c>
      <c r="H740" s="82">
        <v>238.2</v>
      </c>
      <c r="I740" s="173">
        <f t="shared" si="23"/>
        <v>6.3011972274717998E-4</v>
      </c>
    </row>
    <row r="741" spans="1:9" ht="17.5">
      <c r="A741" s="248">
        <v>43419</v>
      </c>
      <c r="B741" s="249">
        <v>75.459999999999994</v>
      </c>
      <c r="C741" s="47">
        <f t="shared" si="24"/>
        <v>0</v>
      </c>
      <c r="E741" s="81"/>
      <c r="F741" s="82"/>
      <c r="G741" s="81">
        <v>43385</v>
      </c>
      <c r="H741" s="82">
        <v>235.74</v>
      </c>
      <c r="I741" s="173">
        <f t="shared" si="23"/>
        <v>-1.0327455919395434E-2</v>
      </c>
    </row>
    <row r="742" spans="1:9" ht="17.5">
      <c r="A742" s="248">
        <v>43420</v>
      </c>
      <c r="B742" s="249">
        <v>74.78</v>
      </c>
      <c r="C742" s="47">
        <f t="shared" si="24"/>
        <v>-9.0113967664987582E-3</v>
      </c>
      <c r="E742" s="81"/>
      <c r="F742" s="82"/>
      <c r="G742" s="81">
        <v>43386</v>
      </c>
      <c r="H742" s="82">
        <v>237.27</v>
      </c>
      <c r="I742" s="173">
        <f t="shared" si="23"/>
        <v>6.490201068974244E-3</v>
      </c>
    </row>
    <row r="743" spans="1:9" ht="17.5">
      <c r="A743" s="248">
        <v>43421</v>
      </c>
      <c r="B743" s="249">
        <v>74.78</v>
      </c>
      <c r="C743" s="47">
        <f t="shared" si="24"/>
        <v>0</v>
      </c>
      <c r="E743" s="81"/>
      <c r="F743" s="82"/>
      <c r="G743" s="81">
        <v>43389</v>
      </c>
      <c r="H743" s="82">
        <v>238.83</v>
      </c>
      <c r="I743" s="173">
        <f t="shared" si="23"/>
        <v>6.574788215956584E-3</v>
      </c>
    </row>
    <row r="744" spans="1:9" ht="17.5">
      <c r="A744" s="248">
        <v>43424</v>
      </c>
      <c r="B744" s="249">
        <v>74.790000000000006</v>
      </c>
      <c r="C744" s="47">
        <f t="shared" si="24"/>
        <v>1.3372559507907056E-4</v>
      </c>
      <c r="E744" s="81"/>
      <c r="F744" s="82"/>
      <c r="G744" s="81">
        <v>43390</v>
      </c>
      <c r="H744" s="82">
        <v>241.48</v>
      </c>
      <c r="I744" s="173">
        <f t="shared" si="23"/>
        <v>1.1095758489301888E-2</v>
      </c>
    </row>
    <row r="745" spans="1:9" ht="17.5">
      <c r="A745" s="248">
        <v>43425</v>
      </c>
      <c r="B745" s="249">
        <v>75.569999999999993</v>
      </c>
      <c r="C745" s="47">
        <f t="shared" si="24"/>
        <v>1.0429201764941665E-2</v>
      </c>
      <c r="E745" s="81"/>
      <c r="F745" s="82"/>
      <c r="G745" s="81">
        <v>43391</v>
      </c>
      <c r="H745" s="82">
        <v>237.94</v>
      </c>
      <c r="I745" s="173">
        <f t="shared" si="23"/>
        <v>-1.4659599138645008E-2</v>
      </c>
    </row>
    <row r="746" spans="1:9" ht="17.5">
      <c r="A746" s="248">
        <v>43426</v>
      </c>
      <c r="B746" s="249">
        <v>76.06</v>
      </c>
      <c r="C746" s="47">
        <f t="shared" si="24"/>
        <v>6.4840545189890353E-3</v>
      </c>
      <c r="E746" s="81"/>
      <c r="F746" s="82"/>
      <c r="G746" s="81">
        <v>43392</v>
      </c>
      <c r="H746" s="82">
        <v>238.47</v>
      </c>
      <c r="I746" s="173">
        <f t="shared" si="23"/>
        <v>2.2274522988989798E-3</v>
      </c>
    </row>
    <row r="747" spans="1:9" ht="17.5">
      <c r="A747" s="248">
        <v>43428</v>
      </c>
      <c r="B747" s="249">
        <v>76.41</v>
      </c>
      <c r="C747" s="47">
        <f t="shared" si="24"/>
        <v>4.6016302918747698E-3</v>
      </c>
      <c r="E747" s="81"/>
      <c r="F747" s="82"/>
      <c r="G747" s="81">
        <v>43393</v>
      </c>
      <c r="H747" s="82">
        <v>238.58</v>
      </c>
      <c r="I747" s="173">
        <f t="shared" si="23"/>
        <v>4.6127395479511613E-4</v>
      </c>
    </row>
    <row r="748" spans="1:9" ht="17.5">
      <c r="A748" s="248">
        <v>43431</v>
      </c>
      <c r="B748" s="249">
        <v>76.11</v>
      </c>
      <c r="C748" s="47">
        <f t="shared" si="24"/>
        <v>-3.9261876717706645E-3</v>
      </c>
      <c r="E748" s="81"/>
      <c r="F748" s="82"/>
      <c r="G748" s="81">
        <v>43396</v>
      </c>
      <c r="H748" s="82">
        <v>232.55</v>
      </c>
      <c r="I748" s="173">
        <f t="shared" si="23"/>
        <v>-2.5274541034453812E-2</v>
      </c>
    </row>
    <row r="749" spans="1:9" ht="17.5">
      <c r="A749" s="248">
        <v>43432</v>
      </c>
      <c r="B749" s="249">
        <v>76.45</v>
      </c>
      <c r="C749" s="47">
        <f t="shared" si="24"/>
        <v>4.4672184995402375E-3</v>
      </c>
      <c r="E749" s="81"/>
      <c r="F749" s="82"/>
      <c r="G749" s="81">
        <v>43397</v>
      </c>
      <c r="H749" s="82">
        <v>232.64</v>
      </c>
      <c r="I749" s="173">
        <f t="shared" si="23"/>
        <v>3.8701354547399092E-4</v>
      </c>
    </row>
    <row r="750" spans="1:9" ht="17.5">
      <c r="A750" s="248">
        <v>43433</v>
      </c>
      <c r="B750" s="249">
        <v>77.319999999999993</v>
      </c>
      <c r="C750" s="47">
        <f t="shared" si="24"/>
        <v>1.1379986919555218E-2</v>
      </c>
      <c r="E750" s="81"/>
      <c r="F750" s="82"/>
      <c r="G750" s="81">
        <v>43398</v>
      </c>
      <c r="H750" s="82">
        <v>235.08</v>
      </c>
      <c r="I750" s="173">
        <f t="shared" si="23"/>
        <v>1.0488308115543354E-2</v>
      </c>
    </row>
    <row r="751" spans="1:9" ht="17.5">
      <c r="A751" s="248">
        <v>43434</v>
      </c>
      <c r="B751" s="249">
        <v>78.86</v>
      </c>
      <c r="C751" s="47">
        <f t="shared" si="24"/>
        <v>1.9917227108122271E-2</v>
      </c>
      <c r="E751" s="81"/>
      <c r="F751" s="82"/>
      <c r="G751" s="81">
        <v>43399</v>
      </c>
      <c r="H751" s="82">
        <v>236.08</v>
      </c>
      <c r="I751" s="173">
        <f t="shared" si="23"/>
        <v>4.2538710226305287E-3</v>
      </c>
    </row>
    <row r="752" spans="1:9" ht="17.5">
      <c r="A752" s="248">
        <v>43435</v>
      </c>
      <c r="B752" s="249">
        <v>78.53</v>
      </c>
      <c r="C752" s="47">
        <f t="shared" si="24"/>
        <v>-4.184630991630689E-3</v>
      </c>
      <c r="E752" s="81"/>
      <c r="F752" s="82"/>
      <c r="G752" s="81">
        <v>43400</v>
      </c>
      <c r="H752" s="82">
        <v>232.7</v>
      </c>
      <c r="I752" s="173">
        <f t="shared" si="23"/>
        <v>-1.4317180616740144E-2</v>
      </c>
    </row>
    <row r="753" spans="1:9" ht="17.5">
      <c r="A753" s="248">
        <v>43438</v>
      </c>
      <c r="B753" s="249">
        <v>77.319999999999993</v>
      </c>
      <c r="C753" s="47">
        <f t="shared" si="24"/>
        <v>-1.5408124283713298E-2</v>
      </c>
      <c r="E753" s="81"/>
      <c r="F753" s="82"/>
      <c r="G753" s="81">
        <v>43403</v>
      </c>
      <c r="H753" s="82">
        <v>233.14</v>
      </c>
      <c r="I753" s="173">
        <f t="shared" si="23"/>
        <v>1.8908465835840715E-3</v>
      </c>
    </row>
    <row r="754" spans="1:9" ht="17.5">
      <c r="A754" s="248">
        <v>43439</v>
      </c>
      <c r="B754" s="249">
        <v>76.900000000000006</v>
      </c>
      <c r="C754" s="47">
        <f t="shared" si="24"/>
        <v>-5.43197102948767E-3</v>
      </c>
      <c r="E754" s="81"/>
      <c r="F754" s="82"/>
      <c r="G754" s="81">
        <v>43404</v>
      </c>
      <c r="H754" s="82">
        <v>237.78</v>
      </c>
      <c r="I754" s="173">
        <f t="shared" si="23"/>
        <v>1.9902204683881042E-2</v>
      </c>
    </row>
    <row r="755" spans="1:9" ht="17.5">
      <c r="A755" s="248">
        <v>43440</v>
      </c>
      <c r="B755" s="249">
        <v>78.010000000000005</v>
      </c>
      <c r="C755" s="47">
        <f t="shared" si="24"/>
        <v>1.4434330299089693E-2</v>
      </c>
      <c r="E755" s="81"/>
      <c r="F755" s="82"/>
      <c r="G755" s="81">
        <v>43405</v>
      </c>
      <c r="H755" s="82">
        <v>239.09</v>
      </c>
      <c r="I755" s="173">
        <f t="shared" si="23"/>
        <v>5.5092943056607169E-3</v>
      </c>
    </row>
    <row r="756" spans="1:9" ht="17.5">
      <c r="A756" s="248">
        <v>43441</v>
      </c>
      <c r="B756" s="249">
        <v>77.87</v>
      </c>
      <c r="C756" s="47">
        <f t="shared" si="24"/>
        <v>-1.7946417126009084E-3</v>
      </c>
      <c r="E756" s="81"/>
      <c r="F756" s="82"/>
      <c r="G756" s="81">
        <v>43406</v>
      </c>
      <c r="H756" s="82">
        <v>237.17</v>
      </c>
      <c r="I756" s="173">
        <f t="shared" si="23"/>
        <v>-8.030448784976385E-3</v>
      </c>
    </row>
    <row r="757" spans="1:9" ht="17.5">
      <c r="A757" s="248">
        <v>43442</v>
      </c>
      <c r="B757" s="249">
        <v>77.33</v>
      </c>
      <c r="C757" s="47">
        <f t="shared" si="24"/>
        <v>-6.934634647489446E-3</v>
      </c>
      <c r="E757" s="81"/>
      <c r="F757" s="82"/>
      <c r="G757" s="81">
        <v>43407</v>
      </c>
      <c r="H757" s="82">
        <v>243.36</v>
      </c>
      <c r="I757" s="173">
        <f t="shared" si="23"/>
        <v>2.6099422355272628E-2</v>
      </c>
    </row>
    <row r="758" spans="1:9" ht="17.5">
      <c r="A758" s="248">
        <v>43445</v>
      </c>
      <c r="B758" s="249">
        <v>77.62</v>
      </c>
      <c r="C758" s="47">
        <f t="shared" si="24"/>
        <v>3.7501616448984976E-3</v>
      </c>
      <c r="E758" s="81"/>
      <c r="F758" s="82"/>
      <c r="G758" s="81">
        <v>43410</v>
      </c>
      <c r="H758" s="82">
        <v>245.9</v>
      </c>
      <c r="I758" s="173">
        <f t="shared" si="23"/>
        <v>1.0437212360289161E-2</v>
      </c>
    </row>
    <row r="759" spans="1:9" ht="17.5">
      <c r="A759" s="248">
        <v>43446</v>
      </c>
      <c r="B759" s="249">
        <v>78.36</v>
      </c>
      <c r="C759" s="47">
        <f t="shared" si="24"/>
        <v>9.5336253542901428E-3</v>
      </c>
      <c r="E759" s="81"/>
      <c r="F759" s="82"/>
      <c r="G759" s="81">
        <v>43411</v>
      </c>
      <c r="H759" s="82">
        <v>245.9</v>
      </c>
      <c r="I759" s="173">
        <f t="shared" si="23"/>
        <v>0</v>
      </c>
    </row>
    <row r="760" spans="1:9" ht="17.5">
      <c r="A760" s="248">
        <v>43447</v>
      </c>
      <c r="B760" s="249">
        <v>78.25</v>
      </c>
      <c r="C760" s="47">
        <f t="shared" si="24"/>
        <v>-1.4037774374681122E-3</v>
      </c>
      <c r="E760" s="81"/>
      <c r="F760" s="82"/>
      <c r="G760" s="81">
        <v>43412</v>
      </c>
      <c r="H760" s="82">
        <v>244.96</v>
      </c>
      <c r="I760" s="173">
        <f t="shared" si="23"/>
        <v>-3.8226921512809486E-3</v>
      </c>
    </row>
    <row r="761" spans="1:9" ht="17.5">
      <c r="A761" s="248">
        <v>43448</v>
      </c>
      <c r="B761" s="249">
        <v>77.83</v>
      </c>
      <c r="C761" s="47">
        <f t="shared" si="24"/>
        <v>-5.3674121405751229E-3</v>
      </c>
      <c r="E761" s="81"/>
      <c r="F761" s="82"/>
      <c r="G761" s="81">
        <v>43413</v>
      </c>
      <c r="H761" s="82">
        <v>243.72</v>
      </c>
      <c r="I761" s="173">
        <f t="shared" si="23"/>
        <v>-5.0620509470934438E-3</v>
      </c>
    </row>
    <row r="762" spans="1:9" ht="17.5">
      <c r="A762" s="248">
        <v>43449</v>
      </c>
      <c r="B762" s="249">
        <v>77.430000000000007</v>
      </c>
      <c r="C762" s="47">
        <f t="shared" si="24"/>
        <v>-5.1394063985608085E-3</v>
      </c>
      <c r="E762" s="81"/>
      <c r="F762" s="82"/>
      <c r="G762" s="81">
        <v>43414</v>
      </c>
      <c r="H762" s="82">
        <v>252.99</v>
      </c>
      <c r="I762" s="173">
        <f t="shared" si="23"/>
        <v>3.8035450516986646E-2</v>
      </c>
    </row>
    <row r="763" spans="1:9" ht="17.5">
      <c r="A763" s="248">
        <v>43452</v>
      </c>
      <c r="B763" s="249">
        <v>77</v>
      </c>
      <c r="C763" s="47">
        <f t="shared" si="24"/>
        <v>-5.5534030737440787E-3</v>
      </c>
      <c r="E763" s="81"/>
      <c r="F763" s="82"/>
      <c r="G763" s="81">
        <v>43417</v>
      </c>
      <c r="H763" s="82">
        <v>254.5</v>
      </c>
      <c r="I763" s="173">
        <f t="shared" si="23"/>
        <v>5.9686153602909187E-3</v>
      </c>
    </row>
    <row r="764" spans="1:9" ht="17.5">
      <c r="A764" s="248">
        <v>43453</v>
      </c>
      <c r="B764" s="249">
        <v>76.61</v>
      </c>
      <c r="C764" s="47">
        <f t="shared" si="24"/>
        <v>-5.0649350649351055E-3</v>
      </c>
      <c r="E764" s="81"/>
      <c r="F764" s="82"/>
      <c r="G764" s="81">
        <v>43418</v>
      </c>
      <c r="H764" s="82">
        <v>259.58</v>
      </c>
      <c r="I764" s="173">
        <f t="shared" si="23"/>
        <v>1.996070726915522E-2</v>
      </c>
    </row>
    <row r="765" spans="1:9" ht="17.5">
      <c r="A765" s="248">
        <v>43454</v>
      </c>
      <c r="B765" s="249">
        <v>77.62</v>
      </c>
      <c r="C765" s="47">
        <f t="shared" si="24"/>
        <v>1.3183657485968059E-2</v>
      </c>
      <c r="E765" s="81"/>
      <c r="F765" s="82"/>
      <c r="G765" s="81">
        <v>43419</v>
      </c>
      <c r="H765" s="82">
        <v>257.61</v>
      </c>
      <c r="I765" s="173">
        <f t="shared" si="23"/>
        <v>-7.5891825256182432E-3</v>
      </c>
    </row>
    <row r="766" spans="1:9" ht="17.5">
      <c r="A766" s="248">
        <v>43455</v>
      </c>
      <c r="B766" s="249">
        <v>77.22</v>
      </c>
      <c r="C766" s="47">
        <f t="shared" si="24"/>
        <v>-5.1533110023190831E-3</v>
      </c>
      <c r="E766" s="81"/>
      <c r="F766" s="82"/>
      <c r="G766" s="81">
        <v>43420</v>
      </c>
      <c r="H766" s="82">
        <v>255.93</v>
      </c>
      <c r="I766" s="173">
        <f t="shared" si="23"/>
        <v>-6.5214859671597347E-3</v>
      </c>
    </row>
    <row r="767" spans="1:9" ht="17.5">
      <c r="A767" s="248">
        <v>43456</v>
      </c>
      <c r="B767" s="249">
        <v>76.8</v>
      </c>
      <c r="C767" s="47">
        <f t="shared" si="24"/>
        <v>-5.4390054390054399E-3</v>
      </c>
      <c r="E767" s="81"/>
      <c r="F767" s="82"/>
      <c r="G767" s="81">
        <v>43421</v>
      </c>
      <c r="H767" s="82">
        <v>255.38</v>
      </c>
      <c r="I767" s="173">
        <f t="shared" si="23"/>
        <v>-2.1490251240574576E-3</v>
      </c>
    </row>
    <row r="768" spans="1:9" ht="17.5">
      <c r="A768" s="248">
        <v>43460</v>
      </c>
      <c r="B768" s="249">
        <v>76.34</v>
      </c>
      <c r="C768" s="47">
        <f t="shared" si="24"/>
        <v>-5.9895833333332149E-3</v>
      </c>
      <c r="E768" s="81"/>
      <c r="F768" s="82"/>
      <c r="G768" s="81">
        <v>43424</v>
      </c>
      <c r="H768" s="82">
        <v>252.71</v>
      </c>
      <c r="I768" s="173">
        <f t="shared" si="23"/>
        <v>-1.045500822304013E-2</v>
      </c>
    </row>
    <row r="769" spans="1:9" ht="17.5">
      <c r="A769" s="248">
        <v>43461</v>
      </c>
      <c r="B769" s="249">
        <v>76.06</v>
      </c>
      <c r="C769" s="47">
        <f t="shared" si="24"/>
        <v>-3.6678019386953142E-3</v>
      </c>
      <c r="E769" s="81"/>
      <c r="F769" s="82"/>
      <c r="G769" s="81">
        <v>43425</v>
      </c>
      <c r="H769" s="82">
        <v>252.28</v>
      </c>
      <c r="I769" s="173">
        <f t="shared" si="23"/>
        <v>-1.7015551422580044E-3</v>
      </c>
    </row>
    <row r="770" spans="1:9" ht="17.5">
      <c r="A770" s="248">
        <v>43462</v>
      </c>
      <c r="B770" s="249">
        <v>76.650000000000006</v>
      </c>
      <c r="C770" s="47">
        <f t="shared" si="24"/>
        <v>7.7570339205890182E-3</v>
      </c>
      <c r="E770" s="81"/>
      <c r="F770" s="82"/>
      <c r="G770" s="81">
        <v>43426</v>
      </c>
      <c r="H770" s="82">
        <v>253.28</v>
      </c>
      <c r="I770" s="173">
        <f t="shared" si="23"/>
        <v>3.963849690819643E-3</v>
      </c>
    </row>
    <row r="771" spans="1:9" ht="17.5">
      <c r="A771" s="248">
        <v>43463</v>
      </c>
      <c r="B771" s="249">
        <v>76.27</v>
      </c>
      <c r="C771" s="47">
        <f t="shared" si="24"/>
        <v>-4.9575994781475563E-3</v>
      </c>
      <c r="E771" s="81"/>
      <c r="F771" s="82"/>
      <c r="G771" s="81">
        <v>43427</v>
      </c>
      <c r="H771" s="82">
        <v>256.19</v>
      </c>
      <c r="I771" s="173">
        <f t="shared" si="23"/>
        <v>1.1489260897030951E-2</v>
      </c>
    </row>
    <row r="772" spans="1:9" ht="17.5">
      <c r="A772" s="248">
        <v>43467</v>
      </c>
      <c r="B772" s="249">
        <v>76.61</v>
      </c>
      <c r="C772" s="47">
        <f t="shared" si="24"/>
        <v>4.4578471220664273E-3</v>
      </c>
      <c r="E772" s="81"/>
      <c r="F772" s="82"/>
      <c r="G772" s="81">
        <v>43428</v>
      </c>
      <c r="H772" s="82">
        <v>254.73</v>
      </c>
      <c r="I772" s="173">
        <f t="shared" si="23"/>
        <v>-5.6988953511066809E-3</v>
      </c>
    </row>
    <row r="773" spans="1:9" ht="17.5">
      <c r="A773" s="248">
        <v>43468</v>
      </c>
      <c r="B773" s="249">
        <v>77.540000000000006</v>
      </c>
      <c r="C773" s="47">
        <f t="shared" si="24"/>
        <v>1.2139407388069623E-2</v>
      </c>
      <c r="E773" s="81"/>
      <c r="F773" s="82"/>
      <c r="G773" s="81">
        <v>43431</v>
      </c>
      <c r="H773" s="82">
        <v>253.35</v>
      </c>
      <c r="I773" s="173">
        <f t="shared" si="23"/>
        <v>-5.4175008832881844E-3</v>
      </c>
    </row>
    <row r="774" spans="1:9" ht="17.5">
      <c r="A774" s="248">
        <v>43469</v>
      </c>
      <c r="B774" s="249">
        <v>76.84</v>
      </c>
      <c r="C774" s="47">
        <f t="shared" si="24"/>
        <v>-9.0275986587567969E-3</v>
      </c>
      <c r="E774" s="81"/>
      <c r="F774" s="82"/>
      <c r="G774" s="81">
        <v>43432</v>
      </c>
      <c r="H774" s="82">
        <v>258.19</v>
      </c>
      <c r="I774" s="173">
        <f t="shared" si="23"/>
        <v>1.9104006315374011E-2</v>
      </c>
    </row>
    <row r="775" spans="1:9" ht="17.5">
      <c r="A775" s="248">
        <v>43470</v>
      </c>
      <c r="B775" s="249">
        <v>78.2</v>
      </c>
      <c r="C775" s="47">
        <f t="shared" si="24"/>
        <v>1.7699115044247815E-2</v>
      </c>
      <c r="E775" s="81"/>
      <c r="F775" s="82"/>
      <c r="G775" s="81">
        <v>43433</v>
      </c>
      <c r="H775" s="82">
        <v>263.56</v>
      </c>
      <c r="I775" s="173">
        <f t="shared" si="23"/>
        <v>2.0798636662922698E-2</v>
      </c>
    </row>
    <row r="776" spans="1:9" ht="17.5">
      <c r="A776" s="248">
        <v>43473</v>
      </c>
      <c r="B776" s="249">
        <v>78.05</v>
      </c>
      <c r="C776" s="47">
        <f t="shared" si="24"/>
        <v>-1.9181585677749968E-3</v>
      </c>
      <c r="E776" s="81"/>
      <c r="F776" s="82"/>
      <c r="G776" s="81">
        <v>43434</v>
      </c>
      <c r="H776" s="82">
        <v>264.58</v>
      </c>
      <c r="I776" s="173">
        <f t="shared" si="23"/>
        <v>3.8700865078160618E-3</v>
      </c>
    </row>
    <row r="777" spans="1:9" ht="17.5">
      <c r="A777" s="248">
        <v>43474</v>
      </c>
      <c r="B777" s="249">
        <v>77.56</v>
      </c>
      <c r="C777" s="47">
        <f t="shared" si="24"/>
        <v>-6.2780269058295701E-3</v>
      </c>
      <c r="E777" s="81"/>
      <c r="F777" s="82"/>
      <c r="G777" s="81">
        <v>43435</v>
      </c>
      <c r="H777" s="82">
        <v>264.83999999999997</v>
      </c>
      <c r="I777" s="173">
        <f t="shared" si="23"/>
        <v>9.8268954569502576E-4</v>
      </c>
    </row>
    <row r="778" spans="1:9" ht="17.5">
      <c r="A778" s="248">
        <v>43475</v>
      </c>
      <c r="B778" s="249">
        <v>78.45</v>
      </c>
      <c r="C778" s="47">
        <f t="shared" si="24"/>
        <v>1.1474987106756096E-2</v>
      </c>
      <c r="E778" s="81"/>
      <c r="F778" s="82"/>
      <c r="G778" s="81">
        <v>43438</v>
      </c>
      <c r="H778" s="82">
        <v>266.39</v>
      </c>
      <c r="I778" s="173">
        <f t="shared" si="23"/>
        <v>5.8525902431656451E-3</v>
      </c>
    </row>
    <row r="779" spans="1:9" ht="17.5">
      <c r="A779" s="248">
        <v>43476</v>
      </c>
      <c r="B779" s="249">
        <v>79.37</v>
      </c>
      <c r="C779" s="47">
        <f t="shared" si="24"/>
        <v>1.1727214786488194E-2</v>
      </c>
      <c r="E779" s="81"/>
      <c r="F779" s="82"/>
      <c r="G779" s="81">
        <v>43439</v>
      </c>
      <c r="H779" s="82">
        <v>264.55</v>
      </c>
      <c r="I779" s="173">
        <f t="shared" si="23"/>
        <v>-6.9071661849167132E-3</v>
      </c>
    </row>
    <row r="780" spans="1:9" ht="17.5">
      <c r="A780" s="248">
        <v>43477</v>
      </c>
      <c r="B780" s="249">
        <v>79.180000000000007</v>
      </c>
      <c r="C780" s="47">
        <f t="shared" si="24"/>
        <v>-2.3938515812019778E-3</v>
      </c>
      <c r="E780" s="81"/>
      <c r="F780" s="82"/>
      <c r="G780" s="81">
        <v>43440</v>
      </c>
      <c r="H780" s="82">
        <v>261.37</v>
      </c>
      <c r="I780" s="173">
        <f t="shared" si="23"/>
        <v>-1.2020412020412041E-2</v>
      </c>
    </row>
    <row r="781" spans="1:9" ht="17.5">
      <c r="A781" s="248">
        <v>43481</v>
      </c>
      <c r="B781" s="249">
        <v>79.27</v>
      </c>
      <c r="C781" s="47">
        <f t="shared" si="24"/>
        <v>1.1366506693608613E-3</v>
      </c>
      <c r="E781" s="81"/>
      <c r="F781" s="82"/>
      <c r="G781" s="81">
        <v>43441</v>
      </c>
      <c r="H781" s="82">
        <v>264.12</v>
      </c>
      <c r="I781" s="173">
        <f t="shared" si="23"/>
        <v>1.0521482955197614E-2</v>
      </c>
    </row>
    <row r="782" spans="1:9" ht="17.5">
      <c r="A782" s="248">
        <v>43482</v>
      </c>
      <c r="B782" s="249">
        <v>80.2</v>
      </c>
      <c r="C782" s="47">
        <f t="shared" si="24"/>
        <v>1.173205500189245E-2</v>
      </c>
      <c r="E782" s="81"/>
      <c r="F782" s="82"/>
      <c r="G782" s="81">
        <v>43442</v>
      </c>
      <c r="H782" s="82">
        <v>265</v>
      </c>
      <c r="I782" s="173">
        <f t="shared" si="23"/>
        <v>3.3318188702105012E-3</v>
      </c>
    </row>
    <row r="783" spans="1:9" ht="17.5">
      <c r="A783" s="248">
        <v>43483</v>
      </c>
      <c r="B783" s="249">
        <v>79.98</v>
      </c>
      <c r="C783" s="47">
        <f t="shared" si="24"/>
        <v>-2.7431421446384441E-3</v>
      </c>
      <c r="E783" s="81"/>
      <c r="F783" s="82"/>
      <c r="G783" s="81">
        <v>43445</v>
      </c>
      <c r="H783" s="82">
        <v>261.68</v>
      </c>
      <c r="I783" s="173">
        <f t="shared" si="23"/>
        <v>-1.2528301886792437E-2</v>
      </c>
    </row>
    <row r="784" spans="1:9" ht="17.5">
      <c r="A784" s="248">
        <v>43484</v>
      </c>
      <c r="B784" s="249">
        <v>79.8</v>
      </c>
      <c r="C784" s="47">
        <f t="shared" si="24"/>
        <v>-2.2505626406602586E-3</v>
      </c>
      <c r="E784" s="81"/>
      <c r="F784" s="82"/>
      <c r="G784" s="81">
        <v>43446</v>
      </c>
      <c r="H784" s="82">
        <v>262.49</v>
      </c>
      <c r="I784" s="173">
        <f t="shared" ref="I784:I847" si="25">H784/H783-1</f>
        <v>3.0953836747171781E-3</v>
      </c>
    </row>
    <row r="785" spans="1:9" ht="17.5">
      <c r="A785" s="248">
        <v>43487</v>
      </c>
      <c r="B785" s="249">
        <v>79.75</v>
      </c>
      <c r="C785" s="47">
        <f t="shared" ref="C785:C848" si="26">B785/B784-1</f>
        <v>-6.2656641604008634E-4</v>
      </c>
      <c r="E785" s="81"/>
      <c r="F785" s="82"/>
      <c r="G785" s="81">
        <v>43447</v>
      </c>
      <c r="H785" s="82">
        <v>264.10000000000002</v>
      </c>
      <c r="I785" s="173">
        <f t="shared" si="25"/>
        <v>6.1335669930282499E-3</v>
      </c>
    </row>
    <row r="786" spans="1:9" ht="17.5">
      <c r="A786" s="248">
        <v>43488</v>
      </c>
      <c r="B786" s="249">
        <v>80.099999999999994</v>
      </c>
      <c r="C786" s="47">
        <f t="shared" si="26"/>
        <v>4.3887147335421872E-3</v>
      </c>
      <c r="E786" s="81"/>
      <c r="F786" s="82"/>
      <c r="G786" s="81">
        <v>43448</v>
      </c>
      <c r="H786" s="82">
        <v>260.86</v>
      </c>
      <c r="I786" s="173">
        <f t="shared" si="25"/>
        <v>-1.2268080272624049E-2</v>
      </c>
    </row>
    <row r="787" spans="1:9" ht="17.5">
      <c r="A787" s="248">
        <v>43489</v>
      </c>
      <c r="B787" s="249">
        <v>80.05</v>
      </c>
      <c r="C787" s="47">
        <f t="shared" si="26"/>
        <v>-6.2421972534332237E-4</v>
      </c>
      <c r="E787" s="81"/>
      <c r="F787" s="82"/>
      <c r="G787" s="81">
        <v>43449</v>
      </c>
      <c r="H787" s="82">
        <v>259.95</v>
      </c>
      <c r="I787" s="173">
        <f t="shared" si="25"/>
        <v>-3.4884612435790441E-3</v>
      </c>
    </row>
    <row r="788" spans="1:9" ht="17.5">
      <c r="A788" s="248">
        <v>43490</v>
      </c>
      <c r="B788" s="249">
        <v>80.05</v>
      </c>
      <c r="C788" s="47">
        <f t="shared" si="26"/>
        <v>0</v>
      </c>
      <c r="E788" s="81"/>
      <c r="F788" s="82"/>
      <c r="G788" s="81">
        <v>43452</v>
      </c>
      <c r="H788" s="82">
        <v>259.83</v>
      </c>
      <c r="I788" s="173">
        <f t="shared" si="25"/>
        <v>-4.6162723600695621E-4</v>
      </c>
    </row>
    <row r="789" spans="1:9" ht="17.5">
      <c r="A789" s="248">
        <v>43491</v>
      </c>
      <c r="B789" s="249">
        <v>79.900000000000006</v>
      </c>
      <c r="C789" s="47">
        <f t="shared" si="26"/>
        <v>-1.8738288569642991E-3</v>
      </c>
      <c r="E789" s="81"/>
      <c r="F789" s="82"/>
      <c r="G789" s="81">
        <v>43453</v>
      </c>
      <c r="H789" s="82">
        <v>258.14999999999998</v>
      </c>
      <c r="I789" s="173">
        <f t="shared" si="25"/>
        <v>-6.4657660778201231E-3</v>
      </c>
    </row>
    <row r="790" spans="1:9" ht="17.5">
      <c r="A790" s="248">
        <v>43494</v>
      </c>
      <c r="B790" s="249">
        <v>78.88</v>
      </c>
      <c r="C790" s="47">
        <f t="shared" si="26"/>
        <v>-1.276595744680864E-2</v>
      </c>
      <c r="E790" s="81"/>
      <c r="F790" s="82"/>
      <c r="G790" s="81">
        <v>43454</v>
      </c>
      <c r="H790" s="82">
        <v>258.75</v>
      </c>
      <c r="I790" s="173">
        <f t="shared" si="25"/>
        <v>2.3242300987798004E-3</v>
      </c>
    </row>
    <row r="791" spans="1:9" ht="17.5">
      <c r="A791" s="248">
        <v>43495</v>
      </c>
      <c r="B791" s="249">
        <v>79.27</v>
      </c>
      <c r="C791" s="47">
        <f t="shared" si="26"/>
        <v>4.9442190669370945E-3</v>
      </c>
      <c r="E791" s="81"/>
      <c r="F791" s="82"/>
      <c r="G791" s="81">
        <v>43455</v>
      </c>
      <c r="H791" s="82">
        <v>260.16000000000003</v>
      </c>
      <c r="I791" s="173">
        <f t="shared" si="25"/>
        <v>5.4492753623189838E-3</v>
      </c>
    </row>
    <row r="792" spans="1:9" ht="17.5">
      <c r="A792" s="248">
        <v>43496</v>
      </c>
      <c r="B792" s="249">
        <v>80.77</v>
      </c>
      <c r="C792" s="47">
        <f t="shared" si="26"/>
        <v>1.8922669357890776E-2</v>
      </c>
      <c r="E792" s="81"/>
      <c r="F792" s="82"/>
      <c r="G792" s="81">
        <v>43456</v>
      </c>
      <c r="H792" s="82">
        <v>258.07</v>
      </c>
      <c r="I792" s="173">
        <f t="shared" si="25"/>
        <v>-8.033517835178472E-3</v>
      </c>
    </row>
    <row r="793" spans="1:9" ht="17.5">
      <c r="A793" s="248">
        <v>43497</v>
      </c>
      <c r="B793" s="249">
        <v>81.03</v>
      </c>
      <c r="C793" s="47">
        <f t="shared" si="26"/>
        <v>3.2190169617432041E-3</v>
      </c>
      <c r="E793" s="81"/>
      <c r="F793" s="82"/>
      <c r="G793" s="81">
        <v>43459</v>
      </c>
      <c r="H793" s="82">
        <v>258.76</v>
      </c>
      <c r="I793" s="173">
        <f t="shared" si="25"/>
        <v>2.6736931840198874E-3</v>
      </c>
    </row>
    <row r="794" spans="1:9" ht="17.5">
      <c r="A794" s="248">
        <v>43498</v>
      </c>
      <c r="B794" s="249">
        <v>79.92</v>
      </c>
      <c r="C794" s="47">
        <f t="shared" si="26"/>
        <v>-1.3698630136986245E-2</v>
      </c>
      <c r="E794" s="81"/>
      <c r="F794" s="82"/>
      <c r="G794" s="81">
        <v>43460</v>
      </c>
      <c r="H794" s="82">
        <v>259.57</v>
      </c>
      <c r="I794" s="173">
        <f t="shared" si="25"/>
        <v>3.1303138042975132E-3</v>
      </c>
    </row>
    <row r="795" spans="1:9" ht="17.5">
      <c r="A795" s="248">
        <v>43501</v>
      </c>
      <c r="B795" s="249">
        <v>78.790000000000006</v>
      </c>
      <c r="C795" s="47">
        <f t="shared" si="26"/>
        <v>-1.4139139139139112E-2</v>
      </c>
      <c r="E795" s="81"/>
      <c r="F795" s="82"/>
      <c r="G795" s="81">
        <v>43461</v>
      </c>
      <c r="H795" s="82">
        <v>259.97000000000003</v>
      </c>
      <c r="I795" s="173">
        <f t="shared" si="25"/>
        <v>1.5410101321418068E-3</v>
      </c>
    </row>
    <row r="796" spans="1:9" ht="17.5">
      <c r="A796" s="248">
        <v>43502</v>
      </c>
      <c r="B796" s="249">
        <v>78.86</v>
      </c>
      <c r="C796" s="47">
        <f t="shared" si="26"/>
        <v>8.8843761898704798E-4</v>
      </c>
      <c r="E796" s="81"/>
      <c r="F796" s="82"/>
      <c r="G796" s="81">
        <v>43462</v>
      </c>
      <c r="H796" s="82">
        <v>260.64</v>
      </c>
      <c r="I796" s="173">
        <f t="shared" si="25"/>
        <v>2.5772204485130512E-3</v>
      </c>
    </row>
    <row r="797" spans="1:9" ht="17.5">
      <c r="A797" s="248">
        <v>43503</v>
      </c>
      <c r="B797" s="249">
        <v>78.81</v>
      </c>
      <c r="C797" s="47">
        <f t="shared" si="26"/>
        <v>-6.3403499873193603E-4</v>
      </c>
      <c r="E797" s="81"/>
      <c r="F797" s="82"/>
      <c r="G797" s="81">
        <v>43463</v>
      </c>
      <c r="H797" s="82">
        <v>260.42</v>
      </c>
      <c r="I797" s="173">
        <f t="shared" si="25"/>
        <v>-8.4407612031911494E-4</v>
      </c>
    </row>
    <row r="798" spans="1:9" ht="17.5">
      <c r="A798" s="248">
        <v>43504</v>
      </c>
      <c r="B798" s="249">
        <v>78.3</v>
      </c>
      <c r="C798" s="47">
        <f t="shared" si="26"/>
        <v>-6.4712599923868463E-3</v>
      </c>
      <c r="E798" s="81"/>
      <c r="F798" s="82"/>
      <c r="G798" s="81">
        <v>43466</v>
      </c>
      <c r="H798" s="82">
        <v>260.49</v>
      </c>
      <c r="I798" s="173">
        <f t="shared" si="25"/>
        <v>2.6879655940392766E-4</v>
      </c>
    </row>
    <row r="799" spans="1:9" ht="17.5">
      <c r="A799" s="248">
        <v>43505</v>
      </c>
      <c r="B799" s="249">
        <v>77.69</v>
      </c>
      <c r="C799" s="47">
        <f t="shared" si="26"/>
        <v>-7.7905491698595508E-3</v>
      </c>
      <c r="E799" s="81"/>
      <c r="F799" s="82"/>
      <c r="G799" s="81">
        <v>43467</v>
      </c>
      <c r="H799" s="82">
        <v>262.48</v>
      </c>
      <c r="I799" s="173">
        <f t="shared" si="25"/>
        <v>7.6394487312372306E-3</v>
      </c>
    </row>
    <row r="800" spans="1:9" ht="17.5">
      <c r="A800" s="248">
        <v>43508</v>
      </c>
      <c r="B800" s="249">
        <v>77.91</v>
      </c>
      <c r="C800" s="47">
        <f t="shared" si="26"/>
        <v>2.8317672802162797E-3</v>
      </c>
      <c r="E800" s="81"/>
      <c r="F800" s="82"/>
      <c r="G800" s="81">
        <v>43468</v>
      </c>
      <c r="H800" s="82">
        <v>265.35000000000002</v>
      </c>
      <c r="I800" s="173">
        <f t="shared" si="25"/>
        <v>1.0934166412678969E-2</v>
      </c>
    </row>
    <row r="801" spans="1:9" ht="17.5">
      <c r="A801" s="248">
        <v>43509</v>
      </c>
      <c r="B801" s="249">
        <v>77.959999999999994</v>
      </c>
      <c r="C801" s="47">
        <f t="shared" si="26"/>
        <v>6.4176614041833169E-4</v>
      </c>
      <c r="E801" s="81"/>
      <c r="F801" s="82"/>
      <c r="G801" s="81">
        <v>43469</v>
      </c>
      <c r="H801" s="82">
        <v>267.16000000000003</v>
      </c>
      <c r="I801" s="173">
        <f t="shared" si="25"/>
        <v>6.8211795741472958E-3</v>
      </c>
    </row>
    <row r="802" spans="1:9" ht="17.5">
      <c r="A802" s="248">
        <v>43510</v>
      </c>
      <c r="B802" s="249">
        <v>77.73</v>
      </c>
      <c r="C802" s="47">
        <f t="shared" si="26"/>
        <v>-2.9502308876345751E-3</v>
      </c>
      <c r="E802" s="81"/>
      <c r="F802" s="82"/>
      <c r="G802" s="81">
        <v>43470</v>
      </c>
      <c r="H802" s="82">
        <v>268.10000000000002</v>
      </c>
      <c r="I802" s="173">
        <f t="shared" si="25"/>
        <v>3.5184907920347008E-3</v>
      </c>
    </row>
    <row r="803" spans="1:9" ht="17.5">
      <c r="A803" s="248">
        <v>43511</v>
      </c>
      <c r="B803" s="249">
        <v>77.22</v>
      </c>
      <c r="C803" s="47">
        <f t="shared" si="26"/>
        <v>-6.5611732921652122E-3</v>
      </c>
      <c r="E803" s="81"/>
      <c r="F803" s="82"/>
      <c r="G803" s="81">
        <v>43473</v>
      </c>
      <c r="H803" s="82">
        <v>272.95999999999998</v>
      </c>
      <c r="I803" s="173">
        <f t="shared" si="25"/>
        <v>1.8127564341663405E-2</v>
      </c>
    </row>
    <row r="804" spans="1:9" ht="17.5">
      <c r="A804" s="248">
        <v>43512</v>
      </c>
      <c r="B804" s="249">
        <v>77.25</v>
      </c>
      <c r="C804" s="47">
        <f t="shared" si="26"/>
        <v>3.8850038850046786E-4</v>
      </c>
      <c r="E804" s="81"/>
      <c r="F804" s="82"/>
      <c r="G804" s="81">
        <v>43474</v>
      </c>
      <c r="H804" s="82">
        <v>273.58</v>
      </c>
      <c r="I804" s="173">
        <f t="shared" si="25"/>
        <v>2.2713950762016655E-3</v>
      </c>
    </row>
    <row r="805" spans="1:9" ht="17.5">
      <c r="A805" s="248">
        <v>43516</v>
      </c>
      <c r="B805" s="249">
        <v>76.08</v>
      </c>
      <c r="C805" s="47">
        <f t="shared" si="26"/>
        <v>-1.5145631067961185E-2</v>
      </c>
      <c r="E805" s="81"/>
      <c r="F805" s="82"/>
      <c r="G805" s="81">
        <v>43475</v>
      </c>
      <c r="H805" s="82">
        <v>274.13</v>
      </c>
      <c r="I805" s="173">
        <f t="shared" si="25"/>
        <v>2.0103808757949704E-3</v>
      </c>
    </row>
    <row r="806" spans="1:9" ht="17.5">
      <c r="A806" s="248">
        <v>43517</v>
      </c>
      <c r="B806" s="249">
        <v>76.38</v>
      </c>
      <c r="C806" s="47">
        <f t="shared" si="26"/>
        <v>3.9432176656151174E-3</v>
      </c>
      <c r="E806" s="81"/>
      <c r="F806" s="82"/>
      <c r="G806" s="81">
        <v>43476</v>
      </c>
      <c r="H806" s="82">
        <v>274.58999999999997</v>
      </c>
      <c r="I806" s="173">
        <f t="shared" si="25"/>
        <v>1.6780359683361556E-3</v>
      </c>
    </row>
    <row r="807" spans="1:9" ht="17.5">
      <c r="A807" s="248">
        <v>43518</v>
      </c>
      <c r="B807" s="249">
        <v>77.599999999999994</v>
      </c>
      <c r="C807" s="47">
        <f t="shared" si="26"/>
        <v>1.5972767740246141E-2</v>
      </c>
      <c r="E807" s="81"/>
      <c r="F807" s="82"/>
      <c r="G807" s="81">
        <v>43477</v>
      </c>
      <c r="H807" s="82">
        <v>277.44</v>
      </c>
      <c r="I807" s="173">
        <f t="shared" si="25"/>
        <v>1.0379110674096026E-2</v>
      </c>
    </row>
    <row r="808" spans="1:9" ht="17.5">
      <c r="A808" s="248">
        <v>43519</v>
      </c>
      <c r="B808" s="249">
        <v>77.069999999999993</v>
      </c>
      <c r="C808" s="47">
        <f t="shared" si="26"/>
        <v>-6.8298969072164706E-3</v>
      </c>
      <c r="E808" s="179"/>
      <c r="F808" s="82"/>
      <c r="G808" s="81">
        <v>43480</v>
      </c>
      <c r="H808" s="82">
        <v>277.58999999999997</v>
      </c>
      <c r="I808" s="173">
        <f t="shared" si="25"/>
        <v>5.4065743944620159E-4</v>
      </c>
    </row>
    <row r="809" spans="1:9" ht="17.5">
      <c r="A809" s="248">
        <v>43522</v>
      </c>
      <c r="B809" s="249">
        <v>77.459999999999994</v>
      </c>
      <c r="C809" s="47">
        <f t="shared" si="26"/>
        <v>5.060334760607299E-3</v>
      </c>
      <c r="E809" s="179"/>
      <c r="F809" s="82"/>
      <c r="G809" s="81">
        <v>43481</v>
      </c>
      <c r="H809" s="82">
        <v>276.54000000000002</v>
      </c>
      <c r="I809" s="173">
        <f t="shared" si="25"/>
        <v>-3.7825570085375793E-3</v>
      </c>
    </row>
    <row r="810" spans="1:9" ht="17.5">
      <c r="A810" s="248">
        <v>43523</v>
      </c>
      <c r="B810" s="249">
        <v>77.13</v>
      </c>
      <c r="C810" s="47">
        <f t="shared" si="26"/>
        <v>-4.2602633617350172E-3</v>
      </c>
      <c r="E810" s="81"/>
      <c r="F810" s="82"/>
      <c r="G810" s="81">
        <v>43482</v>
      </c>
      <c r="H810" s="82">
        <v>277.35000000000002</v>
      </c>
      <c r="I810" s="173">
        <f t="shared" si="25"/>
        <v>2.9290518550662004E-3</v>
      </c>
    </row>
    <row r="811" spans="1:9" ht="17.5">
      <c r="A811" s="248">
        <v>43524</v>
      </c>
      <c r="B811" s="249">
        <v>76.62</v>
      </c>
      <c r="C811" s="47">
        <f t="shared" si="26"/>
        <v>-6.6122131466354039E-3</v>
      </c>
      <c r="E811" s="81"/>
      <c r="F811" s="82"/>
      <c r="G811" s="81">
        <v>43483</v>
      </c>
      <c r="H811" s="82">
        <v>277.02999999999997</v>
      </c>
      <c r="I811" s="173">
        <f t="shared" si="25"/>
        <v>-1.1537768162972473E-3</v>
      </c>
    </row>
    <row r="812" spans="1:9" ht="17.5">
      <c r="A812" s="248">
        <v>43525</v>
      </c>
      <c r="B812" s="249">
        <v>76.34</v>
      </c>
      <c r="C812" s="47">
        <f t="shared" si="26"/>
        <v>-3.6543983294179405E-3</v>
      </c>
      <c r="E812" s="180"/>
      <c r="F812" s="82"/>
      <c r="G812" s="81">
        <v>43484</v>
      </c>
      <c r="H812" s="82">
        <v>279.04000000000002</v>
      </c>
      <c r="I812" s="173">
        <f t="shared" si="25"/>
        <v>7.2555318918530176E-3</v>
      </c>
    </row>
    <row r="813" spans="1:9" ht="17.5">
      <c r="A813" s="248">
        <v>43526</v>
      </c>
      <c r="B813" s="249">
        <v>77.510000000000005</v>
      </c>
      <c r="C813" s="47">
        <f t="shared" si="26"/>
        <v>1.5326172386691095E-2</v>
      </c>
      <c r="E813" s="81"/>
      <c r="F813" s="82"/>
      <c r="G813" s="81">
        <v>43487</v>
      </c>
      <c r="H813" s="82">
        <v>279.8</v>
      </c>
      <c r="I813" s="173">
        <f t="shared" si="25"/>
        <v>2.7236238532108992E-3</v>
      </c>
    </row>
    <row r="814" spans="1:9" ht="17.5">
      <c r="A814" s="248">
        <v>43529</v>
      </c>
      <c r="B814" s="249">
        <v>77.2</v>
      </c>
      <c r="C814" s="47">
        <f t="shared" si="26"/>
        <v>-3.9994839375564473E-3</v>
      </c>
      <c r="E814" s="81"/>
      <c r="F814" s="82"/>
      <c r="G814" s="81">
        <v>43488</v>
      </c>
      <c r="H814" s="82">
        <v>279.85000000000002</v>
      </c>
      <c r="I814" s="173">
        <f t="shared" si="25"/>
        <v>1.7869907076484282E-4</v>
      </c>
    </row>
    <row r="815" spans="1:9" ht="17.5">
      <c r="A815" s="248">
        <v>43530</v>
      </c>
      <c r="B815" s="249">
        <v>76.89</v>
      </c>
      <c r="C815" s="47">
        <f t="shared" si="26"/>
        <v>-4.0155440414507693E-3</v>
      </c>
      <c r="E815" s="81"/>
      <c r="F815" s="82"/>
      <c r="G815" s="81">
        <v>43489</v>
      </c>
      <c r="H815" s="82">
        <v>279.63</v>
      </c>
      <c r="I815" s="173">
        <f t="shared" si="25"/>
        <v>-7.8613542969452332E-4</v>
      </c>
    </row>
    <row r="816" spans="1:9" ht="17.5">
      <c r="A816" s="248">
        <v>43531</v>
      </c>
      <c r="B816" s="249">
        <v>76.52</v>
      </c>
      <c r="C816" s="47">
        <f t="shared" si="26"/>
        <v>-4.8120691897516332E-3</v>
      </c>
      <c r="E816" s="81"/>
      <c r="F816" s="82"/>
      <c r="G816" s="81">
        <v>43490</v>
      </c>
      <c r="H816" s="82">
        <v>281.95999999999998</v>
      </c>
      <c r="I816" s="173">
        <f t="shared" si="25"/>
        <v>8.3324392947823345E-3</v>
      </c>
    </row>
    <row r="817" spans="1:9" ht="17.5">
      <c r="A817" s="248">
        <v>43532</v>
      </c>
      <c r="B817" s="249">
        <v>76.540000000000006</v>
      </c>
      <c r="C817" s="47">
        <f t="shared" si="26"/>
        <v>2.6136957658140503E-4</v>
      </c>
      <c r="E817" s="81"/>
      <c r="F817" s="82"/>
      <c r="G817" s="81">
        <v>43491</v>
      </c>
      <c r="H817" s="82">
        <v>280.89</v>
      </c>
      <c r="I817" s="173">
        <f t="shared" si="25"/>
        <v>-3.7948645197900532E-3</v>
      </c>
    </row>
    <row r="818" spans="1:9" ht="17.5">
      <c r="A818" s="248">
        <v>43533</v>
      </c>
      <c r="B818" s="249">
        <v>77.260000000000005</v>
      </c>
      <c r="C818" s="47">
        <f t="shared" si="26"/>
        <v>9.4068460935459175E-3</v>
      </c>
      <c r="E818" s="81"/>
      <c r="F818" s="82"/>
      <c r="G818" s="81">
        <v>43494</v>
      </c>
      <c r="H818" s="82">
        <v>279.37</v>
      </c>
      <c r="I818" s="173">
        <f t="shared" si="25"/>
        <v>-5.4113709993235393E-3</v>
      </c>
    </row>
    <row r="819" spans="1:9" ht="17.5">
      <c r="A819" s="248">
        <v>43536</v>
      </c>
      <c r="B819" s="249">
        <v>77.13</v>
      </c>
      <c r="C819" s="47">
        <f t="shared" si="26"/>
        <v>-1.6826300802486038E-3</v>
      </c>
      <c r="E819" s="81"/>
      <c r="F819" s="82"/>
      <c r="G819" s="81">
        <v>43495</v>
      </c>
      <c r="H819" s="82">
        <v>277.64999999999998</v>
      </c>
      <c r="I819" s="173">
        <f t="shared" si="25"/>
        <v>-6.1567097397717818E-3</v>
      </c>
    </row>
    <row r="820" spans="1:9" ht="17.5">
      <c r="A820" s="248">
        <v>43537</v>
      </c>
      <c r="B820" s="249">
        <v>76.92</v>
      </c>
      <c r="C820" s="47">
        <f t="shared" si="26"/>
        <v>-2.722676001555735E-3</v>
      </c>
      <c r="E820" s="81"/>
      <c r="F820" s="82"/>
      <c r="G820" s="81">
        <v>43496</v>
      </c>
      <c r="H820" s="82">
        <v>280.16000000000003</v>
      </c>
      <c r="I820" s="173">
        <f t="shared" si="25"/>
        <v>9.0401584728976303E-3</v>
      </c>
    </row>
    <row r="821" spans="1:9" ht="17.5">
      <c r="A821" s="248">
        <v>43538</v>
      </c>
      <c r="B821" s="249">
        <v>77.2</v>
      </c>
      <c r="C821" s="47">
        <f t="shared" si="26"/>
        <v>3.6401456058241521E-3</v>
      </c>
      <c r="E821" s="81"/>
      <c r="F821" s="82"/>
      <c r="G821" s="81">
        <v>43497</v>
      </c>
      <c r="H821" s="82">
        <v>280.39</v>
      </c>
      <c r="I821" s="173">
        <f t="shared" si="25"/>
        <v>8.2095945174165408E-4</v>
      </c>
    </row>
    <row r="822" spans="1:9" ht="17.5">
      <c r="A822" s="248">
        <v>43539</v>
      </c>
      <c r="B822" s="249">
        <v>76.88</v>
      </c>
      <c r="C822" s="47">
        <f t="shared" si="26"/>
        <v>-4.1450777202073352E-3</v>
      </c>
      <c r="E822" s="81"/>
      <c r="F822" s="82"/>
      <c r="G822" s="81">
        <v>43498</v>
      </c>
      <c r="H822" s="82">
        <v>278.47000000000003</v>
      </c>
      <c r="I822" s="173">
        <f t="shared" si="25"/>
        <v>-6.8476051214378941E-3</v>
      </c>
    </row>
    <row r="823" spans="1:9" ht="17.5">
      <c r="A823" s="248">
        <v>43540</v>
      </c>
      <c r="B823" s="249">
        <v>76.53</v>
      </c>
      <c r="C823" s="47">
        <f t="shared" si="26"/>
        <v>-4.5525494276794642E-3</v>
      </c>
      <c r="E823" s="81"/>
      <c r="F823" s="82"/>
      <c r="G823" s="81">
        <v>43501</v>
      </c>
      <c r="H823" s="82">
        <v>273.5</v>
      </c>
      <c r="I823" s="173">
        <f t="shared" si="25"/>
        <v>-1.7847523970266232E-2</v>
      </c>
    </row>
    <row r="824" spans="1:9" ht="17.5">
      <c r="A824" s="248">
        <v>43543</v>
      </c>
      <c r="B824" s="249">
        <v>76.540000000000006</v>
      </c>
      <c r="C824" s="47">
        <f t="shared" si="26"/>
        <v>1.3066771200853644E-4</v>
      </c>
      <c r="E824" s="81"/>
      <c r="F824" s="82"/>
      <c r="G824" s="81">
        <v>43502</v>
      </c>
      <c r="H824" s="82">
        <v>273.51</v>
      </c>
      <c r="I824" s="173">
        <f t="shared" si="25"/>
        <v>3.6563071297956995E-5</v>
      </c>
    </row>
    <row r="825" spans="1:9" ht="17.5">
      <c r="A825" s="248">
        <v>43544</v>
      </c>
      <c r="B825" s="249">
        <v>77.09</v>
      </c>
      <c r="C825" s="47">
        <f t="shared" si="26"/>
        <v>7.1857852103474062E-3</v>
      </c>
      <c r="E825" s="81"/>
      <c r="F825" s="82"/>
      <c r="G825" s="81">
        <v>43503</v>
      </c>
      <c r="H825" s="82">
        <v>274.32</v>
      </c>
      <c r="I825" s="173">
        <f t="shared" si="25"/>
        <v>2.9615004935834577E-3</v>
      </c>
    </row>
    <row r="826" spans="1:9" ht="17.5">
      <c r="A826" s="248">
        <v>43545</v>
      </c>
      <c r="B826" s="249">
        <v>77.760000000000005</v>
      </c>
      <c r="C826" s="47">
        <f t="shared" si="26"/>
        <v>8.6911402257101589E-3</v>
      </c>
      <c r="E826" s="81"/>
      <c r="F826" s="82"/>
      <c r="G826" s="81">
        <v>43504</v>
      </c>
      <c r="H826" s="82">
        <v>275.18</v>
      </c>
      <c r="I826" s="173">
        <f t="shared" si="25"/>
        <v>3.135024788568197E-3</v>
      </c>
    </row>
    <row r="827" spans="1:9" ht="17.5">
      <c r="A827" s="248">
        <v>43546</v>
      </c>
      <c r="B827" s="249">
        <v>78.040000000000006</v>
      </c>
      <c r="C827" s="47">
        <f t="shared" si="26"/>
        <v>3.6008230452675427E-3</v>
      </c>
      <c r="E827" s="81"/>
      <c r="F827" s="82"/>
      <c r="G827" s="81">
        <v>43505</v>
      </c>
      <c r="H827" s="82">
        <v>272.36</v>
      </c>
      <c r="I827" s="173">
        <f t="shared" si="25"/>
        <v>-1.0247837778908364E-2</v>
      </c>
    </row>
    <row r="828" spans="1:9" ht="17.5">
      <c r="A828" s="248">
        <v>43547</v>
      </c>
      <c r="B828" s="249">
        <v>77.61</v>
      </c>
      <c r="C828" s="47">
        <f t="shared" si="26"/>
        <v>-5.5099948744234961E-3</v>
      </c>
      <c r="E828" s="81"/>
      <c r="F828" s="82"/>
      <c r="G828" s="81">
        <v>43508</v>
      </c>
      <c r="H828" s="82">
        <v>273.02</v>
      </c>
      <c r="I828" s="173">
        <f t="shared" si="25"/>
        <v>2.4232633279481774E-3</v>
      </c>
    </row>
    <row r="829" spans="1:9" ht="17.5">
      <c r="A829" s="248">
        <v>43550</v>
      </c>
      <c r="B829" s="249">
        <v>77.290000000000006</v>
      </c>
      <c r="C829" s="47">
        <f t="shared" si="26"/>
        <v>-4.1231800025769427E-3</v>
      </c>
      <c r="E829" s="81"/>
      <c r="F829" s="82"/>
      <c r="G829" s="81">
        <v>43509</v>
      </c>
      <c r="H829" s="82">
        <v>273</v>
      </c>
      <c r="I829" s="173">
        <f t="shared" si="25"/>
        <v>-7.3254706614789278E-5</v>
      </c>
    </row>
    <row r="830" spans="1:9" ht="17.5">
      <c r="A830" s="248">
        <v>43551</v>
      </c>
      <c r="B830" s="249">
        <v>77.010000000000005</v>
      </c>
      <c r="C830" s="47">
        <f t="shared" si="26"/>
        <v>-3.6227196273773687E-3</v>
      </c>
      <c r="E830" s="81"/>
      <c r="F830" s="82"/>
      <c r="G830" s="81">
        <v>43510</v>
      </c>
      <c r="H830" s="82">
        <v>271.49</v>
      </c>
      <c r="I830" s="173">
        <f t="shared" si="25"/>
        <v>-5.5311355311354893E-3</v>
      </c>
    </row>
    <row r="831" spans="1:9" ht="17.5">
      <c r="A831" s="248">
        <v>43552</v>
      </c>
      <c r="B831" s="249">
        <v>77.39</v>
      </c>
      <c r="C831" s="47">
        <f t="shared" si="26"/>
        <v>4.934424100766055E-3</v>
      </c>
      <c r="E831" s="81"/>
      <c r="F831" s="82"/>
      <c r="G831" s="81">
        <v>43511</v>
      </c>
      <c r="H831" s="82">
        <v>272.37</v>
      </c>
      <c r="I831" s="173">
        <f t="shared" si="25"/>
        <v>3.2413716895649536E-3</v>
      </c>
    </row>
    <row r="832" spans="1:9" ht="17.5">
      <c r="A832" s="248">
        <v>43553</v>
      </c>
      <c r="B832" s="249">
        <v>77.92</v>
      </c>
      <c r="C832" s="47">
        <f t="shared" si="26"/>
        <v>6.8484300297195766E-3</v>
      </c>
      <c r="E832" s="81"/>
      <c r="F832" s="82"/>
      <c r="G832" s="81">
        <v>43512</v>
      </c>
      <c r="H832" s="82">
        <v>269.87</v>
      </c>
      <c r="I832" s="173">
        <f t="shared" si="25"/>
        <v>-9.1786907515511995E-3</v>
      </c>
    </row>
    <row r="833" spans="1:9" ht="17.5">
      <c r="A833" s="248">
        <v>43554</v>
      </c>
      <c r="B833" s="249">
        <v>78.42</v>
      </c>
      <c r="C833" s="47">
        <f t="shared" si="26"/>
        <v>6.4168377823408118E-3</v>
      </c>
      <c r="E833" s="81"/>
      <c r="F833" s="82"/>
      <c r="G833" s="81">
        <v>43515</v>
      </c>
      <c r="H833" s="82">
        <v>271.38</v>
      </c>
      <c r="I833" s="173">
        <f t="shared" si="25"/>
        <v>5.5952866194834971E-3</v>
      </c>
    </row>
    <row r="834" spans="1:9" ht="17.5">
      <c r="A834" s="248">
        <v>43557</v>
      </c>
      <c r="B834" s="249">
        <v>78.72</v>
      </c>
      <c r="C834" s="47">
        <f t="shared" si="26"/>
        <v>3.8255547054322214E-3</v>
      </c>
      <c r="E834" s="81"/>
      <c r="F834" s="82"/>
      <c r="G834" s="81">
        <v>43516</v>
      </c>
      <c r="H834" s="82">
        <v>268.89999999999998</v>
      </c>
      <c r="I834" s="173">
        <f t="shared" si="25"/>
        <v>-9.1384774117474477E-3</v>
      </c>
    </row>
    <row r="835" spans="1:9" ht="17.5">
      <c r="A835" s="248">
        <v>43558</v>
      </c>
      <c r="B835" s="249">
        <v>78.83</v>
      </c>
      <c r="C835" s="47">
        <f t="shared" si="26"/>
        <v>1.3973577235772972E-3</v>
      </c>
      <c r="E835" s="81"/>
      <c r="F835" s="82"/>
      <c r="G835" s="81">
        <v>43517</v>
      </c>
      <c r="H835" s="82">
        <v>266.10000000000002</v>
      </c>
      <c r="I835" s="173">
        <f t="shared" si="25"/>
        <v>-1.0412792859799014E-2</v>
      </c>
    </row>
    <row r="836" spans="1:9" ht="17.5">
      <c r="A836" s="248">
        <v>43559</v>
      </c>
      <c r="B836" s="249">
        <v>78.66</v>
      </c>
      <c r="C836" s="47">
        <f t="shared" si="26"/>
        <v>-2.1565393885576434E-3</v>
      </c>
      <c r="E836" s="81"/>
      <c r="F836" s="82"/>
      <c r="G836" s="81">
        <v>43518</v>
      </c>
      <c r="H836" s="82">
        <v>266.82</v>
      </c>
      <c r="I836" s="173">
        <f t="shared" si="25"/>
        <v>2.7057497181508516E-3</v>
      </c>
    </row>
    <row r="837" spans="1:9" ht="17.5">
      <c r="A837" s="248">
        <v>43560</v>
      </c>
      <c r="B837" s="249">
        <v>78.58</v>
      </c>
      <c r="C837" s="47">
        <f t="shared" si="26"/>
        <v>-1.0170353419781675E-3</v>
      </c>
      <c r="E837" s="81"/>
      <c r="F837" s="82"/>
      <c r="G837" s="81">
        <v>43519</v>
      </c>
      <c r="H837" s="82">
        <v>263.04000000000002</v>
      </c>
      <c r="I837" s="173">
        <f t="shared" si="25"/>
        <v>-1.4166854058916045E-2</v>
      </c>
    </row>
    <row r="838" spans="1:9" ht="17.5">
      <c r="A838" s="248">
        <v>43564</v>
      </c>
      <c r="B838" s="249">
        <v>78.17</v>
      </c>
      <c r="C838" s="47">
        <f t="shared" si="26"/>
        <v>-5.2176126240773835E-3</v>
      </c>
      <c r="E838" s="81"/>
      <c r="F838" s="82"/>
      <c r="G838" s="81">
        <v>43522</v>
      </c>
      <c r="H838" s="82">
        <v>262.44</v>
      </c>
      <c r="I838" s="173">
        <f t="shared" si="25"/>
        <v>-2.2810218978103203E-3</v>
      </c>
    </row>
    <row r="839" spans="1:9" ht="17.5">
      <c r="A839" s="248">
        <v>43565</v>
      </c>
      <c r="B839" s="249">
        <v>78.25</v>
      </c>
      <c r="C839" s="47">
        <f t="shared" si="26"/>
        <v>1.0234105155431106E-3</v>
      </c>
      <c r="E839" s="81"/>
      <c r="F839" s="82"/>
      <c r="G839" s="81">
        <v>43523</v>
      </c>
      <c r="H839" s="82">
        <v>261.95999999999998</v>
      </c>
      <c r="I839" s="173">
        <f t="shared" si="25"/>
        <v>-1.8289894833105613E-3</v>
      </c>
    </row>
    <row r="840" spans="1:9" ht="17.5">
      <c r="A840" s="248">
        <v>43566</v>
      </c>
      <c r="B840" s="249">
        <v>78.48</v>
      </c>
      <c r="C840" s="47">
        <f t="shared" si="26"/>
        <v>2.939297124600726E-3</v>
      </c>
      <c r="E840" s="81"/>
      <c r="F840" s="82"/>
      <c r="G840" s="81">
        <v>43524</v>
      </c>
      <c r="H840" s="82">
        <v>266.91000000000003</v>
      </c>
      <c r="I840" s="173">
        <f t="shared" si="25"/>
        <v>1.8896014658726701E-2</v>
      </c>
    </row>
    <row r="841" spans="1:9" ht="17.5">
      <c r="A841" s="248">
        <v>43567</v>
      </c>
      <c r="B841" s="249">
        <v>78.56</v>
      </c>
      <c r="C841" s="47">
        <f t="shared" si="26"/>
        <v>1.0193679918450993E-3</v>
      </c>
      <c r="E841" s="81"/>
      <c r="F841" s="82"/>
      <c r="G841" s="81">
        <v>43525</v>
      </c>
      <c r="H841" s="82">
        <v>266.11</v>
      </c>
      <c r="I841" s="173">
        <f t="shared" si="25"/>
        <v>-2.9972649956915287E-3</v>
      </c>
    </row>
    <row r="842" spans="1:9" ht="17.5">
      <c r="A842" s="248">
        <v>43568</v>
      </c>
      <c r="B842" s="249">
        <v>78.400000000000006</v>
      </c>
      <c r="C842" s="47">
        <f t="shared" si="26"/>
        <v>-2.0366598778003286E-3</v>
      </c>
      <c r="E842" s="81"/>
      <c r="F842" s="82"/>
      <c r="G842" s="81">
        <v>43526</v>
      </c>
      <c r="H842" s="82">
        <v>268.01</v>
      </c>
      <c r="I842" s="173">
        <f t="shared" si="25"/>
        <v>7.1399045507496428E-3</v>
      </c>
    </row>
    <row r="843" spans="1:9" ht="17.5">
      <c r="A843" s="248">
        <v>43571</v>
      </c>
      <c r="B843" s="249">
        <v>77.89</v>
      </c>
      <c r="C843" s="47">
        <f t="shared" si="26"/>
        <v>-6.5051020408164462E-3</v>
      </c>
      <c r="E843" s="81"/>
      <c r="F843" s="82"/>
      <c r="G843" s="81">
        <v>43529</v>
      </c>
      <c r="H843" s="82">
        <v>269.11</v>
      </c>
      <c r="I843" s="173">
        <f t="shared" si="25"/>
        <v>4.104324465505016E-3</v>
      </c>
    </row>
    <row r="844" spans="1:9" ht="17.5">
      <c r="A844" s="248">
        <v>43572</v>
      </c>
      <c r="B844" s="249">
        <v>77.88</v>
      </c>
      <c r="C844" s="47">
        <f t="shared" si="26"/>
        <v>-1.2838618564647852E-4</v>
      </c>
      <c r="E844" s="81"/>
      <c r="F844" s="82"/>
      <c r="G844" s="81">
        <v>43530</v>
      </c>
      <c r="H844" s="82">
        <v>267.35000000000002</v>
      </c>
      <c r="I844" s="173">
        <f t="shared" si="25"/>
        <v>-6.5400765486232082E-3</v>
      </c>
    </row>
    <row r="845" spans="1:9" ht="17.5">
      <c r="A845" s="248">
        <v>43573</v>
      </c>
      <c r="B845" s="249">
        <v>77.5</v>
      </c>
      <c r="C845" s="47">
        <f t="shared" si="26"/>
        <v>-4.8793014894709108E-3</v>
      </c>
      <c r="E845" s="81"/>
      <c r="F845" s="82"/>
      <c r="G845" s="81">
        <v>43531</v>
      </c>
      <c r="H845" s="82">
        <v>266.02999999999997</v>
      </c>
      <c r="I845" s="173">
        <f t="shared" si="25"/>
        <v>-4.937348045633283E-3</v>
      </c>
    </row>
    <row r="846" spans="1:9" ht="17.5">
      <c r="A846" s="248">
        <v>43574</v>
      </c>
      <c r="B846" s="249">
        <v>77.41</v>
      </c>
      <c r="C846" s="47">
        <f t="shared" si="26"/>
        <v>-1.1612903225807214E-3</v>
      </c>
      <c r="E846" s="81"/>
      <c r="F846" s="82"/>
      <c r="G846" s="81">
        <v>43532</v>
      </c>
      <c r="H846" s="82">
        <v>263.08999999999997</v>
      </c>
      <c r="I846" s="173">
        <f t="shared" si="25"/>
        <v>-1.1051385182122342E-2</v>
      </c>
    </row>
    <row r="847" spans="1:9" ht="17.5">
      <c r="A847" s="248">
        <v>43575</v>
      </c>
      <c r="B847" s="249">
        <v>77.42</v>
      </c>
      <c r="C847" s="47">
        <f t="shared" si="26"/>
        <v>1.2918227619174161E-4</v>
      </c>
      <c r="E847" s="81"/>
      <c r="F847" s="82"/>
      <c r="G847" s="81">
        <v>43533</v>
      </c>
      <c r="H847" s="82">
        <v>260.02999999999997</v>
      </c>
      <c r="I847" s="173">
        <f t="shared" si="25"/>
        <v>-1.1631000798205893E-2</v>
      </c>
    </row>
    <row r="848" spans="1:9" ht="17.5">
      <c r="A848" s="248">
        <v>43578</v>
      </c>
      <c r="B848" s="249">
        <v>77.63</v>
      </c>
      <c r="C848" s="47">
        <f t="shared" si="26"/>
        <v>2.7124773960216508E-3</v>
      </c>
      <c r="E848" s="81"/>
      <c r="F848" s="82"/>
      <c r="G848" s="81">
        <v>43536</v>
      </c>
      <c r="H848" s="82">
        <v>260.31</v>
      </c>
      <c r="I848" s="173">
        <f t="shared" ref="I848:I911" si="27">H848/H847-1</f>
        <v>1.0767988309041687E-3</v>
      </c>
    </row>
    <row r="849" spans="1:9" ht="17.5">
      <c r="A849" s="248">
        <v>43579</v>
      </c>
      <c r="B849" s="249">
        <v>78.099999999999994</v>
      </c>
      <c r="C849" s="47">
        <f t="shared" ref="C849:C912" si="28">B849/B848-1</f>
        <v>6.0543604276697138E-3</v>
      </c>
      <c r="E849" s="81"/>
      <c r="F849" s="82"/>
      <c r="G849" s="81">
        <v>43537</v>
      </c>
      <c r="H849" s="82">
        <v>257.08</v>
      </c>
      <c r="I849" s="173">
        <f t="shared" si="27"/>
        <v>-1.2408282432484374E-2</v>
      </c>
    </row>
    <row r="850" spans="1:9" ht="17.5">
      <c r="A850" s="248">
        <v>43580</v>
      </c>
      <c r="B850" s="249">
        <v>77.89</v>
      </c>
      <c r="C850" s="47">
        <f t="shared" si="28"/>
        <v>-2.6888604353392243E-3</v>
      </c>
      <c r="E850" s="81"/>
      <c r="F850" s="82"/>
      <c r="G850" s="81">
        <v>43538</v>
      </c>
      <c r="H850" s="82">
        <v>256.33999999999997</v>
      </c>
      <c r="I850" s="173">
        <f t="shared" si="27"/>
        <v>-2.8784814065661024E-3</v>
      </c>
    </row>
    <row r="851" spans="1:9" ht="17.5">
      <c r="A851" s="248">
        <v>43581</v>
      </c>
      <c r="B851" s="249">
        <v>77.91</v>
      </c>
      <c r="C851" s="47">
        <f t="shared" si="28"/>
        <v>2.56772371292735E-4</v>
      </c>
      <c r="E851" s="81"/>
      <c r="F851" s="82"/>
      <c r="G851" s="81">
        <v>43539</v>
      </c>
      <c r="H851" s="82">
        <v>255.29</v>
      </c>
      <c r="I851" s="173">
        <f t="shared" si="27"/>
        <v>-4.0961223375204359E-3</v>
      </c>
    </row>
    <row r="852" spans="1:9" ht="17.5">
      <c r="A852" s="248">
        <v>43582</v>
      </c>
      <c r="B852" s="249">
        <v>78.63</v>
      </c>
      <c r="C852" s="47">
        <f t="shared" si="28"/>
        <v>9.241432422025353E-3</v>
      </c>
      <c r="E852" s="81"/>
      <c r="F852" s="82"/>
      <c r="G852" s="81">
        <v>43540</v>
      </c>
      <c r="H852" s="82">
        <v>257.3</v>
      </c>
      <c r="I852" s="173">
        <f t="shared" si="27"/>
        <v>7.8733988797055066E-3</v>
      </c>
    </row>
    <row r="853" spans="1:9" ht="17.5">
      <c r="A853" s="248">
        <v>43585</v>
      </c>
      <c r="B853" s="249">
        <v>77.849999999999994</v>
      </c>
      <c r="C853" s="47">
        <f t="shared" si="28"/>
        <v>-9.9198779091950184E-3</v>
      </c>
      <c r="E853" s="81"/>
      <c r="F853" s="82"/>
      <c r="G853" s="81">
        <v>43543</v>
      </c>
      <c r="H853" s="82">
        <v>255.27</v>
      </c>
      <c r="I853" s="173">
        <f t="shared" si="27"/>
        <v>-7.8896230081616503E-3</v>
      </c>
    </row>
    <row r="854" spans="1:9" ht="17.5">
      <c r="A854" s="248">
        <v>43586</v>
      </c>
      <c r="B854" s="249">
        <v>78.180000000000007</v>
      </c>
      <c r="C854" s="47">
        <f t="shared" si="28"/>
        <v>4.2389210019269097E-3</v>
      </c>
      <c r="E854" s="81"/>
      <c r="F854" s="82"/>
      <c r="G854" s="81">
        <v>43544</v>
      </c>
      <c r="H854" s="82">
        <v>257.87</v>
      </c>
      <c r="I854" s="173">
        <f t="shared" si="27"/>
        <v>1.0185294002428735E-2</v>
      </c>
    </row>
    <row r="855" spans="1:9" ht="17.5">
      <c r="A855" s="248">
        <v>43587</v>
      </c>
      <c r="B855" s="249">
        <v>78.430000000000007</v>
      </c>
      <c r="C855" s="47">
        <f t="shared" si="28"/>
        <v>3.1977487848555697E-3</v>
      </c>
      <c r="E855" s="81"/>
      <c r="F855" s="82"/>
      <c r="G855" s="81">
        <v>43545</v>
      </c>
      <c r="H855" s="82">
        <v>259.75</v>
      </c>
      <c r="I855" s="173">
        <f t="shared" si="27"/>
        <v>7.29049521076508E-3</v>
      </c>
    </row>
    <row r="856" spans="1:9" ht="17.5">
      <c r="A856" s="248">
        <v>43588</v>
      </c>
      <c r="B856" s="249">
        <v>78.040000000000006</v>
      </c>
      <c r="C856" s="47">
        <f t="shared" si="28"/>
        <v>-4.9725870202728117E-3</v>
      </c>
      <c r="E856" s="81"/>
      <c r="F856" s="82"/>
      <c r="G856" s="81">
        <v>43546</v>
      </c>
      <c r="H856" s="82">
        <v>263.10000000000002</v>
      </c>
      <c r="I856" s="173">
        <f t="shared" si="27"/>
        <v>1.2897016361886449E-2</v>
      </c>
    </row>
    <row r="857" spans="1:9" ht="17.5">
      <c r="A857" s="248">
        <v>43589</v>
      </c>
      <c r="B857" s="249">
        <v>78.260000000000005</v>
      </c>
      <c r="C857" s="47">
        <f t="shared" si="28"/>
        <v>2.8190671450538662E-3</v>
      </c>
      <c r="E857" s="81"/>
      <c r="F857" s="82"/>
      <c r="G857" s="81">
        <v>43547</v>
      </c>
      <c r="H857" s="82">
        <v>262.02</v>
      </c>
      <c r="I857" s="173">
        <f t="shared" si="27"/>
        <v>-4.104903078677502E-3</v>
      </c>
    </row>
    <row r="858" spans="1:9" ht="17.5">
      <c r="A858" s="248">
        <v>43592</v>
      </c>
      <c r="B858" s="249">
        <v>77.95</v>
      </c>
      <c r="C858" s="47">
        <f t="shared" si="28"/>
        <v>-3.9611551239459031E-3</v>
      </c>
      <c r="E858" s="81"/>
      <c r="F858" s="82"/>
      <c r="G858" s="81">
        <v>43550</v>
      </c>
      <c r="H858" s="82">
        <v>260.29000000000002</v>
      </c>
      <c r="I858" s="173">
        <f t="shared" si="27"/>
        <v>-6.6025494237079707E-3</v>
      </c>
    </row>
    <row r="859" spans="1:9" ht="17.5">
      <c r="A859" s="248">
        <v>43593</v>
      </c>
      <c r="B859" s="249">
        <v>77.91</v>
      </c>
      <c r="C859" s="47">
        <f t="shared" si="28"/>
        <v>-5.1314945477876073E-4</v>
      </c>
      <c r="E859" s="81"/>
      <c r="F859" s="82"/>
      <c r="G859" s="81">
        <v>43551</v>
      </c>
      <c r="H859" s="82">
        <v>261.61</v>
      </c>
      <c r="I859" s="173">
        <f t="shared" si="27"/>
        <v>5.0712666641052895E-3</v>
      </c>
    </row>
    <row r="860" spans="1:9" ht="17.5">
      <c r="A860" s="248">
        <v>43594</v>
      </c>
      <c r="B860" s="249">
        <v>78.34</v>
      </c>
      <c r="C860" s="47">
        <f t="shared" si="28"/>
        <v>5.5191888075984963E-3</v>
      </c>
      <c r="E860" s="81"/>
      <c r="F860" s="82"/>
      <c r="G860" s="81">
        <v>43552</v>
      </c>
      <c r="H860" s="82">
        <v>264.2</v>
      </c>
      <c r="I860" s="173">
        <f t="shared" si="27"/>
        <v>9.9002331715147829E-3</v>
      </c>
    </row>
    <row r="861" spans="1:9" ht="17.5">
      <c r="A861" s="248">
        <v>43595</v>
      </c>
      <c r="B861" s="249">
        <v>78.59</v>
      </c>
      <c r="C861" s="47">
        <f t="shared" si="28"/>
        <v>3.1912177687005716E-3</v>
      </c>
      <c r="E861" s="81"/>
      <c r="F861" s="82"/>
      <c r="G861" s="81">
        <v>43553</v>
      </c>
      <c r="H861" s="82">
        <v>265.64999999999998</v>
      </c>
      <c r="I861" s="173">
        <f t="shared" si="27"/>
        <v>5.488266464799274E-3</v>
      </c>
    </row>
    <row r="862" spans="1:9" ht="17.5">
      <c r="A862" s="248">
        <v>43596</v>
      </c>
      <c r="B862" s="249">
        <v>78.09</v>
      </c>
      <c r="C862" s="47">
        <f t="shared" si="28"/>
        <v>-6.36213258684315E-3</v>
      </c>
      <c r="E862" s="81"/>
      <c r="F862" s="82"/>
      <c r="G862" s="81">
        <v>43554</v>
      </c>
      <c r="H862" s="82">
        <v>266.8</v>
      </c>
      <c r="I862" s="173">
        <f t="shared" si="27"/>
        <v>4.3290043290045155E-3</v>
      </c>
    </row>
    <row r="863" spans="1:9" ht="17.5">
      <c r="A863" s="248">
        <v>43599</v>
      </c>
      <c r="B863" s="249">
        <v>77.75</v>
      </c>
      <c r="C863" s="47">
        <f t="shared" si="28"/>
        <v>-4.3539505698553249E-3</v>
      </c>
      <c r="E863" s="81"/>
      <c r="F863" s="82"/>
      <c r="G863" s="81">
        <v>43557</v>
      </c>
      <c r="H863" s="82">
        <v>267.08</v>
      </c>
      <c r="I863" s="173">
        <f t="shared" si="27"/>
        <v>1.0494752623686487E-3</v>
      </c>
    </row>
    <row r="864" spans="1:9" ht="17.5">
      <c r="A864" s="248">
        <v>43600</v>
      </c>
      <c r="B864" s="249">
        <v>77.45</v>
      </c>
      <c r="C864" s="47">
        <f t="shared" si="28"/>
        <v>-3.8585209003214604E-3</v>
      </c>
      <c r="E864" s="81"/>
      <c r="F864" s="82"/>
      <c r="G864" s="81">
        <v>43558</v>
      </c>
      <c r="H864" s="82">
        <v>266.64999999999998</v>
      </c>
      <c r="I864" s="173">
        <f t="shared" si="27"/>
        <v>-1.6100044930358326E-3</v>
      </c>
    </row>
    <row r="865" spans="1:9" ht="17.5">
      <c r="A865" s="248">
        <v>43601</v>
      </c>
      <c r="B865" s="249">
        <v>77.459999999999994</v>
      </c>
      <c r="C865" s="47">
        <f t="shared" si="28"/>
        <v>1.2911555842465283E-4</v>
      </c>
      <c r="E865" s="81"/>
      <c r="F865" s="82"/>
      <c r="G865" s="81">
        <v>43559</v>
      </c>
      <c r="H865" s="82">
        <v>266.48</v>
      </c>
      <c r="I865" s="173">
        <f t="shared" si="27"/>
        <v>-6.3753984624026483E-4</v>
      </c>
    </row>
    <row r="866" spans="1:9" ht="17.5">
      <c r="A866" s="248">
        <v>43602</v>
      </c>
      <c r="B866" s="249">
        <v>77.150000000000006</v>
      </c>
      <c r="C866" s="47">
        <f t="shared" si="28"/>
        <v>-4.0020655822358142E-3</v>
      </c>
      <c r="E866" s="81"/>
      <c r="F866" s="82"/>
      <c r="G866" s="81">
        <v>43560</v>
      </c>
      <c r="H866" s="82">
        <v>266.43</v>
      </c>
      <c r="I866" s="173">
        <f t="shared" si="27"/>
        <v>-1.8763134193944264E-4</v>
      </c>
    </row>
    <row r="867" spans="1:9" ht="17.5">
      <c r="A867" s="248">
        <v>43603</v>
      </c>
      <c r="B867" s="249">
        <v>77.14</v>
      </c>
      <c r="C867" s="47">
        <f t="shared" si="28"/>
        <v>-1.2961762799745813E-4</v>
      </c>
      <c r="E867" s="81"/>
      <c r="F867" s="82"/>
      <c r="G867" s="81">
        <v>43561</v>
      </c>
      <c r="H867" s="82">
        <v>266.52999999999997</v>
      </c>
      <c r="I867" s="173">
        <f t="shared" si="27"/>
        <v>3.7533310813331333E-4</v>
      </c>
    </row>
    <row r="868" spans="1:9" ht="17.5">
      <c r="A868" s="248">
        <v>43606</v>
      </c>
      <c r="B868" s="249">
        <v>77.13</v>
      </c>
      <c r="C868" s="47">
        <f t="shared" si="28"/>
        <v>-1.2963443090496796E-4</v>
      </c>
      <c r="E868" s="81"/>
      <c r="F868" s="82"/>
      <c r="G868" s="81">
        <v>43564</v>
      </c>
      <c r="H868" s="82">
        <v>266.7</v>
      </c>
      <c r="I868" s="173">
        <f t="shared" si="27"/>
        <v>6.3782688627922468E-4</v>
      </c>
    </row>
    <row r="869" spans="1:9" ht="17.5">
      <c r="A869" s="248">
        <v>43607</v>
      </c>
      <c r="B869" s="249">
        <v>77.22</v>
      </c>
      <c r="C869" s="47">
        <f t="shared" si="28"/>
        <v>1.166861143524045E-3</v>
      </c>
      <c r="E869" s="81"/>
      <c r="F869" s="82"/>
      <c r="G869" s="81">
        <v>43565</v>
      </c>
      <c r="H869" s="82">
        <v>268.79000000000002</v>
      </c>
      <c r="I869" s="173">
        <f t="shared" si="27"/>
        <v>7.8365204349457596E-3</v>
      </c>
    </row>
    <row r="870" spans="1:9" ht="17.5">
      <c r="A870" s="248">
        <v>43608</v>
      </c>
      <c r="B870" s="249">
        <v>77.09</v>
      </c>
      <c r="C870" s="47">
        <f t="shared" si="28"/>
        <v>-1.6835016835016203E-3</v>
      </c>
      <c r="E870" s="81"/>
      <c r="F870" s="82"/>
      <c r="G870" s="81">
        <v>43566</v>
      </c>
      <c r="H870" s="82">
        <v>268.49</v>
      </c>
      <c r="I870" s="173">
        <f t="shared" si="27"/>
        <v>-1.1161129506306322E-3</v>
      </c>
    </row>
    <row r="871" spans="1:9" ht="17.5">
      <c r="A871" s="248">
        <v>43609</v>
      </c>
      <c r="B871" s="249">
        <v>76.89</v>
      </c>
      <c r="C871" s="47">
        <f t="shared" si="28"/>
        <v>-2.5943702166300042E-3</v>
      </c>
      <c r="E871" s="81"/>
      <c r="F871" s="82"/>
      <c r="G871" s="81">
        <v>43567</v>
      </c>
      <c r="H871" s="82">
        <v>269.14</v>
      </c>
      <c r="I871" s="173">
        <f t="shared" si="27"/>
        <v>2.420946776416244E-3</v>
      </c>
    </row>
    <row r="872" spans="1:9" ht="17.5">
      <c r="A872" s="248">
        <v>43610</v>
      </c>
      <c r="B872" s="249">
        <v>77.209999999999994</v>
      </c>
      <c r="C872" s="47">
        <f t="shared" si="28"/>
        <v>4.16178956951474E-3</v>
      </c>
      <c r="E872" s="81"/>
      <c r="F872" s="82"/>
      <c r="G872" s="81">
        <v>43568</v>
      </c>
      <c r="H872" s="82">
        <v>269.76</v>
      </c>
      <c r="I872" s="173">
        <f t="shared" si="27"/>
        <v>2.3036337965371967E-3</v>
      </c>
    </row>
    <row r="873" spans="1:9" ht="17.5">
      <c r="A873" s="248">
        <v>43614</v>
      </c>
      <c r="B873" s="249">
        <v>77.8</v>
      </c>
      <c r="C873" s="47">
        <f t="shared" si="28"/>
        <v>7.6414972153866501E-3</v>
      </c>
      <c r="E873" s="81"/>
      <c r="F873" s="82"/>
      <c r="G873" s="81">
        <v>43571</v>
      </c>
      <c r="H873" s="82">
        <v>270.72000000000003</v>
      </c>
      <c r="I873" s="173">
        <f t="shared" si="27"/>
        <v>3.558718861210064E-3</v>
      </c>
    </row>
    <row r="874" spans="1:9" ht="17.5">
      <c r="A874" s="248">
        <v>43615</v>
      </c>
      <c r="B874" s="249">
        <v>77.7</v>
      </c>
      <c r="C874" s="47">
        <f t="shared" si="28"/>
        <v>-1.2853470437017567E-3</v>
      </c>
      <c r="E874" s="81"/>
      <c r="F874" s="82"/>
      <c r="G874" s="81">
        <v>43572</v>
      </c>
      <c r="H874" s="82">
        <v>270.08</v>
      </c>
      <c r="I874" s="173">
        <f t="shared" si="27"/>
        <v>-2.3640661938535423E-3</v>
      </c>
    </row>
    <row r="875" spans="1:9" ht="17.5">
      <c r="A875" s="248">
        <v>43616</v>
      </c>
      <c r="B875" s="249">
        <v>78.22</v>
      </c>
      <c r="C875" s="47">
        <f t="shared" si="28"/>
        <v>6.6924066924065606E-3</v>
      </c>
      <c r="E875" s="81"/>
      <c r="F875" s="82"/>
      <c r="G875" s="81">
        <v>43573</v>
      </c>
      <c r="H875" s="82">
        <v>267.45999999999998</v>
      </c>
      <c r="I875" s="173">
        <f t="shared" si="27"/>
        <v>-9.700829383886278E-3</v>
      </c>
    </row>
    <row r="876" spans="1:9" ht="17.5">
      <c r="A876" s="248">
        <v>43617</v>
      </c>
      <c r="B876" s="249">
        <v>78.099999999999994</v>
      </c>
      <c r="C876" s="47">
        <f t="shared" si="28"/>
        <v>-1.5341344924572065E-3</v>
      </c>
      <c r="E876" s="81"/>
      <c r="F876" s="82"/>
      <c r="G876" s="81">
        <v>43574</v>
      </c>
      <c r="H876" s="82">
        <v>267.20999999999998</v>
      </c>
      <c r="I876" s="173">
        <f t="shared" si="27"/>
        <v>-9.3471921034926631E-4</v>
      </c>
    </row>
    <row r="877" spans="1:9" ht="17.5">
      <c r="A877" s="248">
        <v>43620</v>
      </c>
      <c r="B877" s="249">
        <v>78.349999999999994</v>
      </c>
      <c r="C877" s="47">
        <f t="shared" si="28"/>
        <v>3.2010243277849071E-3</v>
      </c>
      <c r="E877" s="81"/>
      <c r="F877" s="82"/>
      <c r="G877" s="81">
        <v>43575</v>
      </c>
      <c r="H877" s="82">
        <v>264.67</v>
      </c>
      <c r="I877" s="173">
        <f t="shared" si="27"/>
        <v>-9.5056322742410604E-3</v>
      </c>
    </row>
    <row r="878" spans="1:9" ht="17.5">
      <c r="A878" s="248">
        <v>43621</v>
      </c>
      <c r="B878" s="249">
        <v>78.489999999999995</v>
      </c>
      <c r="C878" s="47">
        <f t="shared" si="28"/>
        <v>1.7868538608807327E-3</v>
      </c>
      <c r="E878" s="81"/>
      <c r="F878" s="82"/>
      <c r="G878" s="81">
        <v>43578</v>
      </c>
      <c r="H878" s="82">
        <v>264.33</v>
      </c>
      <c r="I878" s="173">
        <f t="shared" si="27"/>
        <v>-1.2846185816300926E-3</v>
      </c>
    </row>
    <row r="879" spans="1:9" ht="17.5">
      <c r="A879" s="248">
        <v>43622</v>
      </c>
      <c r="B879" s="249">
        <v>78.03</v>
      </c>
      <c r="C879" s="47">
        <f t="shared" si="28"/>
        <v>-5.8606191871575231E-3</v>
      </c>
      <c r="E879" s="81"/>
      <c r="F879" s="82"/>
      <c r="G879" s="81">
        <v>43579</v>
      </c>
      <c r="H879" s="82">
        <v>261.2</v>
      </c>
      <c r="I879" s="173">
        <f t="shared" si="27"/>
        <v>-1.184125903227029E-2</v>
      </c>
    </row>
    <row r="880" spans="1:9" ht="17.5">
      <c r="A880" s="248">
        <v>43623</v>
      </c>
      <c r="B880" s="249">
        <v>78.47</v>
      </c>
      <c r="C880" s="47">
        <f t="shared" si="28"/>
        <v>5.6388568499294855E-3</v>
      </c>
      <c r="E880" s="81"/>
      <c r="F880" s="82"/>
      <c r="G880" s="81">
        <v>43580</v>
      </c>
      <c r="H880" s="82">
        <v>262.14</v>
      </c>
      <c r="I880" s="173">
        <f t="shared" si="27"/>
        <v>3.5987748851453727E-3</v>
      </c>
    </row>
    <row r="881" spans="1:9" ht="17.5">
      <c r="A881" s="248">
        <v>43624</v>
      </c>
      <c r="B881" s="249">
        <v>78.38</v>
      </c>
      <c r="C881" s="47">
        <f t="shared" si="28"/>
        <v>-1.146935134446303E-3</v>
      </c>
      <c r="E881" s="81"/>
      <c r="F881" s="82"/>
      <c r="G881" s="81">
        <v>43581</v>
      </c>
      <c r="H881" s="82">
        <v>263.25</v>
      </c>
      <c r="I881" s="173">
        <f t="shared" si="27"/>
        <v>4.234378576333242E-3</v>
      </c>
    </row>
    <row r="882" spans="1:9" ht="17.5">
      <c r="A882" s="248">
        <v>43627</v>
      </c>
      <c r="B882" s="249">
        <v>78.81</v>
      </c>
      <c r="C882" s="47">
        <f t="shared" si="28"/>
        <v>5.4860933911713428E-3</v>
      </c>
      <c r="E882" s="81"/>
      <c r="F882" s="82"/>
      <c r="G882" s="81">
        <v>43582</v>
      </c>
      <c r="H882" s="82">
        <v>264.77</v>
      </c>
      <c r="I882" s="173">
        <f t="shared" si="27"/>
        <v>5.7739791073123659E-3</v>
      </c>
    </row>
    <row r="883" spans="1:9" ht="17.5">
      <c r="A883" s="248">
        <v>43628</v>
      </c>
      <c r="B883" s="249">
        <v>78.7</v>
      </c>
      <c r="C883" s="47">
        <f t="shared" si="28"/>
        <v>-1.395761959142261E-3</v>
      </c>
      <c r="E883" s="81"/>
      <c r="F883" s="82"/>
      <c r="G883" s="81">
        <v>43585</v>
      </c>
      <c r="H883" s="82">
        <v>264.69</v>
      </c>
      <c r="I883" s="173">
        <f t="shared" si="27"/>
        <v>-3.021490350114675E-4</v>
      </c>
    </row>
    <row r="884" spans="1:9" ht="17.5">
      <c r="A884" s="248">
        <v>43629</v>
      </c>
      <c r="B884" s="249">
        <v>78.86</v>
      </c>
      <c r="C884" s="47">
        <f t="shared" si="28"/>
        <v>2.0330368487928574E-3</v>
      </c>
      <c r="E884" s="81"/>
      <c r="F884" s="82"/>
      <c r="G884" s="81">
        <v>43586</v>
      </c>
      <c r="H884" s="82">
        <v>263.89999999999998</v>
      </c>
      <c r="I884" s="173">
        <f t="shared" si="27"/>
        <v>-2.9846235218558004E-3</v>
      </c>
    </row>
    <row r="885" spans="1:9" ht="17.5">
      <c r="A885" s="248">
        <v>43630</v>
      </c>
      <c r="B885" s="249">
        <v>79.27</v>
      </c>
      <c r="C885" s="47">
        <f t="shared" si="28"/>
        <v>5.1990869896016978E-3</v>
      </c>
      <c r="E885" s="81"/>
      <c r="F885" s="82"/>
      <c r="G885" s="81">
        <v>43587</v>
      </c>
      <c r="H885" s="82">
        <v>263.07</v>
      </c>
      <c r="I885" s="173">
        <f t="shared" si="27"/>
        <v>-3.1451307313375976E-3</v>
      </c>
    </row>
    <row r="886" spans="1:9" ht="17.5">
      <c r="A886" s="248">
        <v>43631</v>
      </c>
      <c r="B886" s="249">
        <v>78.95</v>
      </c>
      <c r="C886" s="47">
        <f t="shared" si="28"/>
        <v>-4.0368361296833077E-3</v>
      </c>
      <c r="E886" s="81"/>
      <c r="F886" s="82"/>
      <c r="G886" s="81">
        <v>43588</v>
      </c>
      <c r="H886" s="82">
        <v>264.75</v>
      </c>
      <c r="I886" s="173">
        <f t="shared" si="27"/>
        <v>6.3861329684113954E-3</v>
      </c>
    </row>
    <row r="887" spans="1:9" ht="17.5">
      <c r="A887" s="248">
        <v>43635</v>
      </c>
      <c r="B887" s="249">
        <v>78.989999999999995</v>
      </c>
      <c r="C887" s="47">
        <f t="shared" si="28"/>
        <v>5.0664977834058433E-4</v>
      </c>
      <c r="E887" s="81"/>
      <c r="F887" s="82"/>
      <c r="G887" s="81">
        <v>43589</v>
      </c>
      <c r="H887" s="82">
        <v>265.83999999999997</v>
      </c>
      <c r="I887" s="173">
        <f t="shared" si="27"/>
        <v>4.1170915958450571E-3</v>
      </c>
    </row>
    <row r="888" spans="1:9" ht="17.5">
      <c r="A888" s="248">
        <v>43636</v>
      </c>
      <c r="B888" s="249">
        <v>79.400000000000006</v>
      </c>
      <c r="C888" s="47">
        <f t="shared" si="28"/>
        <v>5.1905304468922164E-3</v>
      </c>
      <c r="E888" s="81"/>
      <c r="F888" s="82"/>
      <c r="G888" s="81">
        <v>43592</v>
      </c>
      <c r="H888" s="82">
        <v>267.91000000000003</v>
      </c>
      <c r="I888" s="173">
        <f t="shared" si="27"/>
        <v>7.7866385795970494E-3</v>
      </c>
    </row>
    <row r="889" spans="1:9" ht="17.5">
      <c r="A889" s="248">
        <v>43637</v>
      </c>
      <c r="B889" s="249">
        <v>79.099999999999994</v>
      </c>
      <c r="C889" s="47">
        <f t="shared" si="28"/>
        <v>-3.7783375314862644E-3</v>
      </c>
      <c r="E889" s="81"/>
      <c r="F889" s="82"/>
      <c r="G889" s="81">
        <v>43593</v>
      </c>
      <c r="H889" s="82">
        <v>265.77999999999997</v>
      </c>
      <c r="I889" s="173">
        <f t="shared" si="27"/>
        <v>-7.9504311149268814E-3</v>
      </c>
    </row>
    <row r="890" spans="1:9" ht="17.5">
      <c r="A890" s="248">
        <v>43638</v>
      </c>
      <c r="B890" s="249">
        <v>79.19</v>
      </c>
      <c r="C890" s="47">
        <f t="shared" si="28"/>
        <v>1.1378002528446007E-3</v>
      </c>
      <c r="E890" s="81"/>
      <c r="F890" s="82"/>
      <c r="G890" s="81">
        <v>43594</v>
      </c>
      <c r="H890" s="82">
        <v>265.52999999999997</v>
      </c>
      <c r="I890" s="173">
        <f t="shared" si="27"/>
        <v>-9.4062758672586178E-4</v>
      </c>
    </row>
    <row r="891" spans="1:9" ht="17.5">
      <c r="A891" s="248">
        <v>43641</v>
      </c>
      <c r="B891" s="249">
        <v>79.44</v>
      </c>
      <c r="C891" s="47">
        <f t="shared" si="28"/>
        <v>3.1569642631645856E-3</v>
      </c>
      <c r="E891" s="81"/>
      <c r="F891" s="82"/>
      <c r="G891" s="81">
        <v>43595</v>
      </c>
      <c r="H891" s="82">
        <v>265.05</v>
      </c>
      <c r="I891" s="173">
        <f t="shared" si="27"/>
        <v>-1.8077053440287427E-3</v>
      </c>
    </row>
    <row r="892" spans="1:9" ht="17.5">
      <c r="A892" s="248">
        <v>43642</v>
      </c>
      <c r="B892" s="249">
        <v>79.44</v>
      </c>
      <c r="C892" s="47">
        <f t="shared" si="28"/>
        <v>0</v>
      </c>
      <c r="E892" s="81"/>
      <c r="F892" s="82"/>
      <c r="G892" s="81">
        <v>43596</v>
      </c>
      <c r="H892" s="82">
        <v>264.02999999999997</v>
      </c>
      <c r="I892" s="173">
        <f t="shared" si="27"/>
        <v>-3.8483305036787208E-3</v>
      </c>
    </row>
    <row r="893" spans="1:9" ht="17.5">
      <c r="A893" s="248">
        <v>43643</v>
      </c>
      <c r="B893" s="249">
        <v>79.5</v>
      </c>
      <c r="C893" s="47">
        <f t="shared" si="28"/>
        <v>7.5528700906346558E-4</v>
      </c>
      <c r="E893" s="81"/>
      <c r="F893" s="82"/>
      <c r="G893" s="81">
        <v>43599</v>
      </c>
      <c r="H893" s="82">
        <v>265.19</v>
      </c>
      <c r="I893" s="173">
        <f t="shared" si="27"/>
        <v>4.3934401393781464E-3</v>
      </c>
    </row>
    <row r="894" spans="1:9" ht="17.5">
      <c r="A894" s="248">
        <v>43644</v>
      </c>
      <c r="B894" s="249">
        <v>79.069999999999993</v>
      </c>
      <c r="C894" s="47">
        <f t="shared" si="28"/>
        <v>-5.4088050314465841E-3</v>
      </c>
      <c r="E894" s="81"/>
      <c r="F894" s="82"/>
      <c r="G894" s="81">
        <v>43600</v>
      </c>
      <c r="H894" s="82">
        <v>265.33999999999997</v>
      </c>
      <c r="I894" s="173">
        <f t="shared" si="27"/>
        <v>5.6563218824234873E-4</v>
      </c>
    </row>
    <row r="895" spans="1:9" ht="17.5">
      <c r="A895" s="248">
        <v>43645</v>
      </c>
      <c r="B895" s="249">
        <v>79.64</v>
      </c>
      <c r="C895" s="47">
        <f t="shared" si="28"/>
        <v>7.2088023270520107E-3</v>
      </c>
      <c r="E895" s="81"/>
      <c r="F895" s="82"/>
      <c r="G895" s="81">
        <v>43601</v>
      </c>
      <c r="H895" s="82">
        <v>264.23</v>
      </c>
      <c r="I895" s="173">
        <f t="shared" si="27"/>
        <v>-4.1833119770858795E-3</v>
      </c>
    </row>
    <row r="896" spans="1:9" ht="17.5">
      <c r="A896" s="248">
        <v>43648</v>
      </c>
      <c r="B896" s="249">
        <v>79.8</v>
      </c>
      <c r="C896" s="47">
        <f t="shared" si="28"/>
        <v>2.0090406830737262E-3</v>
      </c>
      <c r="E896" s="81"/>
      <c r="F896" s="82"/>
      <c r="G896" s="81">
        <v>43602</v>
      </c>
      <c r="H896" s="82">
        <v>264.45</v>
      </c>
      <c r="I896" s="173">
        <f t="shared" si="27"/>
        <v>8.3260795519035646E-4</v>
      </c>
    </row>
    <row r="897" spans="1:9" ht="17.5">
      <c r="A897" s="248">
        <v>43650</v>
      </c>
      <c r="B897" s="249">
        <v>79.39</v>
      </c>
      <c r="C897" s="47">
        <f t="shared" si="28"/>
        <v>-5.1378446115287746E-3</v>
      </c>
      <c r="E897" s="81"/>
      <c r="F897" s="82"/>
      <c r="G897" s="81">
        <v>43603</v>
      </c>
      <c r="H897" s="82">
        <v>263.67</v>
      </c>
      <c r="I897" s="173">
        <f t="shared" si="27"/>
        <v>-2.9495178672716005E-3</v>
      </c>
    </row>
    <row r="898" spans="1:9" ht="17.5">
      <c r="A898" s="248">
        <v>43651</v>
      </c>
      <c r="B898" s="249">
        <v>78.25</v>
      </c>
      <c r="C898" s="47">
        <f t="shared" si="28"/>
        <v>-1.4359491119788403E-2</v>
      </c>
      <c r="E898" s="81"/>
      <c r="F898" s="82"/>
      <c r="G898" s="81">
        <v>43606</v>
      </c>
      <c r="H898" s="82">
        <v>264.95</v>
      </c>
      <c r="I898" s="173">
        <f t="shared" si="27"/>
        <v>4.8545530397845482E-3</v>
      </c>
    </row>
    <row r="899" spans="1:9" ht="17.5">
      <c r="A899" s="248">
        <v>43652</v>
      </c>
      <c r="B899" s="249">
        <v>78.16</v>
      </c>
      <c r="C899" s="47">
        <f t="shared" si="28"/>
        <v>-1.1501597444090184E-3</v>
      </c>
      <c r="E899" s="81"/>
      <c r="F899" s="82"/>
      <c r="G899" s="81">
        <v>43607</v>
      </c>
      <c r="H899" s="82">
        <v>263.52</v>
      </c>
      <c r="I899" s="173">
        <f t="shared" si="27"/>
        <v>-5.397244763162834E-3</v>
      </c>
    </row>
    <row r="900" spans="1:9" ht="17.5">
      <c r="A900" s="248">
        <v>43655</v>
      </c>
      <c r="B900" s="249">
        <v>78.489999999999995</v>
      </c>
      <c r="C900" s="47">
        <f t="shared" si="28"/>
        <v>4.2221084953939503E-3</v>
      </c>
      <c r="E900" s="81"/>
      <c r="F900" s="82"/>
      <c r="G900" s="81">
        <v>43608</v>
      </c>
      <c r="H900" s="82">
        <v>261.58999999999997</v>
      </c>
      <c r="I900" s="173">
        <f t="shared" si="27"/>
        <v>-7.3239222829386552E-3</v>
      </c>
    </row>
    <row r="901" spans="1:9" ht="17.5">
      <c r="A901" s="248">
        <v>43656</v>
      </c>
      <c r="B901" s="249">
        <v>78.989999999999995</v>
      </c>
      <c r="C901" s="47">
        <f t="shared" si="28"/>
        <v>6.3702382469104091E-3</v>
      </c>
      <c r="E901" s="81"/>
      <c r="F901" s="82"/>
      <c r="G901" s="81">
        <v>43609</v>
      </c>
      <c r="H901" s="82">
        <v>259.92</v>
      </c>
      <c r="I901" s="173">
        <f t="shared" si="27"/>
        <v>-6.3840360870062174E-3</v>
      </c>
    </row>
    <row r="902" spans="1:9" ht="17.5">
      <c r="A902" s="248">
        <v>43657</v>
      </c>
      <c r="B902" s="249">
        <v>79.94</v>
      </c>
      <c r="C902" s="47">
        <f t="shared" si="28"/>
        <v>1.2026838840359488E-2</v>
      </c>
      <c r="E902" s="81"/>
      <c r="F902" s="82"/>
      <c r="G902" s="81">
        <v>43610</v>
      </c>
      <c r="H902" s="82">
        <v>261.86</v>
      </c>
      <c r="I902" s="173">
        <f t="shared" si="27"/>
        <v>7.4638350261619912E-3</v>
      </c>
    </row>
    <row r="903" spans="1:9" ht="17.5">
      <c r="A903" s="248">
        <v>43658</v>
      </c>
      <c r="B903" s="249">
        <v>80.8</v>
      </c>
      <c r="C903" s="47">
        <f t="shared" si="28"/>
        <v>1.075806855141348E-2</v>
      </c>
      <c r="E903" s="81"/>
      <c r="F903" s="82"/>
      <c r="G903" s="81">
        <v>43613</v>
      </c>
      <c r="H903" s="82">
        <v>261.94</v>
      </c>
      <c r="I903" s="173">
        <f t="shared" si="27"/>
        <v>3.0550675933693761E-4</v>
      </c>
    </row>
    <row r="904" spans="1:9" ht="17.5">
      <c r="A904" s="248">
        <v>43659</v>
      </c>
      <c r="B904" s="249">
        <v>80.33</v>
      </c>
      <c r="C904" s="47">
        <f t="shared" si="28"/>
        <v>-5.8168316831682665E-3</v>
      </c>
      <c r="E904" s="81"/>
      <c r="F904" s="82"/>
      <c r="G904" s="81">
        <v>43614</v>
      </c>
      <c r="H904" s="82">
        <v>261.22000000000003</v>
      </c>
      <c r="I904" s="173">
        <f t="shared" si="27"/>
        <v>-2.7487210811635299E-3</v>
      </c>
    </row>
    <row r="905" spans="1:9" ht="17.5">
      <c r="A905" s="248">
        <v>43662</v>
      </c>
      <c r="B905" s="249">
        <v>80.45</v>
      </c>
      <c r="C905" s="47">
        <f t="shared" si="28"/>
        <v>1.4938379185858164E-3</v>
      </c>
      <c r="E905" s="81"/>
      <c r="F905" s="82"/>
      <c r="G905" s="81">
        <v>43615</v>
      </c>
      <c r="H905" s="82">
        <v>258.61</v>
      </c>
      <c r="I905" s="173">
        <f t="shared" si="27"/>
        <v>-9.9915779802466353E-3</v>
      </c>
    </row>
    <row r="906" spans="1:9" ht="17.5">
      <c r="A906" s="248">
        <v>43663</v>
      </c>
      <c r="B906" s="249">
        <v>80.849999999999994</v>
      </c>
      <c r="C906" s="47">
        <f t="shared" si="28"/>
        <v>4.9720323182098625E-3</v>
      </c>
      <c r="E906" s="81"/>
      <c r="F906" s="82"/>
      <c r="G906" s="81">
        <v>43616</v>
      </c>
      <c r="H906" s="82">
        <v>259.74</v>
      </c>
      <c r="I906" s="173">
        <f t="shared" si="27"/>
        <v>4.3695139399095861E-3</v>
      </c>
    </row>
    <row r="907" spans="1:9" ht="17.5">
      <c r="A907" s="248">
        <v>43664</v>
      </c>
      <c r="B907" s="249">
        <v>80.63</v>
      </c>
      <c r="C907" s="47">
        <f t="shared" si="28"/>
        <v>-2.7210884353741083E-3</v>
      </c>
      <c r="E907" s="81"/>
      <c r="F907" s="82"/>
      <c r="G907" s="81">
        <v>43617</v>
      </c>
      <c r="H907" s="82">
        <v>264.87</v>
      </c>
      <c r="I907" s="173">
        <f t="shared" si="27"/>
        <v>1.9750519750519668E-2</v>
      </c>
    </row>
    <row r="908" spans="1:9" ht="17.5">
      <c r="A908" s="248">
        <v>43665</v>
      </c>
      <c r="B908" s="249">
        <v>80.14</v>
      </c>
      <c r="C908" s="47">
        <f t="shared" si="28"/>
        <v>-6.0771425027904558E-3</v>
      </c>
      <c r="E908" s="81"/>
      <c r="F908" s="82"/>
      <c r="G908" s="81">
        <v>43620</v>
      </c>
      <c r="H908" s="82">
        <v>265.62</v>
      </c>
      <c r="I908" s="173">
        <f t="shared" si="27"/>
        <v>2.8315777551251031E-3</v>
      </c>
    </row>
    <row r="909" spans="1:9" ht="17.5">
      <c r="A909" s="248">
        <v>43666</v>
      </c>
      <c r="B909" s="249">
        <v>80.39</v>
      </c>
      <c r="C909" s="47">
        <f t="shared" si="28"/>
        <v>3.1195408035937788E-3</v>
      </c>
      <c r="E909" s="81"/>
      <c r="F909" s="82"/>
      <c r="G909" s="81">
        <v>43621</v>
      </c>
      <c r="H909" s="82">
        <v>265.95999999999998</v>
      </c>
      <c r="I909" s="173">
        <f t="shared" si="27"/>
        <v>1.2800240945711749E-3</v>
      </c>
    </row>
    <row r="910" spans="1:9" ht="17.5">
      <c r="A910" s="248">
        <v>43669</v>
      </c>
      <c r="B910" s="249">
        <v>80.55</v>
      </c>
      <c r="C910" s="47">
        <f t="shared" si="28"/>
        <v>1.9902973006591385E-3</v>
      </c>
      <c r="E910" s="81"/>
      <c r="F910" s="82"/>
      <c r="G910" s="81">
        <v>43622</v>
      </c>
      <c r="H910" s="82">
        <v>267.89999999999998</v>
      </c>
      <c r="I910" s="173">
        <f t="shared" si="27"/>
        <v>7.2943299744321344E-3</v>
      </c>
    </row>
    <row r="911" spans="1:9" ht="17.5">
      <c r="A911" s="248">
        <v>43670</v>
      </c>
      <c r="B911" s="249">
        <v>80.44</v>
      </c>
      <c r="C911" s="47">
        <f t="shared" si="28"/>
        <v>-1.3656114214772863E-3</v>
      </c>
      <c r="E911" s="81"/>
      <c r="F911" s="82"/>
      <c r="G911" s="81">
        <v>43623</v>
      </c>
      <c r="H911" s="82">
        <v>267.49</v>
      </c>
      <c r="I911" s="173">
        <f t="shared" si="27"/>
        <v>-1.5304217991787272E-3</v>
      </c>
    </row>
    <row r="912" spans="1:9" ht="17.5">
      <c r="A912" s="248">
        <v>43671</v>
      </c>
      <c r="B912" s="249">
        <v>80.7</v>
      </c>
      <c r="C912" s="47">
        <f t="shared" si="28"/>
        <v>3.232222774739002E-3</v>
      </c>
      <c r="E912" s="81"/>
      <c r="F912" s="82"/>
      <c r="G912" s="81">
        <v>43624</v>
      </c>
      <c r="H912" s="82">
        <v>269.10000000000002</v>
      </c>
      <c r="I912" s="173">
        <f t="shared" ref="I912:I975" si="29">H912/H911-1</f>
        <v>6.0189165950128576E-3</v>
      </c>
    </row>
    <row r="913" spans="1:9" ht="17.5">
      <c r="A913" s="248">
        <v>43672</v>
      </c>
      <c r="B913" s="249">
        <v>79.94</v>
      </c>
      <c r="C913" s="47">
        <f t="shared" ref="C913:C976" si="30">B913/B912-1</f>
        <v>-9.417596034696496E-3</v>
      </c>
      <c r="E913" s="81"/>
      <c r="F913" s="82"/>
      <c r="G913" s="81">
        <v>43627</v>
      </c>
      <c r="H913" s="82">
        <v>269.38</v>
      </c>
      <c r="I913" s="173">
        <f t="shared" si="29"/>
        <v>1.0405053883313364E-3</v>
      </c>
    </row>
    <row r="914" spans="1:9" ht="17.5">
      <c r="A914" s="248">
        <v>43673</v>
      </c>
      <c r="B914" s="249">
        <v>80.91</v>
      </c>
      <c r="C914" s="47">
        <f t="shared" si="30"/>
        <v>1.2134100575431628E-2</v>
      </c>
      <c r="E914" s="81"/>
      <c r="F914" s="82"/>
      <c r="G914" s="81">
        <v>43628</v>
      </c>
      <c r="H914" s="82">
        <v>271.41000000000003</v>
      </c>
      <c r="I914" s="173">
        <f t="shared" si="29"/>
        <v>7.5358230009652249E-3</v>
      </c>
    </row>
    <row r="915" spans="1:9" ht="17.5">
      <c r="A915" s="248">
        <v>43676</v>
      </c>
      <c r="B915" s="249">
        <v>81.02</v>
      </c>
      <c r="C915" s="47">
        <f t="shared" si="30"/>
        <v>1.359535286120428E-3</v>
      </c>
      <c r="E915" s="81"/>
      <c r="F915" s="82"/>
      <c r="G915" s="81">
        <v>43629</v>
      </c>
      <c r="H915" s="82">
        <v>272.49</v>
      </c>
      <c r="I915" s="173">
        <f t="shared" si="29"/>
        <v>3.9792196308168215E-3</v>
      </c>
    </row>
    <row r="916" spans="1:9" ht="17.5">
      <c r="A916" s="248">
        <v>43677</v>
      </c>
      <c r="B916" s="249">
        <v>80.209999999999994</v>
      </c>
      <c r="C916" s="47">
        <f t="shared" si="30"/>
        <v>-9.9975314737101861E-3</v>
      </c>
      <c r="E916" s="81"/>
      <c r="F916" s="82"/>
      <c r="G916" s="81">
        <v>43630</v>
      </c>
      <c r="H916" s="82">
        <v>274.97000000000003</v>
      </c>
      <c r="I916" s="173">
        <f t="shared" si="29"/>
        <v>9.1012514220705221E-3</v>
      </c>
    </row>
    <row r="917" spans="1:9" ht="17.5">
      <c r="A917" s="248">
        <v>43678</v>
      </c>
      <c r="B917" s="249">
        <v>79.63</v>
      </c>
      <c r="C917" s="47">
        <f t="shared" si="30"/>
        <v>-7.2310185762373136E-3</v>
      </c>
      <c r="E917" s="81"/>
      <c r="F917" s="82"/>
      <c r="G917" s="81">
        <v>43631</v>
      </c>
      <c r="H917" s="82">
        <v>276.52</v>
      </c>
      <c r="I917" s="173">
        <f t="shared" si="29"/>
        <v>5.6369785794812E-3</v>
      </c>
    </row>
    <row r="918" spans="1:9" ht="17.5">
      <c r="A918" s="248">
        <v>43679</v>
      </c>
      <c r="B918" s="249">
        <v>78.95</v>
      </c>
      <c r="C918" s="47">
        <f t="shared" si="30"/>
        <v>-8.539495165138633E-3</v>
      </c>
      <c r="E918" s="81"/>
      <c r="F918" s="82"/>
      <c r="G918" s="81">
        <v>43634</v>
      </c>
      <c r="H918" s="82">
        <v>275.3</v>
      </c>
      <c r="I918" s="173">
        <f t="shared" si="29"/>
        <v>-4.4119774338202689E-3</v>
      </c>
    </row>
    <row r="919" spans="1:9" ht="17.5">
      <c r="A919" s="248">
        <v>43680</v>
      </c>
      <c r="B919" s="249">
        <v>80</v>
      </c>
      <c r="C919" s="47">
        <f t="shared" si="30"/>
        <v>1.3299556681444002E-2</v>
      </c>
      <c r="E919" s="81"/>
      <c r="F919" s="82"/>
      <c r="G919" s="81">
        <v>43635</v>
      </c>
      <c r="H919" s="82">
        <v>272.67</v>
      </c>
      <c r="I919" s="173">
        <f t="shared" si="29"/>
        <v>-9.5532146749001123E-3</v>
      </c>
    </row>
    <row r="920" spans="1:9" ht="17.5">
      <c r="A920" s="248">
        <v>43683</v>
      </c>
      <c r="B920" s="249">
        <v>79.739999999999995</v>
      </c>
      <c r="C920" s="47">
        <f t="shared" si="30"/>
        <v>-3.2500000000000862E-3</v>
      </c>
      <c r="E920" s="81"/>
      <c r="F920" s="82"/>
      <c r="G920" s="81">
        <v>43636</v>
      </c>
      <c r="H920" s="82">
        <v>271.08</v>
      </c>
      <c r="I920" s="173">
        <f t="shared" si="29"/>
        <v>-5.831224557157122E-3</v>
      </c>
    </row>
    <row r="921" spans="1:9" ht="17.5">
      <c r="A921" s="248">
        <v>43684</v>
      </c>
      <c r="B921" s="249">
        <v>79.95</v>
      </c>
      <c r="C921" s="47">
        <f t="shared" si="30"/>
        <v>2.6335590669677167E-3</v>
      </c>
      <c r="E921" s="81"/>
      <c r="F921" s="82"/>
      <c r="G921" s="81">
        <v>43637</v>
      </c>
      <c r="H921" s="82">
        <v>270</v>
      </c>
      <c r="I921" s="173">
        <f t="shared" si="29"/>
        <v>-3.9840637450199168E-3</v>
      </c>
    </row>
    <row r="922" spans="1:9" ht="17.5">
      <c r="A922" s="248">
        <v>43685</v>
      </c>
      <c r="B922" s="249">
        <v>80.11</v>
      </c>
      <c r="C922" s="47">
        <f t="shared" si="30"/>
        <v>2.0012507817386282E-3</v>
      </c>
      <c r="E922" s="81"/>
      <c r="F922" s="82"/>
      <c r="G922" s="81">
        <v>43638</v>
      </c>
      <c r="H922" s="82">
        <v>267.77</v>
      </c>
      <c r="I922" s="173">
        <f t="shared" si="29"/>
        <v>-8.2592592592592995E-3</v>
      </c>
    </row>
    <row r="923" spans="1:9" ht="17.5">
      <c r="A923" s="248">
        <v>43686</v>
      </c>
      <c r="B923" s="249">
        <v>79.81</v>
      </c>
      <c r="C923" s="47">
        <f t="shared" si="30"/>
        <v>-3.7448508301085592E-3</v>
      </c>
      <c r="E923" s="81"/>
      <c r="F923" s="82"/>
      <c r="G923" s="81">
        <v>43641</v>
      </c>
      <c r="H923" s="82">
        <v>266.77999999999997</v>
      </c>
      <c r="I923" s="173">
        <f t="shared" si="29"/>
        <v>-3.697202823318535E-3</v>
      </c>
    </row>
    <row r="924" spans="1:9" ht="17.5">
      <c r="A924" s="248">
        <v>43687</v>
      </c>
      <c r="B924" s="249">
        <v>79.62</v>
      </c>
      <c r="C924" s="47">
        <f t="shared" si="30"/>
        <v>-2.3806540533767295E-3</v>
      </c>
      <c r="E924" s="81"/>
      <c r="F924" s="82"/>
      <c r="G924" s="81">
        <v>43642</v>
      </c>
      <c r="H924" s="82">
        <v>268.27</v>
      </c>
      <c r="I924" s="173">
        <f t="shared" si="29"/>
        <v>5.5851263213135827E-3</v>
      </c>
    </row>
    <row r="925" spans="1:9" ht="17.5">
      <c r="A925" s="248">
        <v>43690</v>
      </c>
      <c r="B925" s="249">
        <v>78.98</v>
      </c>
      <c r="C925" s="47">
        <f t="shared" si="30"/>
        <v>-8.0381813614669451E-3</v>
      </c>
      <c r="E925" s="81"/>
      <c r="F925" s="82"/>
      <c r="G925" s="81">
        <v>43643</v>
      </c>
      <c r="H925" s="82">
        <v>267.87</v>
      </c>
      <c r="I925" s="173">
        <f t="shared" si="29"/>
        <v>-1.4910351511535636E-3</v>
      </c>
    </row>
    <row r="926" spans="1:9" ht="17.5">
      <c r="A926" s="248">
        <v>43691</v>
      </c>
      <c r="B926" s="249">
        <v>78.31</v>
      </c>
      <c r="C926" s="47">
        <f t="shared" si="30"/>
        <v>-8.4831602937452955E-3</v>
      </c>
      <c r="E926" s="81"/>
      <c r="F926" s="82"/>
      <c r="G926" s="81">
        <v>43644</v>
      </c>
      <c r="H926" s="82">
        <v>267.24</v>
      </c>
      <c r="I926" s="173">
        <f t="shared" si="29"/>
        <v>-2.3518871094186933E-3</v>
      </c>
    </row>
    <row r="927" spans="1:9" ht="17.5">
      <c r="A927" s="248">
        <v>43692</v>
      </c>
      <c r="B927" s="249">
        <v>78.17</v>
      </c>
      <c r="C927" s="47">
        <f t="shared" si="30"/>
        <v>-1.7877665687652255E-3</v>
      </c>
      <c r="E927" s="81"/>
      <c r="F927" s="82"/>
      <c r="G927" s="81">
        <v>43645</v>
      </c>
      <c r="H927" s="82">
        <v>268.13</v>
      </c>
      <c r="I927" s="173">
        <f t="shared" si="29"/>
        <v>3.3303397694954828E-3</v>
      </c>
    </row>
    <row r="928" spans="1:9" ht="17.5">
      <c r="A928" s="248">
        <v>43693</v>
      </c>
      <c r="B928" s="249">
        <v>78.099999999999994</v>
      </c>
      <c r="C928" s="47">
        <f t="shared" si="30"/>
        <v>-8.9548420110030502E-4</v>
      </c>
      <c r="E928" s="81"/>
      <c r="F928" s="82"/>
      <c r="G928" s="81">
        <v>43648</v>
      </c>
      <c r="H928" s="82">
        <v>271.83</v>
      </c>
      <c r="I928" s="173">
        <f t="shared" si="29"/>
        <v>1.3799276470368715E-2</v>
      </c>
    </row>
    <row r="929" spans="1:9" ht="17.5">
      <c r="A929" s="248">
        <v>43694</v>
      </c>
      <c r="B929" s="249">
        <v>78.08</v>
      </c>
      <c r="C929" s="47">
        <f t="shared" si="30"/>
        <v>-2.5608194622273039E-4</v>
      </c>
      <c r="E929" s="81"/>
      <c r="F929" s="82"/>
      <c r="G929" s="81">
        <v>43649</v>
      </c>
      <c r="H929" s="82">
        <v>272.62</v>
      </c>
      <c r="I929" s="173">
        <f t="shared" si="29"/>
        <v>2.9062281573042359E-3</v>
      </c>
    </row>
    <row r="930" spans="1:9" ht="17.5">
      <c r="A930" s="248">
        <v>43697</v>
      </c>
      <c r="B930" s="249">
        <v>77.69</v>
      </c>
      <c r="C930" s="47">
        <f t="shared" si="30"/>
        <v>-4.9948770491803351E-3</v>
      </c>
      <c r="E930" s="81"/>
      <c r="F930" s="82"/>
      <c r="G930" s="81">
        <v>43650</v>
      </c>
      <c r="H930" s="82">
        <v>270.79000000000002</v>
      </c>
      <c r="I930" s="173">
        <f t="shared" si="29"/>
        <v>-6.7126403051867012E-3</v>
      </c>
    </row>
    <row r="931" spans="1:9" ht="17.5">
      <c r="A931" s="248">
        <v>43698</v>
      </c>
      <c r="B931" s="249">
        <v>77.91</v>
      </c>
      <c r="C931" s="47">
        <f t="shared" si="30"/>
        <v>2.8317672802162797E-3</v>
      </c>
      <c r="E931" s="81"/>
      <c r="F931" s="82"/>
      <c r="G931" s="81">
        <v>43651</v>
      </c>
      <c r="H931" s="82">
        <v>266.88</v>
      </c>
      <c r="I931" s="173">
        <f t="shared" si="29"/>
        <v>-1.4439233354259895E-2</v>
      </c>
    </row>
    <row r="932" spans="1:9" ht="17.5">
      <c r="A932" s="248">
        <v>43699</v>
      </c>
      <c r="B932" s="249">
        <v>79.16</v>
      </c>
      <c r="C932" s="47">
        <f t="shared" si="30"/>
        <v>1.6044153510460735E-2</v>
      </c>
      <c r="E932" s="81"/>
      <c r="F932" s="82"/>
      <c r="G932" s="81">
        <v>43652</v>
      </c>
      <c r="H932" s="82">
        <v>266.27</v>
      </c>
      <c r="I932" s="173">
        <f t="shared" si="29"/>
        <v>-2.2856714628297636E-3</v>
      </c>
    </row>
    <row r="933" spans="1:9" ht="17.5">
      <c r="A933" s="248">
        <v>43700</v>
      </c>
      <c r="B933" s="249">
        <v>78.62</v>
      </c>
      <c r="C933" s="47">
        <f t="shared" si="30"/>
        <v>-6.8216270843859395E-3</v>
      </c>
      <c r="E933" s="81"/>
      <c r="F933" s="82"/>
      <c r="G933" s="81">
        <v>43655</v>
      </c>
      <c r="H933" s="82">
        <v>266.64999999999998</v>
      </c>
      <c r="I933" s="173">
        <f t="shared" si="29"/>
        <v>1.4271228452322759E-3</v>
      </c>
    </row>
    <row r="934" spans="1:9" ht="17.5">
      <c r="A934" s="248">
        <v>43701</v>
      </c>
      <c r="B934" s="249">
        <v>78.739999999999995</v>
      </c>
      <c r="C934" s="47">
        <f t="shared" si="30"/>
        <v>1.5263291783260691E-3</v>
      </c>
      <c r="E934" s="81"/>
      <c r="F934" s="82"/>
      <c r="G934" s="81">
        <v>43656</v>
      </c>
      <c r="H934" s="82">
        <v>269.35000000000002</v>
      </c>
      <c r="I934" s="173">
        <f t="shared" si="29"/>
        <v>1.0125632852053368E-2</v>
      </c>
    </row>
    <row r="935" spans="1:9" ht="17.5">
      <c r="A935" s="248">
        <v>43704</v>
      </c>
      <c r="B935" s="249">
        <v>78.989999999999995</v>
      </c>
      <c r="C935" s="47">
        <f t="shared" si="30"/>
        <v>3.1750063500126657E-3</v>
      </c>
      <c r="E935" s="81"/>
      <c r="F935" s="82"/>
      <c r="G935" s="81">
        <v>43657</v>
      </c>
      <c r="H935" s="82">
        <v>271.79000000000002</v>
      </c>
      <c r="I935" s="173">
        <f t="shared" si="29"/>
        <v>9.0588453684796733E-3</v>
      </c>
    </row>
    <row r="936" spans="1:9" ht="17.5">
      <c r="A936" s="248">
        <v>43705</v>
      </c>
      <c r="B936" s="249">
        <v>79.81</v>
      </c>
      <c r="C936" s="47">
        <f t="shared" si="30"/>
        <v>1.0381060893784211E-2</v>
      </c>
      <c r="E936" s="81"/>
      <c r="F936" s="82"/>
      <c r="G936" s="81">
        <v>43658</v>
      </c>
      <c r="H936" s="82">
        <v>275.27</v>
      </c>
      <c r="I936" s="173">
        <f t="shared" si="29"/>
        <v>1.2804003090621352E-2</v>
      </c>
    </row>
    <row r="937" spans="1:9" ht="17.5">
      <c r="A937" s="248">
        <v>43706</v>
      </c>
      <c r="B937" s="249">
        <v>79.599999999999994</v>
      </c>
      <c r="C937" s="47">
        <f t="shared" si="30"/>
        <v>-2.6312492168901747E-3</v>
      </c>
      <c r="E937" s="81"/>
      <c r="F937" s="82"/>
      <c r="G937" s="81">
        <v>43659</v>
      </c>
      <c r="H937" s="82">
        <v>276.8</v>
      </c>
      <c r="I937" s="173">
        <f t="shared" si="29"/>
        <v>5.5581792421985909E-3</v>
      </c>
    </row>
    <row r="938" spans="1:9" ht="17.5">
      <c r="A938" s="248">
        <v>43707</v>
      </c>
      <c r="B938" s="249">
        <v>79.52</v>
      </c>
      <c r="C938" s="47">
        <f t="shared" si="30"/>
        <v>-1.0050251256281673E-3</v>
      </c>
      <c r="E938" s="81"/>
      <c r="F938" s="82"/>
      <c r="G938" s="81">
        <v>43662</v>
      </c>
      <c r="H938" s="82">
        <v>277.06</v>
      </c>
      <c r="I938" s="173">
        <f t="shared" si="29"/>
        <v>9.3930635838157528E-4</v>
      </c>
    </row>
    <row r="939" spans="1:9" ht="17.5">
      <c r="A939" s="248">
        <v>43708</v>
      </c>
      <c r="B939" s="249">
        <v>79.319999999999993</v>
      </c>
      <c r="C939" s="47">
        <f t="shared" si="30"/>
        <v>-2.5150905432596016E-3</v>
      </c>
      <c r="E939" s="81"/>
      <c r="F939" s="82"/>
      <c r="G939" s="81">
        <v>43663</v>
      </c>
      <c r="H939" s="82">
        <v>275.45</v>
      </c>
      <c r="I939" s="173">
        <f t="shared" si="29"/>
        <v>-5.8110156644770594E-3</v>
      </c>
    </row>
    <row r="940" spans="1:9" ht="17.5">
      <c r="A940" s="248">
        <v>43712</v>
      </c>
      <c r="B940" s="249">
        <v>78.55</v>
      </c>
      <c r="C940" s="47">
        <f t="shared" si="30"/>
        <v>-9.7075138678769379E-3</v>
      </c>
      <c r="E940" s="81"/>
      <c r="F940" s="82"/>
      <c r="G940" s="81">
        <v>43664</v>
      </c>
      <c r="H940" s="82">
        <v>274.85000000000002</v>
      </c>
      <c r="I940" s="173">
        <f t="shared" si="29"/>
        <v>-2.1782537665636648E-3</v>
      </c>
    </row>
    <row r="941" spans="1:9" ht="17.5">
      <c r="A941" s="248">
        <v>43713</v>
      </c>
      <c r="B941" s="249">
        <v>78.430000000000007</v>
      </c>
      <c r="C941" s="47">
        <f t="shared" si="30"/>
        <v>-1.5276893698280558E-3</v>
      </c>
      <c r="E941" s="81"/>
      <c r="F941" s="82"/>
      <c r="G941" s="81">
        <v>43665</v>
      </c>
      <c r="H941" s="82">
        <v>274.93</v>
      </c>
      <c r="I941" s="173">
        <f t="shared" si="29"/>
        <v>2.9106785519372735E-4</v>
      </c>
    </row>
    <row r="942" spans="1:9" ht="17.5">
      <c r="A942" s="248">
        <v>43714</v>
      </c>
      <c r="B942" s="249">
        <v>78.849999999999994</v>
      </c>
      <c r="C942" s="47">
        <f t="shared" si="30"/>
        <v>5.3550937141397803E-3</v>
      </c>
      <c r="E942" s="81"/>
      <c r="F942" s="82"/>
      <c r="G942" s="81">
        <v>43666</v>
      </c>
      <c r="H942" s="82">
        <v>274.45999999999998</v>
      </c>
      <c r="I942" s="173">
        <f t="shared" si="29"/>
        <v>-1.7095260611793561E-3</v>
      </c>
    </row>
    <row r="943" spans="1:9" ht="17.5">
      <c r="A943" s="248">
        <v>43715</v>
      </c>
      <c r="B943" s="249">
        <v>78.91</v>
      </c>
      <c r="C943" s="47">
        <f t="shared" si="30"/>
        <v>7.6093849080538511E-4</v>
      </c>
      <c r="E943" s="81"/>
      <c r="F943" s="82"/>
      <c r="G943" s="81">
        <v>43669</v>
      </c>
      <c r="H943" s="82">
        <v>273.87</v>
      </c>
      <c r="I943" s="173">
        <f t="shared" si="29"/>
        <v>-2.149675726881739E-3</v>
      </c>
    </row>
    <row r="944" spans="1:9" ht="17.5">
      <c r="A944" s="248">
        <v>43718</v>
      </c>
      <c r="B944" s="249">
        <v>78.790000000000006</v>
      </c>
      <c r="C944" s="47">
        <f t="shared" si="30"/>
        <v>-1.520719807375337E-3</v>
      </c>
      <c r="E944" s="81"/>
      <c r="F944" s="82"/>
      <c r="G944" s="81">
        <v>43670</v>
      </c>
      <c r="H944" s="82">
        <v>278.67</v>
      </c>
      <c r="I944" s="173">
        <f t="shared" si="29"/>
        <v>1.7526563698105013E-2</v>
      </c>
    </row>
    <row r="945" spans="1:9" ht="17.5">
      <c r="A945" s="248">
        <v>43719</v>
      </c>
      <c r="B945" s="249">
        <v>78.849999999999994</v>
      </c>
      <c r="C945" s="47">
        <f t="shared" si="30"/>
        <v>7.6151795913181886E-4</v>
      </c>
      <c r="E945" s="81"/>
      <c r="F945" s="82"/>
      <c r="G945" s="81">
        <v>43671</v>
      </c>
      <c r="H945" s="82">
        <v>278.95999999999998</v>
      </c>
      <c r="I945" s="173">
        <f t="shared" si="29"/>
        <v>1.0406574084040887E-3</v>
      </c>
    </row>
    <row r="946" spans="1:9" ht="17.5">
      <c r="A946" s="248">
        <v>43720</v>
      </c>
      <c r="B946" s="249">
        <v>78.900000000000006</v>
      </c>
      <c r="C946" s="47">
        <f t="shared" si="30"/>
        <v>6.3411540900459862E-4</v>
      </c>
      <c r="E946" s="81"/>
      <c r="F946" s="82"/>
      <c r="G946" s="81">
        <v>43672</v>
      </c>
      <c r="H946" s="82">
        <v>279.7</v>
      </c>
      <c r="I946" s="173">
        <f t="shared" si="29"/>
        <v>2.6527100659592406E-3</v>
      </c>
    </row>
    <row r="947" spans="1:9" ht="17.5">
      <c r="A947" s="248">
        <v>43721</v>
      </c>
      <c r="B947" s="249">
        <v>78.92</v>
      </c>
      <c r="C947" s="47">
        <f t="shared" si="30"/>
        <v>2.5348542458814016E-4</v>
      </c>
      <c r="E947" s="81"/>
      <c r="F947" s="82"/>
      <c r="G947" s="81">
        <v>43673</v>
      </c>
      <c r="H947" s="82">
        <v>281.95999999999998</v>
      </c>
      <c r="I947" s="173">
        <f t="shared" si="29"/>
        <v>8.0800858062208825E-3</v>
      </c>
    </row>
    <row r="948" spans="1:9" ht="17.5">
      <c r="A948" s="248">
        <v>43722</v>
      </c>
      <c r="B948" s="249">
        <v>78.66</v>
      </c>
      <c r="C948" s="47">
        <f t="shared" si="30"/>
        <v>-3.294475418144982E-3</v>
      </c>
      <c r="E948" s="81"/>
      <c r="F948" s="82"/>
      <c r="G948" s="81">
        <v>43676</v>
      </c>
      <c r="H948" s="82">
        <v>283.04000000000002</v>
      </c>
      <c r="I948" s="173">
        <f t="shared" si="29"/>
        <v>3.8303305433395884E-3</v>
      </c>
    </row>
    <row r="949" spans="1:9" ht="17.5">
      <c r="A949" s="248">
        <v>43725</v>
      </c>
      <c r="B949" s="249">
        <v>78.709999999999994</v>
      </c>
      <c r="C949" s="47">
        <f t="shared" si="30"/>
        <v>6.3564708873631304E-4</v>
      </c>
      <c r="E949" s="81"/>
      <c r="F949" s="82"/>
      <c r="G949" s="81">
        <v>43677</v>
      </c>
      <c r="H949" s="82">
        <v>281.66000000000003</v>
      </c>
      <c r="I949" s="173">
        <f t="shared" si="29"/>
        <v>-4.8756359525155002E-3</v>
      </c>
    </row>
    <row r="950" spans="1:9" ht="17.5">
      <c r="A950" s="248">
        <v>43726</v>
      </c>
      <c r="B950" s="249">
        <v>78.62</v>
      </c>
      <c r="C950" s="47">
        <f t="shared" si="30"/>
        <v>-1.1434379367296632E-3</v>
      </c>
      <c r="E950" s="81"/>
      <c r="F950" s="82"/>
      <c r="G950" s="81">
        <v>43678</v>
      </c>
      <c r="H950" s="82">
        <v>276.19</v>
      </c>
      <c r="I950" s="173">
        <f t="shared" si="29"/>
        <v>-1.9420578001846267E-2</v>
      </c>
    </row>
    <row r="951" spans="1:9" ht="17.5">
      <c r="A951" s="248">
        <v>43727</v>
      </c>
      <c r="B951" s="249">
        <v>78.55</v>
      </c>
      <c r="C951" s="47">
        <f t="shared" si="30"/>
        <v>-8.9035868735698465E-4</v>
      </c>
      <c r="E951" s="81"/>
      <c r="F951" s="82"/>
      <c r="G951" s="81">
        <v>43679</v>
      </c>
      <c r="H951" s="82">
        <v>275.31</v>
      </c>
      <c r="I951" s="173">
        <f t="shared" si="29"/>
        <v>-3.1862123900213701E-3</v>
      </c>
    </row>
    <row r="952" spans="1:9" ht="17.5">
      <c r="A952" s="248">
        <v>43728</v>
      </c>
      <c r="B952" s="249">
        <v>77.760000000000005</v>
      </c>
      <c r="C952" s="47">
        <f t="shared" si="30"/>
        <v>-1.0057288351368432E-2</v>
      </c>
      <c r="E952" s="81"/>
      <c r="F952" s="82"/>
      <c r="G952" s="81">
        <v>43680</v>
      </c>
      <c r="H952" s="82">
        <v>276.54000000000002</v>
      </c>
      <c r="I952" s="173">
        <f t="shared" si="29"/>
        <v>4.4676909665468667E-3</v>
      </c>
    </row>
    <row r="953" spans="1:9" ht="17.5">
      <c r="A953" s="248">
        <v>43729</v>
      </c>
      <c r="B953" s="249">
        <v>78.08</v>
      </c>
      <c r="C953" s="47">
        <f t="shared" si="30"/>
        <v>4.1152263374484299E-3</v>
      </c>
      <c r="E953" s="81"/>
      <c r="F953" s="82"/>
      <c r="G953" s="81">
        <v>43683</v>
      </c>
      <c r="H953" s="82">
        <v>276.24</v>
      </c>
      <c r="I953" s="173">
        <f t="shared" si="29"/>
        <v>-1.0848340203949425E-3</v>
      </c>
    </row>
    <row r="954" spans="1:9" ht="17.5">
      <c r="A954" s="248">
        <v>43732</v>
      </c>
      <c r="B954" s="249">
        <v>77.63</v>
      </c>
      <c r="C954" s="47">
        <f t="shared" si="30"/>
        <v>-5.763319672131173E-3</v>
      </c>
      <c r="E954" s="81"/>
      <c r="F954" s="82"/>
      <c r="G954" s="81">
        <v>43684</v>
      </c>
      <c r="H954" s="82">
        <v>273.3</v>
      </c>
      <c r="I954" s="173">
        <f t="shared" si="29"/>
        <v>-1.0642919200695045E-2</v>
      </c>
    </row>
    <row r="955" spans="1:9" ht="17.5">
      <c r="A955" s="248">
        <v>43733</v>
      </c>
      <c r="B955" s="249">
        <v>77.12</v>
      </c>
      <c r="C955" s="47">
        <f t="shared" si="30"/>
        <v>-6.5696251449181009E-3</v>
      </c>
      <c r="E955" s="81"/>
      <c r="F955" s="82"/>
      <c r="G955" s="81">
        <v>43685</v>
      </c>
      <c r="H955" s="82">
        <v>274.14</v>
      </c>
      <c r="I955" s="173">
        <f t="shared" si="29"/>
        <v>3.0735455543358103E-3</v>
      </c>
    </row>
    <row r="956" spans="1:9" ht="17.5">
      <c r="A956" s="248">
        <v>43734</v>
      </c>
      <c r="B956" s="249">
        <v>76.78</v>
      </c>
      <c r="C956" s="47">
        <f t="shared" si="30"/>
        <v>-4.4087136929461535E-3</v>
      </c>
      <c r="E956" s="81"/>
      <c r="F956" s="82"/>
      <c r="G956" s="81">
        <v>43686</v>
      </c>
      <c r="H956" s="82">
        <v>274.06</v>
      </c>
      <c r="I956" s="173">
        <f t="shared" si="29"/>
        <v>-2.9182169694308424E-4</v>
      </c>
    </row>
    <row r="957" spans="1:9" ht="17.5">
      <c r="A957" s="248">
        <v>43735</v>
      </c>
      <c r="B957" s="249">
        <v>76.959999999999994</v>
      </c>
      <c r="C957" s="47">
        <f t="shared" si="30"/>
        <v>2.3443605105495369E-3</v>
      </c>
      <c r="E957" s="81"/>
      <c r="F957" s="82"/>
      <c r="G957" s="81">
        <v>43687</v>
      </c>
      <c r="H957" s="82">
        <v>271.55</v>
      </c>
      <c r="I957" s="173">
        <f t="shared" si="29"/>
        <v>-9.158578413486107E-3</v>
      </c>
    </row>
    <row r="958" spans="1:9" ht="17.5">
      <c r="A958" s="248">
        <v>43736</v>
      </c>
      <c r="B958" s="249">
        <v>76.87</v>
      </c>
      <c r="C958" s="47">
        <f t="shared" si="30"/>
        <v>-1.1694386694385273E-3</v>
      </c>
      <c r="E958" s="81"/>
      <c r="F958" s="82"/>
      <c r="G958" s="81">
        <v>43690</v>
      </c>
      <c r="H958" s="82">
        <v>268.61</v>
      </c>
      <c r="I958" s="173">
        <f t="shared" si="29"/>
        <v>-1.0826735407843846E-2</v>
      </c>
    </row>
    <row r="959" spans="1:9" ht="17.5">
      <c r="A959" s="248">
        <v>43739</v>
      </c>
      <c r="B959" s="249">
        <v>76.03</v>
      </c>
      <c r="C959" s="47">
        <f t="shared" si="30"/>
        <v>-1.0927540002601877E-2</v>
      </c>
      <c r="E959" s="81"/>
      <c r="F959" s="82"/>
      <c r="G959" s="81">
        <v>43691</v>
      </c>
      <c r="H959" s="82">
        <v>267.47000000000003</v>
      </c>
      <c r="I959" s="173">
        <f t="shared" si="29"/>
        <v>-4.2440713301812316E-3</v>
      </c>
    </row>
    <row r="960" spans="1:9" ht="17.5">
      <c r="A960" s="248">
        <v>43740</v>
      </c>
      <c r="B960" s="249">
        <v>75.180000000000007</v>
      </c>
      <c r="C960" s="47">
        <f t="shared" si="30"/>
        <v>-1.1179797448375606E-2</v>
      </c>
      <c r="E960" s="81"/>
      <c r="F960" s="82"/>
      <c r="G960" s="81">
        <v>43692</v>
      </c>
      <c r="H960" s="82">
        <v>266.51</v>
      </c>
      <c r="I960" s="173">
        <f t="shared" si="29"/>
        <v>-3.5891875724382016E-3</v>
      </c>
    </row>
    <row r="961" spans="1:9" ht="17.5">
      <c r="A961" s="248">
        <v>43741</v>
      </c>
      <c r="B961" s="249">
        <v>75.540000000000006</v>
      </c>
      <c r="C961" s="47">
        <f t="shared" si="30"/>
        <v>4.7885075818037137E-3</v>
      </c>
      <c r="E961" s="81"/>
      <c r="F961" s="82"/>
      <c r="G961" s="81">
        <v>43693</v>
      </c>
      <c r="H961" s="82">
        <v>266.16000000000003</v>
      </c>
      <c r="I961" s="173">
        <f t="shared" si="29"/>
        <v>-1.3132715470337564E-3</v>
      </c>
    </row>
    <row r="962" spans="1:9" ht="17.5">
      <c r="A962" s="248">
        <v>43742</v>
      </c>
      <c r="B962" s="249">
        <v>75.510000000000005</v>
      </c>
      <c r="C962" s="47">
        <f t="shared" si="30"/>
        <v>-3.9714058776807448E-4</v>
      </c>
      <c r="E962" s="81"/>
      <c r="F962" s="82"/>
      <c r="G962" s="81">
        <v>43694</v>
      </c>
      <c r="H962" s="82">
        <v>263.7</v>
      </c>
      <c r="I962" s="173">
        <f t="shared" si="29"/>
        <v>-9.2425608656448999E-3</v>
      </c>
    </row>
    <row r="963" spans="1:9" ht="17.5">
      <c r="A963" s="248">
        <v>43743</v>
      </c>
      <c r="B963" s="249">
        <v>75.540000000000006</v>
      </c>
      <c r="C963" s="47">
        <f t="shared" si="30"/>
        <v>3.9729837107671528E-4</v>
      </c>
      <c r="E963" s="81"/>
      <c r="F963" s="82"/>
      <c r="G963" s="81">
        <v>43697</v>
      </c>
      <c r="H963" s="82">
        <v>262.63</v>
      </c>
      <c r="I963" s="173">
        <f t="shared" si="29"/>
        <v>-4.0576412590064281E-3</v>
      </c>
    </row>
    <row r="964" spans="1:9" ht="17.5">
      <c r="A964" s="248">
        <v>43746</v>
      </c>
      <c r="B964" s="249">
        <v>75.91</v>
      </c>
      <c r="C964" s="47">
        <f t="shared" si="30"/>
        <v>4.8980672491394373E-3</v>
      </c>
      <c r="E964" s="81"/>
      <c r="F964" s="82"/>
      <c r="G964" s="81">
        <v>43698</v>
      </c>
      <c r="H964" s="82">
        <v>264.44</v>
      </c>
      <c r="I964" s="173">
        <f t="shared" si="29"/>
        <v>6.8918250009519788E-3</v>
      </c>
    </row>
    <row r="965" spans="1:9" ht="17.5">
      <c r="A965" s="248">
        <v>43747</v>
      </c>
      <c r="B965" s="249">
        <v>76.03</v>
      </c>
      <c r="C965" s="47">
        <f t="shared" si="30"/>
        <v>1.580819391384658E-3</v>
      </c>
      <c r="E965" s="81"/>
      <c r="F965" s="82"/>
      <c r="G965" s="81">
        <v>43699</v>
      </c>
      <c r="H965" s="82">
        <v>265.56</v>
      </c>
      <c r="I965" s="173">
        <f t="shared" si="29"/>
        <v>4.2353653002571434E-3</v>
      </c>
    </row>
    <row r="966" spans="1:9" ht="17.5">
      <c r="A966" s="248">
        <v>43748</v>
      </c>
      <c r="B966" s="249">
        <v>76.650000000000006</v>
      </c>
      <c r="C966" s="47">
        <f t="shared" si="30"/>
        <v>8.1546757858741437E-3</v>
      </c>
      <c r="E966" s="81"/>
      <c r="F966" s="82"/>
      <c r="G966" s="81">
        <v>43700</v>
      </c>
      <c r="H966" s="82">
        <v>267.77999999999997</v>
      </c>
      <c r="I966" s="173">
        <f t="shared" si="29"/>
        <v>8.3596927248077435E-3</v>
      </c>
    </row>
    <row r="967" spans="1:9" ht="17.5">
      <c r="A967" s="248">
        <v>43749</v>
      </c>
      <c r="B967" s="249">
        <v>75.849999999999994</v>
      </c>
      <c r="C967" s="47">
        <f t="shared" si="30"/>
        <v>-1.0437051532942054E-2</v>
      </c>
      <c r="E967" s="81"/>
      <c r="F967" s="82"/>
      <c r="G967" s="81">
        <v>43701</v>
      </c>
      <c r="H967" s="82">
        <v>265.19</v>
      </c>
      <c r="I967" s="173">
        <f t="shared" si="29"/>
        <v>-9.6721189035774424E-3</v>
      </c>
    </row>
    <row r="968" spans="1:9" ht="17.5">
      <c r="A968" s="248">
        <v>43750</v>
      </c>
      <c r="B968" s="249">
        <v>76.06</v>
      </c>
      <c r="C968" s="47">
        <f t="shared" si="30"/>
        <v>2.7686222808174232E-3</v>
      </c>
      <c r="E968" s="81"/>
      <c r="F968" s="82"/>
      <c r="G968" s="81">
        <v>43704</v>
      </c>
      <c r="H968" s="82">
        <v>266.92</v>
      </c>
      <c r="I968" s="173">
        <f t="shared" si="29"/>
        <v>6.5236245710622587E-3</v>
      </c>
    </row>
    <row r="969" spans="1:9" ht="17.5">
      <c r="A969" s="248">
        <v>43753</v>
      </c>
      <c r="B969" s="249">
        <v>75.98</v>
      </c>
      <c r="C969" s="47">
        <f t="shared" si="30"/>
        <v>-1.0518012095713791E-3</v>
      </c>
      <c r="E969" s="81"/>
      <c r="F969" s="82"/>
      <c r="G969" s="81">
        <v>43705</v>
      </c>
      <c r="H969" s="82">
        <v>269.68</v>
      </c>
      <c r="I969" s="173">
        <f t="shared" si="29"/>
        <v>1.0340176832009496E-2</v>
      </c>
    </row>
    <row r="970" spans="1:9" ht="17.5">
      <c r="A970" s="248">
        <v>43754</v>
      </c>
      <c r="B970" s="249">
        <v>75.61</v>
      </c>
      <c r="C970" s="47">
        <f t="shared" si="30"/>
        <v>-4.8697025533035454E-3</v>
      </c>
      <c r="E970" s="81"/>
      <c r="F970" s="82"/>
      <c r="G970" s="81">
        <v>43706</v>
      </c>
      <c r="H970" s="82">
        <v>269.99</v>
      </c>
      <c r="I970" s="173">
        <f t="shared" si="29"/>
        <v>1.1495105309997644E-3</v>
      </c>
    </row>
    <row r="971" spans="1:9" ht="17.5">
      <c r="A971" s="248">
        <v>43755</v>
      </c>
      <c r="B971" s="249">
        <v>75.13</v>
      </c>
      <c r="C971" s="47">
        <f t="shared" si="30"/>
        <v>-6.3483666181722853E-3</v>
      </c>
      <c r="E971" s="81"/>
      <c r="F971" s="82"/>
      <c r="G971" s="81">
        <v>43707</v>
      </c>
      <c r="H971" s="82">
        <v>267.94</v>
      </c>
      <c r="I971" s="173">
        <f t="shared" si="29"/>
        <v>-7.5928738101411763E-3</v>
      </c>
    </row>
    <row r="972" spans="1:9" ht="17.5">
      <c r="A972" s="248">
        <v>43756</v>
      </c>
      <c r="B972" s="249">
        <v>74.58</v>
      </c>
      <c r="C972" s="47">
        <f t="shared" si="30"/>
        <v>-7.3206442166909858E-3</v>
      </c>
      <c r="E972" s="81"/>
      <c r="F972" s="82"/>
      <c r="G972" s="81">
        <v>43708</v>
      </c>
      <c r="H972" s="82">
        <v>269.08</v>
      </c>
      <c r="I972" s="173">
        <f t="shared" si="29"/>
        <v>4.2546838844517154E-3</v>
      </c>
    </row>
    <row r="973" spans="1:9" ht="17.5">
      <c r="A973" s="248">
        <v>43757</v>
      </c>
      <c r="B973" s="249">
        <v>74.989999999999995</v>
      </c>
      <c r="C973" s="47">
        <f t="shared" si="30"/>
        <v>5.4974524001072389E-3</v>
      </c>
      <c r="E973" s="81"/>
      <c r="F973" s="82"/>
      <c r="G973" s="81">
        <v>43711</v>
      </c>
      <c r="H973" s="82">
        <v>271.70999999999998</v>
      </c>
      <c r="I973" s="173">
        <f t="shared" si="29"/>
        <v>9.7740448937118085E-3</v>
      </c>
    </row>
    <row r="974" spans="1:9" ht="17.5">
      <c r="A974" s="248">
        <v>43760</v>
      </c>
      <c r="B974" s="249">
        <v>75.42</v>
      </c>
      <c r="C974" s="47">
        <f t="shared" si="30"/>
        <v>5.7340978797173481E-3</v>
      </c>
      <c r="E974" s="81"/>
      <c r="F974" s="82"/>
      <c r="G974" s="81">
        <v>43712</v>
      </c>
      <c r="H974" s="82">
        <v>269.5</v>
      </c>
      <c r="I974" s="173">
        <f t="shared" si="29"/>
        <v>-8.1336719296307702E-3</v>
      </c>
    </row>
    <row r="975" spans="1:9" ht="17.5">
      <c r="A975" s="248">
        <v>43761</v>
      </c>
      <c r="B975" s="249">
        <v>76.02</v>
      </c>
      <c r="C975" s="47">
        <f t="shared" si="30"/>
        <v>7.9554494828957267E-3</v>
      </c>
      <c r="E975" s="81"/>
      <c r="F975" s="82"/>
      <c r="G975" s="81">
        <v>43713</v>
      </c>
      <c r="H975" s="82">
        <v>268.58999999999997</v>
      </c>
      <c r="I975" s="173">
        <f t="shared" si="29"/>
        <v>-3.3766233766234777E-3</v>
      </c>
    </row>
    <row r="976" spans="1:9" ht="17.5">
      <c r="A976" s="248">
        <v>43762</v>
      </c>
      <c r="B976" s="249">
        <v>75.45</v>
      </c>
      <c r="C976" s="47">
        <f t="shared" si="30"/>
        <v>-7.4980268350433033E-3</v>
      </c>
      <c r="E976" s="81"/>
      <c r="F976" s="82"/>
      <c r="G976" s="81">
        <v>43714</v>
      </c>
      <c r="H976" s="82">
        <v>266.77</v>
      </c>
      <c r="I976" s="173">
        <f t="shared" ref="I976:I1039" si="31">H976/H975-1</f>
        <v>-6.7761271826948244E-3</v>
      </c>
    </row>
    <row r="977" spans="1:9" ht="17.5">
      <c r="A977" s="248">
        <v>43763</v>
      </c>
      <c r="B977" s="249">
        <v>75.739999999999995</v>
      </c>
      <c r="C977" s="47">
        <f t="shared" ref="C977:C1040" si="32">B977/B976-1</f>
        <v>3.8436050364478724E-3</v>
      </c>
      <c r="E977" s="81"/>
      <c r="F977" s="82"/>
      <c r="G977" s="81">
        <v>43715</v>
      </c>
      <c r="H977" s="82">
        <v>267.02</v>
      </c>
      <c r="I977" s="173">
        <f t="shared" si="31"/>
        <v>9.3713685946705816E-4</v>
      </c>
    </row>
    <row r="978" spans="1:9" ht="17.5">
      <c r="A978" s="248">
        <v>43764</v>
      </c>
      <c r="B978" s="249">
        <v>75.78</v>
      </c>
      <c r="C978" s="47">
        <f t="shared" si="32"/>
        <v>5.2812252442580032E-4</v>
      </c>
      <c r="E978" s="81"/>
      <c r="F978" s="82"/>
      <c r="G978" s="81">
        <v>43718</v>
      </c>
      <c r="H978" s="82">
        <v>268.08999999999997</v>
      </c>
      <c r="I978" s="173">
        <f t="shared" si="31"/>
        <v>4.0071904726237673E-3</v>
      </c>
    </row>
    <row r="979" spans="1:9" ht="17.5">
      <c r="A979" s="248">
        <v>43767</v>
      </c>
      <c r="B979" s="249">
        <v>75.98</v>
      </c>
      <c r="C979" s="47">
        <f t="shared" si="32"/>
        <v>2.6392187912378517E-3</v>
      </c>
      <c r="E979" s="81"/>
      <c r="F979" s="82"/>
      <c r="G979" s="81">
        <v>43719</v>
      </c>
      <c r="H979" s="82">
        <v>267.32</v>
      </c>
      <c r="I979" s="173">
        <f t="shared" si="31"/>
        <v>-2.8721697937259538E-3</v>
      </c>
    </row>
    <row r="980" spans="1:9" ht="17.5">
      <c r="A980" s="248">
        <v>43768</v>
      </c>
      <c r="B980" s="249">
        <v>75.959999999999994</v>
      </c>
      <c r="C980" s="47">
        <f t="shared" si="32"/>
        <v>-2.6322716504356691E-4</v>
      </c>
      <c r="E980" s="81"/>
      <c r="F980" s="82"/>
      <c r="G980" s="81">
        <v>43720</v>
      </c>
      <c r="H980" s="82">
        <v>267.22000000000003</v>
      </c>
      <c r="I980" s="173">
        <f t="shared" si="31"/>
        <v>-3.7408349543610608E-4</v>
      </c>
    </row>
    <row r="981" spans="1:9" ht="17.5">
      <c r="A981" s="248">
        <v>43769</v>
      </c>
      <c r="B981" s="249">
        <v>76.959999999999994</v>
      </c>
      <c r="C981" s="47">
        <f t="shared" si="32"/>
        <v>1.316482359136395E-2</v>
      </c>
      <c r="E981" s="81"/>
      <c r="F981" s="82"/>
      <c r="G981" s="81">
        <v>43721</v>
      </c>
      <c r="H981" s="82">
        <v>268.83</v>
      </c>
      <c r="I981" s="173">
        <f t="shared" si="31"/>
        <v>6.0249981288824639E-3</v>
      </c>
    </row>
    <row r="982" spans="1:9" ht="17.5">
      <c r="A982" s="248">
        <v>43770</v>
      </c>
      <c r="B982" s="249">
        <v>77.73</v>
      </c>
      <c r="C982" s="47">
        <f t="shared" si="32"/>
        <v>1.0005197505197572E-2</v>
      </c>
      <c r="E982" s="81"/>
      <c r="F982" s="82"/>
      <c r="G982" s="81">
        <v>43722</v>
      </c>
      <c r="H982" s="82">
        <v>269.11</v>
      </c>
      <c r="I982" s="173">
        <f t="shared" si="31"/>
        <v>1.0415504222001104E-3</v>
      </c>
    </row>
    <row r="983" spans="1:9" ht="17.5">
      <c r="A983" s="248">
        <v>43771</v>
      </c>
      <c r="B983" s="249">
        <v>78.489999999999995</v>
      </c>
      <c r="C983" s="47">
        <f t="shared" si="32"/>
        <v>9.777434709893118E-3</v>
      </c>
      <c r="E983" s="81"/>
      <c r="F983" s="82"/>
      <c r="G983" s="81">
        <v>43725</v>
      </c>
      <c r="H983" s="82">
        <v>267.07</v>
      </c>
      <c r="I983" s="173">
        <f t="shared" si="31"/>
        <v>-7.5805432722678701E-3</v>
      </c>
    </row>
    <row r="984" spans="1:9" ht="17.5">
      <c r="A984" s="248">
        <v>43774</v>
      </c>
      <c r="B984" s="249">
        <v>77.84</v>
      </c>
      <c r="C984" s="47">
        <f t="shared" si="32"/>
        <v>-8.2813097209835096E-3</v>
      </c>
      <c r="E984" s="81"/>
      <c r="F984" s="82"/>
      <c r="G984" s="81">
        <v>43726</v>
      </c>
      <c r="H984" s="82">
        <v>266.76</v>
      </c>
      <c r="I984" s="173">
        <f t="shared" si="31"/>
        <v>-1.1607443741341594E-3</v>
      </c>
    </row>
    <row r="985" spans="1:9" ht="17.5">
      <c r="A985" s="248">
        <v>43775</v>
      </c>
      <c r="B985" s="249">
        <v>78.099999999999994</v>
      </c>
      <c r="C985" s="47">
        <f t="shared" si="32"/>
        <v>3.3401849948611062E-3</v>
      </c>
      <c r="E985" s="81"/>
      <c r="F985" s="82"/>
      <c r="G985" s="81">
        <v>43727</v>
      </c>
      <c r="H985" s="82">
        <v>265.62</v>
      </c>
      <c r="I985" s="173">
        <f t="shared" si="31"/>
        <v>-4.2735042735042583E-3</v>
      </c>
    </row>
    <row r="986" spans="1:9" ht="17.5">
      <c r="A986" s="248">
        <v>43776</v>
      </c>
      <c r="B986" s="249">
        <v>78.260000000000005</v>
      </c>
      <c r="C986" s="47">
        <f t="shared" si="32"/>
        <v>2.0486555697825093E-3</v>
      </c>
      <c r="E986" s="81"/>
      <c r="F986" s="82"/>
      <c r="G986" s="81">
        <v>43728</v>
      </c>
      <c r="H986" s="82">
        <v>262.12</v>
      </c>
      <c r="I986" s="173">
        <f t="shared" si="31"/>
        <v>-1.3176718620585781E-2</v>
      </c>
    </row>
    <row r="987" spans="1:9" ht="17.5">
      <c r="A987" s="248">
        <v>43777</v>
      </c>
      <c r="B987" s="249">
        <v>77.459999999999994</v>
      </c>
      <c r="C987" s="47">
        <f t="shared" si="32"/>
        <v>-1.0222335803731331E-2</v>
      </c>
      <c r="E987" s="81"/>
      <c r="F987" s="82"/>
      <c r="G987" s="81">
        <v>43729</v>
      </c>
      <c r="H987" s="82">
        <v>264.29000000000002</v>
      </c>
      <c r="I987" s="173">
        <f t="shared" si="31"/>
        <v>8.2786509995422808E-3</v>
      </c>
    </row>
    <row r="988" spans="1:9" ht="17.5">
      <c r="A988" s="248">
        <v>43778</v>
      </c>
      <c r="B988" s="249">
        <v>77.790000000000006</v>
      </c>
      <c r="C988" s="47">
        <f t="shared" si="32"/>
        <v>4.2602633617352392E-3</v>
      </c>
      <c r="E988" s="81"/>
      <c r="F988" s="82"/>
      <c r="G988" s="81">
        <v>43732</v>
      </c>
      <c r="H988" s="82">
        <v>262.67</v>
      </c>
      <c r="I988" s="173">
        <f t="shared" si="31"/>
        <v>-6.1296303303189914E-3</v>
      </c>
    </row>
    <row r="989" spans="1:9" ht="17.5">
      <c r="A989" s="248">
        <v>43781</v>
      </c>
      <c r="B989" s="249">
        <v>77.38</v>
      </c>
      <c r="C989" s="47">
        <f t="shared" si="32"/>
        <v>-5.2706003342333219E-3</v>
      </c>
      <c r="E989" s="81"/>
      <c r="F989" s="82"/>
      <c r="G989" s="81">
        <v>43733</v>
      </c>
      <c r="H989" s="82">
        <v>260.52</v>
      </c>
      <c r="I989" s="173">
        <f t="shared" si="31"/>
        <v>-8.1851753150341544E-3</v>
      </c>
    </row>
    <row r="990" spans="1:9" ht="17.5">
      <c r="A990" s="248">
        <v>43782</v>
      </c>
      <c r="B990" s="249">
        <v>78.72</v>
      </c>
      <c r="C990" s="47">
        <f t="shared" si="32"/>
        <v>1.7317136210907247E-2</v>
      </c>
      <c r="E990" s="81"/>
      <c r="F990" s="82"/>
      <c r="G990" s="81">
        <v>43734</v>
      </c>
      <c r="H990" s="82">
        <v>260.95999999999998</v>
      </c>
      <c r="I990" s="173">
        <f t="shared" si="31"/>
        <v>1.6889298326423496E-3</v>
      </c>
    </row>
    <row r="991" spans="1:9" ht="17.5">
      <c r="A991" s="248">
        <v>43783</v>
      </c>
      <c r="B991" s="249">
        <v>78.239999999999995</v>
      </c>
      <c r="C991" s="47">
        <f t="shared" si="32"/>
        <v>-6.0975609756097615E-3</v>
      </c>
      <c r="E991" s="81"/>
      <c r="F991" s="82"/>
      <c r="G991" s="81">
        <v>43735</v>
      </c>
      <c r="H991" s="82">
        <v>260.06</v>
      </c>
      <c r="I991" s="173">
        <f t="shared" si="31"/>
        <v>-3.4488044144695973E-3</v>
      </c>
    </row>
    <row r="992" spans="1:9" ht="17.5">
      <c r="A992" s="248">
        <v>43784</v>
      </c>
      <c r="B992" s="249">
        <v>78.88</v>
      </c>
      <c r="C992" s="47">
        <f t="shared" si="32"/>
        <v>8.1799591002045258E-3</v>
      </c>
      <c r="E992" s="81"/>
      <c r="F992" s="82"/>
      <c r="G992" s="81">
        <v>43736</v>
      </c>
      <c r="H992" s="82">
        <v>262.39999999999998</v>
      </c>
      <c r="I992" s="173">
        <f t="shared" si="31"/>
        <v>8.9979235561024051E-3</v>
      </c>
    </row>
    <row r="993" spans="1:9" ht="17.5">
      <c r="A993" s="248">
        <v>43785</v>
      </c>
      <c r="B993" s="249">
        <v>79.14</v>
      </c>
      <c r="C993" s="47">
        <f t="shared" si="32"/>
        <v>3.2961460446248037E-3</v>
      </c>
      <c r="E993" s="81"/>
      <c r="F993" s="82"/>
      <c r="G993" s="81">
        <v>43739</v>
      </c>
      <c r="H993" s="82">
        <v>262</v>
      </c>
      <c r="I993" s="173">
        <f t="shared" si="31"/>
        <v>-1.5243902439023849E-3</v>
      </c>
    </row>
    <row r="994" spans="1:9" ht="17.5">
      <c r="A994" s="248">
        <v>43788</v>
      </c>
      <c r="B994" s="249">
        <v>79.64</v>
      </c>
      <c r="C994" s="47">
        <f t="shared" si="32"/>
        <v>6.3179176143544069E-3</v>
      </c>
      <c r="E994" s="81"/>
      <c r="F994" s="82"/>
      <c r="G994" s="81">
        <v>43740</v>
      </c>
      <c r="H994" s="82">
        <v>258.64</v>
      </c>
      <c r="I994" s="173">
        <f t="shared" si="31"/>
        <v>-1.2824427480916056E-2</v>
      </c>
    </row>
    <row r="995" spans="1:9" ht="17.5">
      <c r="A995" s="248">
        <v>43789</v>
      </c>
      <c r="B995" s="249">
        <v>79.64</v>
      </c>
      <c r="C995" s="47">
        <f t="shared" si="32"/>
        <v>0</v>
      </c>
      <c r="E995" s="81"/>
      <c r="F995" s="82"/>
      <c r="G995" s="81">
        <v>43741</v>
      </c>
      <c r="H995" s="82">
        <v>256.56</v>
      </c>
      <c r="I995" s="173">
        <f t="shared" si="31"/>
        <v>-8.0420661923908954E-3</v>
      </c>
    </row>
    <row r="996" spans="1:9" ht="17.5">
      <c r="A996" s="248">
        <v>43790</v>
      </c>
      <c r="B996" s="249">
        <v>80.03</v>
      </c>
      <c r="C996" s="47">
        <f t="shared" si="32"/>
        <v>4.8970366649925268E-3</v>
      </c>
      <c r="E996" s="81"/>
      <c r="F996" s="82"/>
      <c r="G996" s="81">
        <v>43742</v>
      </c>
      <c r="H996" s="82">
        <v>257.05</v>
      </c>
      <c r="I996" s="173">
        <f t="shared" si="31"/>
        <v>1.9098846273777337E-3</v>
      </c>
    </row>
    <row r="997" spans="1:9" ht="17.5">
      <c r="A997" s="248">
        <v>43792</v>
      </c>
      <c r="B997" s="249">
        <v>79.87</v>
      </c>
      <c r="C997" s="47">
        <f t="shared" si="32"/>
        <v>-1.99925028114456E-3</v>
      </c>
      <c r="E997" s="81"/>
      <c r="F997" s="82"/>
      <c r="G997" s="81">
        <v>43743</v>
      </c>
      <c r="H997" s="82">
        <v>258.93</v>
      </c>
      <c r="I997" s="173">
        <f t="shared" si="31"/>
        <v>7.3137521882902234E-3</v>
      </c>
    </row>
    <row r="998" spans="1:9" ht="17.5">
      <c r="A998" s="248">
        <v>43795</v>
      </c>
      <c r="B998" s="249">
        <v>80.22</v>
      </c>
      <c r="C998" s="47">
        <f t="shared" si="32"/>
        <v>4.382120946538004E-3</v>
      </c>
      <c r="E998" s="81"/>
      <c r="F998" s="82"/>
      <c r="G998" s="81">
        <v>43746</v>
      </c>
      <c r="H998" s="82">
        <v>258.01</v>
      </c>
      <c r="I998" s="173">
        <f t="shared" si="31"/>
        <v>-3.5530838450547053E-3</v>
      </c>
    </row>
    <row r="999" spans="1:9" ht="17.5">
      <c r="A999" s="248">
        <v>43796</v>
      </c>
      <c r="B999" s="249">
        <v>80.63</v>
      </c>
      <c r="C999" s="47">
        <f t="shared" si="32"/>
        <v>5.1109449015207531E-3</v>
      </c>
      <c r="E999" s="81"/>
      <c r="F999" s="82"/>
      <c r="G999" s="81">
        <v>43747</v>
      </c>
      <c r="H999" s="82">
        <v>260.68</v>
      </c>
      <c r="I999" s="173">
        <f t="shared" si="31"/>
        <v>1.0348436107127768E-2</v>
      </c>
    </row>
    <row r="1000" spans="1:9" ht="17.5">
      <c r="A1000" s="248">
        <v>43797</v>
      </c>
      <c r="B1000" s="249">
        <v>81.27</v>
      </c>
      <c r="C1000" s="47">
        <f t="shared" si="32"/>
        <v>7.9374922485426769E-3</v>
      </c>
      <c r="E1000" s="81"/>
      <c r="F1000" s="82"/>
      <c r="G1000" s="81">
        <v>43748</v>
      </c>
      <c r="H1000" s="82">
        <v>263.04000000000002</v>
      </c>
      <c r="I1000" s="173">
        <f t="shared" si="31"/>
        <v>9.0532453582936601E-3</v>
      </c>
    </row>
    <row r="1001" spans="1:9" ht="17.5">
      <c r="A1001" s="248">
        <v>43798</v>
      </c>
      <c r="B1001" s="249">
        <v>80.7</v>
      </c>
      <c r="C1001" s="47">
        <f t="shared" si="32"/>
        <v>-7.0136581764488337E-3</v>
      </c>
      <c r="E1001" s="81"/>
      <c r="F1001" s="82"/>
      <c r="G1001" s="81">
        <v>43749</v>
      </c>
      <c r="H1001" s="82">
        <v>264.26</v>
      </c>
      <c r="I1001" s="173">
        <f t="shared" si="31"/>
        <v>4.638077858880596E-3</v>
      </c>
    </row>
    <row r="1002" spans="1:9" ht="17.5">
      <c r="A1002" s="248">
        <v>43799</v>
      </c>
      <c r="B1002" s="249">
        <v>81.94</v>
      </c>
      <c r="C1002" s="47">
        <f t="shared" si="32"/>
        <v>1.5365551425030821E-2</v>
      </c>
      <c r="E1002" s="81"/>
      <c r="F1002" s="82"/>
      <c r="G1002" s="81">
        <v>43750</v>
      </c>
      <c r="H1002" s="82">
        <v>261.7</v>
      </c>
      <c r="I1002" s="173">
        <f t="shared" si="31"/>
        <v>-9.6874290471505864E-3</v>
      </c>
    </row>
    <row r="1003" spans="1:9" ht="17.5">
      <c r="A1003" s="248">
        <v>43802</v>
      </c>
      <c r="B1003" s="249">
        <v>81.37</v>
      </c>
      <c r="C1003" s="47">
        <f t="shared" si="32"/>
        <v>-6.956309494752122E-3</v>
      </c>
      <c r="E1003" s="81"/>
      <c r="F1003" s="82"/>
      <c r="G1003" s="81">
        <v>43753</v>
      </c>
      <c r="H1003" s="82">
        <v>260.54000000000002</v>
      </c>
      <c r="I1003" s="173">
        <f t="shared" si="31"/>
        <v>-4.432556362246709E-3</v>
      </c>
    </row>
    <row r="1004" spans="1:9" ht="17.5">
      <c r="A1004" s="248">
        <v>43803</v>
      </c>
      <c r="B1004" s="249">
        <v>81.84</v>
      </c>
      <c r="C1004" s="47">
        <f t="shared" si="32"/>
        <v>5.7760845520462567E-3</v>
      </c>
      <c r="E1004" s="81"/>
      <c r="F1004" s="82"/>
      <c r="G1004" s="81">
        <v>43754</v>
      </c>
      <c r="H1004" s="82">
        <v>261.52</v>
      </c>
      <c r="I1004" s="173">
        <f t="shared" si="31"/>
        <v>3.7614185921546195E-3</v>
      </c>
    </row>
    <row r="1005" spans="1:9" ht="17.5">
      <c r="A1005" s="248">
        <v>43804</v>
      </c>
      <c r="B1005" s="249">
        <v>82.29</v>
      </c>
      <c r="C1005" s="47">
        <f t="shared" si="32"/>
        <v>5.4985337243402821E-3</v>
      </c>
      <c r="E1005" s="81"/>
      <c r="F1005" s="82"/>
      <c r="G1005" s="81">
        <v>43755</v>
      </c>
      <c r="H1005" s="82">
        <v>258.58999999999997</v>
      </c>
      <c r="I1005" s="173">
        <f t="shared" si="31"/>
        <v>-1.1203732028143176E-2</v>
      </c>
    </row>
    <row r="1006" spans="1:9" ht="17.5">
      <c r="A1006" s="248">
        <v>43805</v>
      </c>
      <c r="B1006" s="249">
        <v>82.21</v>
      </c>
      <c r="C1006" s="47">
        <f t="shared" si="32"/>
        <v>-9.7217158828544203E-4</v>
      </c>
      <c r="E1006" s="81"/>
      <c r="F1006" s="82"/>
      <c r="G1006" s="81">
        <v>43756</v>
      </c>
      <c r="H1006" s="82">
        <v>256.02</v>
      </c>
      <c r="I1006" s="173">
        <f t="shared" si="31"/>
        <v>-9.9385127035074294E-3</v>
      </c>
    </row>
    <row r="1007" spans="1:9" ht="17.5">
      <c r="A1007" s="248">
        <v>43806</v>
      </c>
      <c r="B1007" s="249">
        <v>81.93</v>
      </c>
      <c r="C1007" s="47">
        <f t="shared" si="32"/>
        <v>-3.4059116895752695E-3</v>
      </c>
      <c r="E1007" s="81"/>
      <c r="F1007" s="82"/>
      <c r="G1007" s="81">
        <v>43757</v>
      </c>
      <c r="H1007" s="82">
        <v>254.71</v>
      </c>
      <c r="I1007" s="173">
        <f t="shared" si="31"/>
        <v>-5.1167877509568083E-3</v>
      </c>
    </row>
    <row r="1008" spans="1:9" ht="17.5">
      <c r="A1008" s="248">
        <v>43809</v>
      </c>
      <c r="B1008" s="249">
        <v>81.790000000000006</v>
      </c>
      <c r="C1008" s="47">
        <f t="shared" si="32"/>
        <v>-1.7087757842060292E-3</v>
      </c>
      <c r="E1008" s="81"/>
      <c r="F1008" s="82"/>
      <c r="G1008" s="81">
        <v>43760</v>
      </c>
      <c r="H1008" s="82">
        <v>252.58</v>
      </c>
      <c r="I1008" s="173">
        <f t="shared" si="31"/>
        <v>-8.3624514153350926E-3</v>
      </c>
    </row>
    <row r="1009" spans="1:9" ht="17.5">
      <c r="A1009" s="248">
        <v>43810</v>
      </c>
      <c r="B1009" s="249">
        <v>81.96</v>
      </c>
      <c r="C1009" s="47">
        <f t="shared" si="32"/>
        <v>2.0784937033866413E-3</v>
      </c>
      <c r="E1009" s="81"/>
      <c r="F1009" s="82"/>
      <c r="G1009" s="81">
        <v>43761</v>
      </c>
      <c r="H1009" s="82">
        <v>252.8</v>
      </c>
      <c r="I1009" s="173">
        <f t="shared" si="31"/>
        <v>8.7101116477938945E-4</v>
      </c>
    </row>
    <row r="1010" spans="1:9" ht="17.5">
      <c r="A1010" s="248">
        <v>43811</v>
      </c>
      <c r="B1010" s="249">
        <v>83.32</v>
      </c>
      <c r="C1010" s="47">
        <f t="shared" si="32"/>
        <v>1.6593460224499701E-2</v>
      </c>
      <c r="E1010" s="81"/>
      <c r="F1010" s="82"/>
      <c r="G1010" s="81">
        <v>43762</v>
      </c>
      <c r="H1010" s="82">
        <v>253.1</v>
      </c>
      <c r="I1010" s="173">
        <f t="shared" si="31"/>
        <v>1.1867088607593335E-3</v>
      </c>
    </row>
    <row r="1011" spans="1:9" ht="17.5">
      <c r="A1011" s="248">
        <v>43812</v>
      </c>
      <c r="B1011" s="249">
        <v>84.19</v>
      </c>
      <c r="C1011" s="47">
        <f t="shared" si="32"/>
        <v>1.0441670667306724E-2</v>
      </c>
      <c r="E1011" s="81"/>
      <c r="F1011" s="82"/>
      <c r="G1011" s="81">
        <v>43763</v>
      </c>
      <c r="H1011" s="82">
        <v>251.36</v>
      </c>
      <c r="I1011" s="173">
        <f t="shared" si="31"/>
        <v>-6.8747530620307806E-3</v>
      </c>
    </row>
    <row r="1012" spans="1:9" ht="17.5">
      <c r="A1012" s="248">
        <v>43813</v>
      </c>
      <c r="B1012" s="249">
        <v>84.08</v>
      </c>
      <c r="C1012" s="47">
        <f t="shared" si="32"/>
        <v>-1.3065684760660279E-3</v>
      </c>
      <c r="E1012" s="81"/>
      <c r="F1012" s="82"/>
      <c r="G1012" s="81">
        <v>43764</v>
      </c>
      <c r="H1012" s="82">
        <v>253.85</v>
      </c>
      <c r="I1012" s="173">
        <f t="shared" si="31"/>
        <v>9.9061107574791585E-3</v>
      </c>
    </row>
    <row r="1013" spans="1:9" ht="17.5">
      <c r="A1013" s="248">
        <v>43816</v>
      </c>
      <c r="B1013" s="249">
        <v>84.09</v>
      </c>
      <c r="C1013" s="47">
        <f t="shared" si="32"/>
        <v>1.1893434823972981E-4</v>
      </c>
      <c r="E1013" s="81"/>
      <c r="F1013" s="82"/>
      <c r="G1013" s="81">
        <v>43767</v>
      </c>
      <c r="H1013" s="82">
        <v>254.42</v>
      </c>
      <c r="I1013" s="173">
        <f t="shared" si="31"/>
        <v>2.2454205239315073E-3</v>
      </c>
    </row>
    <row r="1014" spans="1:9" ht="17.5">
      <c r="A1014" s="248">
        <v>43817</v>
      </c>
      <c r="B1014" s="249">
        <v>84.3</v>
      </c>
      <c r="C1014" s="47">
        <f t="shared" si="32"/>
        <v>2.4973242953976182E-3</v>
      </c>
      <c r="E1014" s="81"/>
      <c r="F1014" s="82"/>
      <c r="G1014" s="81">
        <v>43768</v>
      </c>
      <c r="H1014" s="82">
        <v>252.89</v>
      </c>
      <c r="I1014" s="173">
        <f t="shared" si="31"/>
        <v>-6.0136781699552389E-3</v>
      </c>
    </row>
    <row r="1015" spans="1:9" ht="17.5">
      <c r="A1015" s="248">
        <v>43818</v>
      </c>
      <c r="B1015" s="249">
        <v>84.31</v>
      </c>
      <c r="C1015" s="47">
        <f t="shared" si="32"/>
        <v>1.1862396204032066E-4</v>
      </c>
      <c r="E1015" s="81"/>
      <c r="F1015" s="82"/>
      <c r="G1015" s="81">
        <v>43769</v>
      </c>
      <c r="H1015" s="82">
        <v>252.89</v>
      </c>
      <c r="I1015" s="173">
        <f t="shared" si="31"/>
        <v>0</v>
      </c>
    </row>
    <row r="1016" spans="1:9" ht="17.5">
      <c r="A1016" s="248">
        <v>43819</v>
      </c>
      <c r="B1016" s="249">
        <v>84.46</v>
      </c>
      <c r="C1016" s="47">
        <f t="shared" si="32"/>
        <v>1.7791483809748154E-3</v>
      </c>
      <c r="E1016" s="81"/>
      <c r="F1016" s="82"/>
      <c r="G1016" s="81">
        <v>43770</v>
      </c>
      <c r="H1016" s="82">
        <v>256.14999999999998</v>
      </c>
      <c r="I1016" s="173">
        <f t="shared" si="31"/>
        <v>1.289098026810076E-2</v>
      </c>
    </row>
    <row r="1017" spans="1:9" ht="17.5">
      <c r="A1017" s="248">
        <v>43820</v>
      </c>
      <c r="B1017" s="249">
        <v>84.35</v>
      </c>
      <c r="C1017" s="47">
        <f t="shared" si="32"/>
        <v>-1.3023916646933698E-3</v>
      </c>
      <c r="E1017" s="81"/>
      <c r="F1017" s="82"/>
      <c r="G1017" s="81">
        <v>43771</v>
      </c>
      <c r="H1017" s="82">
        <v>260.38</v>
      </c>
      <c r="I1017" s="173">
        <f t="shared" si="31"/>
        <v>1.6513761467890076E-2</v>
      </c>
    </row>
    <row r="1018" spans="1:9" ht="17.5">
      <c r="A1018" s="248">
        <v>43824</v>
      </c>
      <c r="B1018" s="249">
        <v>84.65</v>
      </c>
      <c r="C1018" s="47">
        <f t="shared" si="32"/>
        <v>3.5566093657382059E-3</v>
      </c>
      <c r="E1018" s="81"/>
      <c r="F1018" s="82"/>
      <c r="G1018" s="81">
        <v>43774</v>
      </c>
      <c r="H1018" s="82">
        <v>264.01</v>
      </c>
      <c r="I1018" s="173">
        <f t="shared" si="31"/>
        <v>1.3941162915738436E-2</v>
      </c>
    </row>
    <row r="1019" spans="1:9" ht="17.5">
      <c r="A1019" s="248">
        <v>43825</v>
      </c>
      <c r="B1019" s="249">
        <v>84.96</v>
      </c>
      <c r="C1019" s="47">
        <f t="shared" si="32"/>
        <v>3.6621382161841076E-3</v>
      </c>
      <c r="E1019" s="81"/>
      <c r="F1019" s="82"/>
      <c r="G1019" s="81">
        <v>43775</v>
      </c>
      <c r="H1019" s="82">
        <v>262.93</v>
      </c>
      <c r="I1019" s="173">
        <f t="shared" si="31"/>
        <v>-4.0907541381007828E-3</v>
      </c>
    </row>
    <row r="1020" spans="1:9" ht="17.5">
      <c r="A1020" s="248">
        <v>43826</v>
      </c>
      <c r="B1020" s="249">
        <v>84.72</v>
      </c>
      <c r="C1020" s="47">
        <f t="shared" si="32"/>
        <v>-2.8248587570620654E-3</v>
      </c>
      <c r="E1020" s="81"/>
      <c r="F1020" s="82"/>
      <c r="G1020" s="81">
        <v>43776</v>
      </c>
      <c r="H1020" s="82">
        <v>262.82</v>
      </c>
      <c r="I1020" s="173">
        <f t="shared" si="31"/>
        <v>-4.183623017534055E-4</v>
      </c>
    </row>
    <row r="1021" spans="1:9" ht="17.5">
      <c r="A1021" s="248">
        <v>43827</v>
      </c>
      <c r="B1021" s="249">
        <v>84.37</v>
      </c>
      <c r="C1021" s="47">
        <f t="shared" si="32"/>
        <v>-4.1312559017940842E-3</v>
      </c>
      <c r="E1021" s="81"/>
      <c r="F1021" s="82"/>
      <c r="G1021" s="81">
        <v>43777</v>
      </c>
      <c r="H1021" s="82">
        <v>262.14</v>
      </c>
      <c r="I1021" s="173">
        <f t="shared" si="31"/>
        <v>-2.5873221216041742E-3</v>
      </c>
    </row>
    <row r="1022" spans="1:9" ht="17.5">
      <c r="A1022" s="248">
        <v>43831</v>
      </c>
      <c r="B1022" s="249">
        <v>83.54</v>
      </c>
      <c r="C1022" s="47">
        <f t="shared" si="32"/>
        <v>-9.837620007111525E-3</v>
      </c>
      <c r="E1022" s="81"/>
      <c r="F1022" s="82"/>
      <c r="G1022" s="81">
        <v>43778</v>
      </c>
      <c r="H1022" s="82">
        <v>260.39</v>
      </c>
      <c r="I1022" s="173">
        <f t="shared" si="31"/>
        <v>-6.6758220798046608E-3</v>
      </c>
    </row>
    <row r="1023" spans="1:9" ht="17.5">
      <c r="A1023" s="248">
        <v>43832</v>
      </c>
      <c r="B1023" s="249">
        <v>83.21</v>
      </c>
      <c r="C1023" s="47">
        <f t="shared" si="32"/>
        <v>-3.9502034953317056E-3</v>
      </c>
      <c r="E1023" s="81"/>
      <c r="F1023" s="82"/>
      <c r="G1023" s="81">
        <v>43781</v>
      </c>
      <c r="H1023" s="82">
        <v>261.82</v>
      </c>
      <c r="I1023" s="173">
        <f t="shared" si="31"/>
        <v>5.4917623564654239E-3</v>
      </c>
    </row>
    <row r="1024" spans="1:9" ht="17.5">
      <c r="A1024" s="248">
        <v>43833</v>
      </c>
      <c r="B1024" s="249">
        <v>82.83</v>
      </c>
      <c r="C1024" s="47">
        <f t="shared" si="32"/>
        <v>-4.5667588030284811E-3</v>
      </c>
      <c r="E1024" s="81"/>
      <c r="F1024" s="82"/>
      <c r="G1024" s="81">
        <v>43782</v>
      </c>
      <c r="H1024" s="82">
        <v>263.62</v>
      </c>
      <c r="I1024" s="173">
        <f t="shared" si="31"/>
        <v>6.874952257275968E-3</v>
      </c>
    </row>
    <row r="1025" spans="1:9" ht="17.5">
      <c r="A1025" s="248">
        <v>43834</v>
      </c>
      <c r="B1025" s="249">
        <v>82.58</v>
      </c>
      <c r="C1025" s="47">
        <f t="shared" si="32"/>
        <v>-3.0182301098635733E-3</v>
      </c>
      <c r="E1025" s="81"/>
      <c r="F1025" s="82"/>
      <c r="G1025" s="81">
        <v>43783</v>
      </c>
      <c r="H1025" s="82">
        <v>268.76</v>
      </c>
      <c r="I1025" s="173">
        <f t="shared" si="31"/>
        <v>1.9497761930050705E-2</v>
      </c>
    </row>
    <row r="1026" spans="1:9" ht="17.5">
      <c r="A1026" s="248">
        <v>43837</v>
      </c>
      <c r="B1026" s="249">
        <v>82.68</v>
      </c>
      <c r="C1026" s="47">
        <f t="shared" si="32"/>
        <v>1.2109469605232626E-3</v>
      </c>
      <c r="E1026" s="81"/>
      <c r="F1026" s="82"/>
      <c r="G1026" s="81">
        <v>43784</v>
      </c>
      <c r="H1026" s="82">
        <v>268.39</v>
      </c>
      <c r="I1026" s="173">
        <f t="shared" si="31"/>
        <v>-1.3766929602619937E-3</v>
      </c>
    </row>
    <row r="1027" spans="1:9" ht="17.5">
      <c r="A1027" s="248">
        <v>43838</v>
      </c>
      <c r="B1027" s="249">
        <v>82.36</v>
      </c>
      <c r="C1027" s="47">
        <f t="shared" si="32"/>
        <v>-3.8703434929850955E-3</v>
      </c>
      <c r="E1027" s="81"/>
      <c r="F1027" s="82"/>
      <c r="G1027" s="81">
        <v>43785</v>
      </c>
      <c r="H1027" s="82">
        <v>267.7</v>
      </c>
      <c r="I1027" s="173">
        <f t="shared" si="31"/>
        <v>-2.5708856514773393E-3</v>
      </c>
    </row>
    <row r="1028" spans="1:9" ht="17.5">
      <c r="A1028" s="248">
        <v>43839</v>
      </c>
      <c r="B1028" s="249">
        <v>82.95</v>
      </c>
      <c r="C1028" s="47">
        <f t="shared" si="32"/>
        <v>7.1636716852840898E-3</v>
      </c>
      <c r="E1028" s="81"/>
      <c r="F1028" s="82"/>
      <c r="G1028" s="81">
        <v>43788</v>
      </c>
      <c r="H1028" s="82">
        <v>269.95</v>
      </c>
      <c r="I1028" s="173">
        <f t="shared" si="31"/>
        <v>8.4049308927904853E-3</v>
      </c>
    </row>
    <row r="1029" spans="1:9" ht="17.5">
      <c r="A1029" s="248">
        <v>43840</v>
      </c>
      <c r="B1029" s="249">
        <v>83.7</v>
      </c>
      <c r="C1029" s="47">
        <f t="shared" si="32"/>
        <v>9.0415913200723175E-3</v>
      </c>
      <c r="E1029" s="81"/>
      <c r="F1029" s="82"/>
      <c r="G1029" s="81">
        <v>43789</v>
      </c>
      <c r="H1029" s="82">
        <v>270.63</v>
      </c>
      <c r="I1029" s="173">
        <f t="shared" si="31"/>
        <v>2.518984997221807E-3</v>
      </c>
    </row>
    <row r="1030" spans="1:9" ht="17.5">
      <c r="A1030" s="248">
        <v>43841</v>
      </c>
      <c r="B1030" s="249">
        <v>83.85</v>
      </c>
      <c r="C1030" s="47">
        <f t="shared" si="32"/>
        <v>1.7921146953403522E-3</v>
      </c>
      <c r="E1030" s="81"/>
      <c r="F1030" s="82"/>
      <c r="G1030" s="81">
        <v>43790</v>
      </c>
      <c r="H1030" s="82">
        <v>269.36</v>
      </c>
      <c r="I1030" s="173">
        <f t="shared" si="31"/>
        <v>-4.6927539444997501E-3</v>
      </c>
    </row>
    <row r="1031" spans="1:9" ht="17.5">
      <c r="A1031" s="248">
        <v>43845</v>
      </c>
      <c r="B1031" s="249">
        <v>83.07</v>
      </c>
      <c r="C1031" s="47">
        <f t="shared" si="32"/>
        <v>-9.302325581395321E-3</v>
      </c>
      <c r="E1031" s="81"/>
      <c r="F1031" s="82"/>
      <c r="G1031" s="81">
        <v>43791</v>
      </c>
      <c r="H1031" s="82">
        <v>270.63</v>
      </c>
      <c r="I1031" s="173">
        <f t="shared" si="31"/>
        <v>4.7148797148797161E-3</v>
      </c>
    </row>
    <row r="1032" spans="1:9" ht="17.5">
      <c r="A1032" s="248">
        <v>43846</v>
      </c>
      <c r="B1032" s="249">
        <v>82.76</v>
      </c>
      <c r="C1032" s="47">
        <f t="shared" si="32"/>
        <v>-3.7317924641866451E-3</v>
      </c>
      <c r="E1032" s="81"/>
      <c r="F1032" s="82"/>
      <c r="G1032" s="81">
        <v>43792</v>
      </c>
      <c r="H1032" s="82">
        <v>269.23</v>
      </c>
      <c r="I1032" s="173">
        <f t="shared" si="31"/>
        <v>-5.1731145844879922E-3</v>
      </c>
    </row>
    <row r="1033" spans="1:9" ht="17.5">
      <c r="A1033" s="248">
        <v>43847</v>
      </c>
      <c r="B1033" s="249">
        <v>82.84</v>
      </c>
      <c r="C1033" s="47">
        <f t="shared" si="32"/>
        <v>9.6665055582412229E-4</v>
      </c>
      <c r="E1033" s="81"/>
      <c r="F1033" s="82"/>
      <c r="G1033" s="81">
        <v>43795</v>
      </c>
      <c r="H1033" s="82">
        <v>268.42</v>
      </c>
      <c r="I1033" s="173">
        <f t="shared" si="31"/>
        <v>-3.0085800245143179E-3</v>
      </c>
    </row>
    <row r="1034" spans="1:9" ht="17.5">
      <c r="A1034" s="248">
        <v>43848</v>
      </c>
      <c r="B1034" s="249">
        <v>82.88</v>
      </c>
      <c r="C1034" s="47">
        <f t="shared" si="32"/>
        <v>4.8285852245277816E-4</v>
      </c>
      <c r="E1034" s="81"/>
      <c r="F1034" s="82"/>
      <c r="G1034" s="81">
        <v>43796</v>
      </c>
      <c r="H1034" s="82">
        <v>270.3</v>
      </c>
      <c r="I1034" s="173">
        <f t="shared" si="31"/>
        <v>7.0039490350941591E-3</v>
      </c>
    </row>
    <row r="1035" spans="1:9" ht="17.5">
      <c r="A1035" s="248">
        <v>43851</v>
      </c>
      <c r="B1035" s="249">
        <v>82.94</v>
      </c>
      <c r="C1035" s="47">
        <f t="shared" si="32"/>
        <v>7.2393822393834739E-4</v>
      </c>
      <c r="E1035" s="81"/>
      <c r="F1035" s="82"/>
      <c r="G1035" s="81">
        <v>43797</v>
      </c>
      <c r="H1035" s="82">
        <v>269.83999999999997</v>
      </c>
      <c r="I1035" s="173">
        <f t="shared" si="31"/>
        <v>-1.7018128005921174E-3</v>
      </c>
    </row>
    <row r="1036" spans="1:9" ht="17.5">
      <c r="A1036" s="248">
        <v>43852</v>
      </c>
      <c r="B1036" s="249">
        <v>82.51</v>
      </c>
      <c r="C1036" s="47">
        <f t="shared" si="32"/>
        <v>-5.1844707017120184E-3</v>
      </c>
      <c r="E1036" s="81"/>
      <c r="F1036" s="82"/>
      <c r="G1036" s="81">
        <v>43798</v>
      </c>
      <c r="H1036" s="82">
        <v>270.67</v>
      </c>
      <c r="I1036" s="173">
        <f t="shared" si="31"/>
        <v>3.0758968277500021E-3</v>
      </c>
    </row>
    <row r="1037" spans="1:9" ht="17.5">
      <c r="A1037" s="248">
        <v>43853</v>
      </c>
      <c r="B1037" s="249">
        <v>82.28</v>
      </c>
      <c r="C1037" s="47">
        <f t="shared" si="32"/>
        <v>-2.7875409041329124E-3</v>
      </c>
      <c r="E1037" s="81"/>
      <c r="F1037" s="82"/>
      <c r="G1037" s="81">
        <v>43799</v>
      </c>
      <c r="H1037" s="82">
        <v>270.45</v>
      </c>
      <c r="I1037" s="173">
        <f t="shared" si="31"/>
        <v>-8.1279787194754594E-4</v>
      </c>
    </row>
    <row r="1038" spans="1:9" ht="17.5">
      <c r="A1038" s="248">
        <v>43854</v>
      </c>
      <c r="B1038" s="249">
        <v>82.87</v>
      </c>
      <c r="C1038" s="47">
        <f t="shared" si="32"/>
        <v>7.1706368497812534E-3</v>
      </c>
      <c r="E1038" s="81"/>
      <c r="F1038" s="82"/>
      <c r="G1038" s="81">
        <v>43802</v>
      </c>
      <c r="H1038" s="82">
        <v>270</v>
      </c>
      <c r="I1038" s="173">
        <f t="shared" si="31"/>
        <v>-1.6638935108153063E-3</v>
      </c>
    </row>
    <row r="1039" spans="1:9" ht="17.5">
      <c r="A1039" s="248">
        <v>43855</v>
      </c>
      <c r="B1039" s="249">
        <v>83</v>
      </c>
      <c r="C1039" s="47">
        <f t="shared" si="32"/>
        <v>1.5687220948472635E-3</v>
      </c>
      <c r="E1039" s="81"/>
      <c r="F1039" s="82"/>
      <c r="G1039" s="81">
        <v>43803</v>
      </c>
      <c r="H1039" s="82">
        <v>268.32</v>
      </c>
      <c r="I1039" s="173">
        <f t="shared" si="31"/>
        <v>-6.2222222222222401E-3</v>
      </c>
    </row>
    <row r="1040" spans="1:9" ht="17.5">
      <c r="A1040" s="248">
        <v>43858</v>
      </c>
      <c r="B1040" s="249">
        <v>83.31</v>
      </c>
      <c r="C1040" s="47">
        <f t="shared" si="32"/>
        <v>3.734939759036271E-3</v>
      </c>
      <c r="E1040" s="81"/>
      <c r="F1040" s="82"/>
      <c r="G1040" s="81">
        <v>43804</v>
      </c>
      <c r="H1040" s="82">
        <v>269.23</v>
      </c>
      <c r="I1040" s="173">
        <f t="shared" ref="I1040:I1103" si="33">H1040/H1039-1</f>
        <v>3.3914728682171713E-3</v>
      </c>
    </row>
    <row r="1041" spans="1:9" ht="17.5">
      <c r="A1041" s="248">
        <v>43859</v>
      </c>
      <c r="B1041" s="249">
        <v>83.5</v>
      </c>
      <c r="C1041" s="47">
        <f t="shared" ref="C1041:C1104" si="34">B1041/B1040-1</f>
        <v>2.2806385788021188E-3</v>
      </c>
      <c r="E1041" s="81"/>
      <c r="F1041" s="82"/>
      <c r="G1041" s="81">
        <v>43805</v>
      </c>
      <c r="H1041" s="82">
        <v>268.43</v>
      </c>
      <c r="I1041" s="173">
        <f t="shared" si="33"/>
        <v>-2.971437061248805E-3</v>
      </c>
    </row>
    <row r="1042" spans="1:9" ht="17.5">
      <c r="A1042" s="248">
        <v>43860</v>
      </c>
      <c r="B1042" s="249">
        <v>83.35</v>
      </c>
      <c r="C1042" s="47">
        <f t="shared" si="34"/>
        <v>-1.79640718562879E-3</v>
      </c>
      <c r="E1042" s="81"/>
      <c r="F1042" s="82"/>
      <c r="G1042" s="81">
        <v>43806</v>
      </c>
      <c r="H1042" s="82">
        <v>268.77999999999997</v>
      </c>
      <c r="I1042" s="173">
        <f t="shared" si="33"/>
        <v>1.3038781060237259E-3</v>
      </c>
    </row>
    <row r="1043" spans="1:9" ht="17.5">
      <c r="A1043" s="248">
        <v>43861</v>
      </c>
      <c r="B1043" s="249">
        <v>84.05</v>
      </c>
      <c r="C1043" s="47">
        <f t="shared" si="34"/>
        <v>8.3983203359327963E-3</v>
      </c>
      <c r="E1043" s="81"/>
      <c r="F1043" s="82"/>
      <c r="G1043" s="81">
        <v>43809</v>
      </c>
      <c r="H1043" s="82">
        <v>268.39999999999998</v>
      </c>
      <c r="I1043" s="173">
        <f t="shared" si="33"/>
        <v>-1.4137956693206499E-3</v>
      </c>
    </row>
    <row r="1044" spans="1:9" ht="17.5">
      <c r="A1044" s="248">
        <v>43862</v>
      </c>
      <c r="B1044" s="249">
        <v>83.37</v>
      </c>
      <c r="C1044" s="47">
        <f t="shared" si="34"/>
        <v>-8.0904223676382392E-3</v>
      </c>
      <c r="E1044" s="81"/>
      <c r="F1044" s="82"/>
      <c r="G1044" s="81">
        <v>43810</v>
      </c>
      <c r="H1044" s="82">
        <v>268.92</v>
      </c>
      <c r="I1044" s="173">
        <f t="shared" si="33"/>
        <v>1.9374068554398605E-3</v>
      </c>
    </row>
    <row r="1045" spans="1:9" ht="17.5">
      <c r="A1045" s="248">
        <v>43865</v>
      </c>
      <c r="B1045" s="249">
        <v>82.67</v>
      </c>
      <c r="C1045" s="47">
        <f t="shared" si="34"/>
        <v>-8.3963056255248469E-3</v>
      </c>
      <c r="E1045" s="81"/>
      <c r="F1045" s="82"/>
      <c r="G1045" s="81">
        <v>43811</v>
      </c>
      <c r="H1045" s="82">
        <v>268.64</v>
      </c>
      <c r="I1045" s="173">
        <f t="shared" si="33"/>
        <v>-1.0412018444148075E-3</v>
      </c>
    </row>
    <row r="1046" spans="1:9" ht="17.5">
      <c r="A1046" s="248">
        <v>43866</v>
      </c>
      <c r="B1046" s="249">
        <v>83.42</v>
      </c>
      <c r="C1046" s="47">
        <f t="shared" si="34"/>
        <v>9.072214830047276E-3</v>
      </c>
      <c r="E1046" s="81"/>
      <c r="F1046" s="82"/>
      <c r="G1046" s="81">
        <v>43812</v>
      </c>
      <c r="H1046" s="82">
        <v>273.18</v>
      </c>
      <c r="I1046" s="173">
        <f t="shared" si="33"/>
        <v>1.6899940440738614E-2</v>
      </c>
    </row>
    <row r="1047" spans="1:9" ht="17.5">
      <c r="A1047" s="248">
        <v>43867</v>
      </c>
      <c r="B1047" s="249">
        <v>83.3</v>
      </c>
      <c r="C1047" s="47">
        <f t="shared" si="34"/>
        <v>-1.4385039558859614E-3</v>
      </c>
      <c r="E1047" s="81"/>
      <c r="F1047" s="82"/>
      <c r="G1047" s="81">
        <v>43813</v>
      </c>
      <c r="H1047" s="82">
        <v>275.06</v>
      </c>
      <c r="I1047" s="173">
        <f t="shared" si="33"/>
        <v>6.8819093637895179E-3</v>
      </c>
    </row>
    <row r="1048" spans="1:9" ht="17.5">
      <c r="A1048" s="248">
        <v>43868</v>
      </c>
      <c r="B1048" s="249">
        <v>83.2</v>
      </c>
      <c r="C1048" s="47">
        <f t="shared" si="34"/>
        <v>-1.2004801920767472E-3</v>
      </c>
      <c r="E1048" s="81"/>
      <c r="F1048" s="82"/>
      <c r="G1048" s="81">
        <v>43816</v>
      </c>
      <c r="H1048" s="82">
        <v>274.08999999999997</v>
      </c>
      <c r="I1048" s="173">
        <f t="shared" si="33"/>
        <v>-3.5265033083692332E-3</v>
      </c>
    </row>
    <row r="1049" spans="1:9" ht="17.5">
      <c r="A1049" s="248">
        <v>43869</v>
      </c>
      <c r="B1049" s="249">
        <v>83.23</v>
      </c>
      <c r="C1049" s="47">
        <f t="shared" si="34"/>
        <v>3.6057692307700506E-4</v>
      </c>
      <c r="E1049" s="81"/>
      <c r="F1049" s="82"/>
      <c r="G1049" s="81">
        <v>43817</v>
      </c>
      <c r="H1049" s="82">
        <v>274.45999999999998</v>
      </c>
      <c r="I1049" s="173">
        <f t="shared" si="33"/>
        <v>1.3499215586121327E-3</v>
      </c>
    </row>
    <row r="1050" spans="1:9" ht="17.5">
      <c r="A1050" s="248">
        <v>43872</v>
      </c>
      <c r="B1050" s="249">
        <v>83.3</v>
      </c>
      <c r="C1050" s="47">
        <f t="shared" si="34"/>
        <v>8.41042893187538E-4</v>
      </c>
      <c r="E1050" s="81"/>
      <c r="F1050" s="82"/>
      <c r="G1050" s="81">
        <v>43818</v>
      </c>
      <c r="H1050" s="82">
        <v>272.72000000000003</v>
      </c>
      <c r="I1050" s="173">
        <f t="shared" si="33"/>
        <v>-6.3397216352107932E-3</v>
      </c>
    </row>
    <row r="1051" spans="1:9" ht="17.5">
      <c r="A1051" s="248">
        <v>43873</v>
      </c>
      <c r="B1051" s="249">
        <v>82.28</v>
      </c>
      <c r="C1051" s="47">
        <f t="shared" si="34"/>
        <v>-1.2244897959183598E-2</v>
      </c>
      <c r="E1051" s="81"/>
      <c r="F1051" s="82"/>
      <c r="G1051" s="81">
        <v>43819</v>
      </c>
      <c r="H1051" s="82">
        <v>273.62</v>
      </c>
      <c r="I1051" s="173">
        <f t="shared" si="33"/>
        <v>3.3000880023466017E-3</v>
      </c>
    </row>
    <row r="1052" spans="1:9" ht="17.5">
      <c r="A1052" s="248">
        <v>43874</v>
      </c>
      <c r="B1052" s="249">
        <v>82.84</v>
      </c>
      <c r="C1052" s="47">
        <f t="shared" si="34"/>
        <v>6.8060281964026359E-3</v>
      </c>
      <c r="E1052" s="81"/>
      <c r="F1052" s="82"/>
      <c r="G1052" s="81">
        <v>43820</v>
      </c>
      <c r="H1052" s="82">
        <v>272.38</v>
      </c>
      <c r="I1052" s="173">
        <f t="shared" si="33"/>
        <v>-4.5318324683868427E-3</v>
      </c>
    </row>
    <row r="1053" spans="1:9" ht="17.5">
      <c r="A1053" s="248">
        <v>43875</v>
      </c>
      <c r="B1053" s="249">
        <v>83.51</v>
      </c>
      <c r="C1053" s="47">
        <f t="shared" si="34"/>
        <v>8.0878802510864212E-3</v>
      </c>
      <c r="E1053" s="81"/>
      <c r="F1053" s="82"/>
      <c r="G1053" s="81">
        <v>43823</v>
      </c>
      <c r="H1053" s="82">
        <v>272.5</v>
      </c>
      <c r="I1053" s="173">
        <f t="shared" si="33"/>
        <v>4.405609809825517E-4</v>
      </c>
    </row>
    <row r="1054" spans="1:9" ht="17.5">
      <c r="A1054" s="248">
        <v>43876</v>
      </c>
      <c r="B1054" s="249">
        <v>82.94</v>
      </c>
      <c r="C1054" s="47">
        <f t="shared" si="34"/>
        <v>-6.825529876661518E-3</v>
      </c>
      <c r="E1054" s="81"/>
      <c r="F1054" s="82"/>
      <c r="G1054" s="81">
        <v>43824</v>
      </c>
      <c r="H1054" s="82">
        <v>273.88</v>
      </c>
      <c r="I1054" s="173">
        <f t="shared" si="33"/>
        <v>5.0642201834862899E-3</v>
      </c>
    </row>
    <row r="1055" spans="1:9" ht="17.5">
      <c r="A1055" s="248">
        <v>43880</v>
      </c>
      <c r="B1055" s="249">
        <v>82.93</v>
      </c>
      <c r="C1055" s="47">
        <f t="shared" si="34"/>
        <v>-1.2056908608626404E-4</v>
      </c>
      <c r="E1055" s="81"/>
      <c r="F1055" s="82"/>
      <c r="G1055" s="81">
        <v>43825</v>
      </c>
      <c r="H1055" s="82">
        <v>276.49</v>
      </c>
      <c r="I1055" s="173">
        <f t="shared" si="33"/>
        <v>9.5297210457134796E-3</v>
      </c>
    </row>
    <row r="1056" spans="1:9" ht="17.5">
      <c r="A1056" s="248">
        <v>43881</v>
      </c>
      <c r="B1056" s="249">
        <v>82.87</v>
      </c>
      <c r="C1056" s="47">
        <f t="shared" si="34"/>
        <v>-7.2350174846258497E-4</v>
      </c>
      <c r="E1056" s="81"/>
      <c r="F1056" s="82"/>
      <c r="G1056" s="81">
        <v>43826</v>
      </c>
      <c r="H1056" s="82">
        <v>279.58</v>
      </c>
      <c r="I1056" s="173">
        <f t="shared" si="33"/>
        <v>1.117581106007437E-2</v>
      </c>
    </row>
    <row r="1057" spans="1:9" ht="17.5">
      <c r="A1057" s="248">
        <v>43882</v>
      </c>
      <c r="B1057" s="249">
        <v>83.39</v>
      </c>
      <c r="C1057" s="47">
        <f t="shared" si="34"/>
        <v>6.2748883793892762E-3</v>
      </c>
      <c r="E1057" s="81"/>
      <c r="F1057" s="82"/>
      <c r="G1057" s="81">
        <v>43827</v>
      </c>
      <c r="H1057" s="82">
        <v>280.08999999999997</v>
      </c>
      <c r="I1057" s="173">
        <f t="shared" si="33"/>
        <v>1.8241648186565484E-3</v>
      </c>
    </row>
    <row r="1058" spans="1:9" ht="17.5">
      <c r="A1058" s="248">
        <v>43883</v>
      </c>
      <c r="B1058" s="249">
        <v>83.86</v>
      </c>
      <c r="C1058" s="47">
        <f t="shared" si="34"/>
        <v>5.6361674061637945E-3</v>
      </c>
      <c r="E1058" s="81"/>
      <c r="F1058" s="82"/>
      <c r="G1058" s="81">
        <v>43830</v>
      </c>
      <c r="H1058" s="82">
        <v>280.45</v>
      </c>
      <c r="I1058" s="173">
        <f t="shared" si="33"/>
        <v>1.2853011532008018E-3</v>
      </c>
    </row>
    <row r="1059" spans="1:9" ht="17.5">
      <c r="A1059" s="248">
        <v>43886</v>
      </c>
      <c r="B1059" s="249">
        <v>83.62</v>
      </c>
      <c r="C1059" s="47">
        <f t="shared" si="34"/>
        <v>-2.8619127116622511E-3</v>
      </c>
      <c r="E1059" s="81"/>
      <c r="F1059" s="82"/>
      <c r="G1059" s="81">
        <v>43831</v>
      </c>
      <c r="H1059" s="82">
        <v>278.12</v>
      </c>
      <c r="I1059" s="173">
        <f t="shared" si="33"/>
        <v>-8.3080763059368845E-3</v>
      </c>
    </row>
    <row r="1060" spans="1:9" ht="17.5">
      <c r="A1060" s="248">
        <v>43887</v>
      </c>
      <c r="B1060" s="249">
        <v>83.54</v>
      </c>
      <c r="C1060" s="47">
        <f t="shared" si="34"/>
        <v>-9.5670892131072272E-4</v>
      </c>
      <c r="E1060" s="81"/>
      <c r="F1060" s="82"/>
      <c r="G1060" s="81">
        <v>43832</v>
      </c>
      <c r="H1060" s="82">
        <v>275.66000000000003</v>
      </c>
      <c r="I1060" s="173">
        <f t="shared" si="33"/>
        <v>-8.845102833309304E-3</v>
      </c>
    </row>
    <row r="1061" spans="1:9" ht="17.5">
      <c r="A1061" s="248">
        <v>43888</v>
      </c>
      <c r="B1061" s="249">
        <v>83.71</v>
      </c>
      <c r="C1061" s="47">
        <f t="shared" si="34"/>
        <v>2.0349533157766331E-3</v>
      </c>
      <c r="E1061" s="81"/>
      <c r="F1061" s="82"/>
      <c r="G1061" s="81">
        <v>43833</v>
      </c>
      <c r="H1061" s="82">
        <v>276.35000000000002</v>
      </c>
      <c r="I1061" s="173">
        <f t="shared" si="33"/>
        <v>2.5030835086701231E-3</v>
      </c>
    </row>
    <row r="1062" spans="1:9" ht="17.5">
      <c r="A1062" s="248">
        <v>43889</v>
      </c>
      <c r="B1062" s="249">
        <v>84</v>
      </c>
      <c r="C1062" s="47">
        <f t="shared" si="34"/>
        <v>3.4643411778760846E-3</v>
      </c>
      <c r="E1062" s="81"/>
      <c r="F1062" s="82"/>
      <c r="G1062" s="81">
        <v>43834</v>
      </c>
      <c r="H1062" s="82">
        <v>276.12</v>
      </c>
      <c r="I1062" s="173">
        <f t="shared" si="33"/>
        <v>-8.322779084495302E-4</v>
      </c>
    </row>
    <row r="1063" spans="1:9" ht="17.5">
      <c r="A1063" s="248">
        <v>43890</v>
      </c>
      <c r="B1063" s="249">
        <v>84.49</v>
      </c>
      <c r="C1063" s="47">
        <f t="shared" si="34"/>
        <v>5.833333333333357E-3</v>
      </c>
      <c r="E1063" s="81"/>
      <c r="F1063" s="82"/>
      <c r="G1063" s="81">
        <v>43837</v>
      </c>
      <c r="H1063" s="82">
        <v>274.74</v>
      </c>
      <c r="I1063" s="173">
        <f t="shared" si="33"/>
        <v>-4.9978270317253548E-3</v>
      </c>
    </row>
    <row r="1064" spans="1:9" ht="17.5">
      <c r="A1064" s="248">
        <v>43893</v>
      </c>
      <c r="B1064" s="249">
        <v>84.42</v>
      </c>
      <c r="C1064" s="47">
        <f t="shared" si="34"/>
        <v>-8.2850041425008847E-4</v>
      </c>
      <c r="E1064" s="81"/>
      <c r="F1064" s="82"/>
      <c r="G1064" s="81">
        <v>43838</v>
      </c>
      <c r="H1064" s="82">
        <v>273.95</v>
      </c>
      <c r="I1064" s="173">
        <f t="shared" si="33"/>
        <v>-2.8754458761011126E-3</v>
      </c>
    </row>
    <row r="1065" spans="1:9" ht="17.5">
      <c r="A1065" s="248">
        <v>43894</v>
      </c>
      <c r="B1065" s="249">
        <v>84.6</v>
      </c>
      <c r="C1065" s="47">
        <f t="shared" si="34"/>
        <v>2.132196162046851E-3</v>
      </c>
      <c r="E1065" s="81"/>
      <c r="F1065" s="82"/>
      <c r="G1065" s="81">
        <v>43839</v>
      </c>
      <c r="H1065" s="82">
        <v>273.37</v>
      </c>
      <c r="I1065" s="173">
        <f t="shared" si="33"/>
        <v>-2.1171746669099711E-3</v>
      </c>
    </row>
    <row r="1066" spans="1:9" ht="17.5">
      <c r="A1066" s="248">
        <v>43895</v>
      </c>
      <c r="B1066" s="249">
        <v>84.91</v>
      </c>
      <c r="C1066" s="47">
        <f t="shared" si="34"/>
        <v>3.6643026004727908E-3</v>
      </c>
      <c r="E1066" s="81"/>
      <c r="F1066" s="82"/>
      <c r="G1066" s="81">
        <v>43840</v>
      </c>
      <c r="H1066" s="82">
        <v>274.95999999999998</v>
      </c>
      <c r="I1066" s="173">
        <f t="shared" si="33"/>
        <v>5.8162929363132498E-3</v>
      </c>
    </row>
    <row r="1067" spans="1:9" ht="17.5">
      <c r="A1067" s="248">
        <v>43896</v>
      </c>
      <c r="B1067" s="249">
        <v>85.14</v>
      </c>
      <c r="C1067" s="47">
        <f t="shared" si="34"/>
        <v>2.7087504416440922E-3</v>
      </c>
      <c r="E1067" s="81"/>
      <c r="F1067" s="82"/>
      <c r="G1067" s="81">
        <v>43841</v>
      </c>
      <c r="H1067" s="82">
        <v>275.60000000000002</v>
      </c>
      <c r="I1067" s="173">
        <f t="shared" si="33"/>
        <v>2.3276112889150102E-3</v>
      </c>
    </row>
    <row r="1068" spans="1:9" ht="17.5">
      <c r="A1068" s="248">
        <v>43897</v>
      </c>
      <c r="B1068" s="249">
        <v>85.24</v>
      </c>
      <c r="C1068" s="47">
        <f t="shared" si="34"/>
        <v>1.1745360582569031E-3</v>
      </c>
      <c r="E1068" s="81"/>
      <c r="F1068" s="82"/>
      <c r="G1068" s="81">
        <v>43844</v>
      </c>
      <c r="H1068" s="82">
        <v>275.55</v>
      </c>
      <c r="I1068" s="173">
        <f t="shared" si="33"/>
        <v>-1.8142235123375094E-4</v>
      </c>
    </row>
    <row r="1069" spans="1:9" ht="17.5">
      <c r="A1069" s="248">
        <v>43900</v>
      </c>
      <c r="B1069" s="249">
        <v>85.1</v>
      </c>
      <c r="C1069" s="47">
        <f t="shared" si="34"/>
        <v>-1.6424213984045366E-3</v>
      </c>
      <c r="E1069" s="81"/>
      <c r="F1069" s="82"/>
      <c r="G1069" s="81">
        <v>43845</v>
      </c>
      <c r="H1069" s="82">
        <v>271.95999999999998</v>
      </c>
      <c r="I1069" s="173">
        <f t="shared" si="33"/>
        <v>-1.3028488477590416E-2</v>
      </c>
    </row>
    <row r="1070" spans="1:9" ht="17.5">
      <c r="A1070" s="248">
        <v>43901</v>
      </c>
      <c r="B1070" s="249">
        <v>84.99</v>
      </c>
      <c r="C1070" s="47">
        <f t="shared" si="34"/>
        <v>-1.2925969447707963E-3</v>
      </c>
      <c r="E1070" s="81"/>
      <c r="F1070" s="82"/>
      <c r="G1070" s="81">
        <v>43846</v>
      </c>
      <c r="H1070" s="82">
        <v>266.70999999999998</v>
      </c>
      <c r="I1070" s="173">
        <f t="shared" si="33"/>
        <v>-1.9304309457273128E-2</v>
      </c>
    </row>
    <row r="1071" spans="1:9" ht="17.5">
      <c r="A1071" s="248">
        <v>43902</v>
      </c>
      <c r="B1071" s="249">
        <v>85.08</v>
      </c>
      <c r="C1071" s="47">
        <f t="shared" si="34"/>
        <v>1.0589481115426125E-3</v>
      </c>
      <c r="E1071" s="81"/>
      <c r="F1071" s="82"/>
      <c r="G1071" s="81">
        <v>43847</v>
      </c>
      <c r="H1071" s="82">
        <v>267.08999999999997</v>
      </c>
      <c r="I1071" s="173">
        <f t="shared" si="33"/>
        <v>1.4247684751227396E-3</v>
      </c>
    </row>
    <row r="1072" spans="1:9" ht="17.5">
      <c r="A1072" s="248">
        <v>43903</v>
      </c>
      <c r="B1072" s="249">
        <v>84.65</v>
      </c>
      <c r="C1072" s="47">
        <f t="shared" si="34"/>
        <v>-5.0540667606957523E-3</v>
      </c>
      <c r="E1072" s="81"/>
      <c r="F1072" s="82"/>
      <c r="G1072" s="81">
        <v>43848</v>
      </c>
      <c r="H1072" s="82">
        <v>269.14</v>
      </c>
      <c r="I1072" s="173">
        <f t="shared" si="33"/>
        <v>7.6753154367441567E-3</v>
      </c>
    </row>
    <row r="1073" spans="1:9" ht="17.5">
      <c r="A1073" s="248">
        <v>43904</v>
      </c>
      <c r="B1073" s="249">
        <v>84.38</v>
      </c>
      <c r="C1073" s="47">
        <f t="shared" si="34"/>
        <v>-3.1896042528057889E-3</v>
      </c>
      <c r="E1073" s="81"/>
      <c r="F1073" s="82"/>
      <c r="G1073" s="81">
        <v>43851</v>
      </c>
      <c r="H1073" s="82">
        <v>267.35000000000002</v>
      </c>
      <c r="I1073" s="173">
        <f t="shared" si="33"/>
        <v>-6.6508137029054337E-3</v>
      </c>
    </row>
    <row r="1074" spans="1:9" ht="17.5">
      <c r="A1074" s="248">
        <v>43907</v>
      </c>
      <c r="B1074" s="249">
        <v>84.43</v>
      </c>
      <c r="C1074" s="47">
        <f t="shared" si="34"/>
        <v>5.9255747807540615E-4</v>
      </c>
      <c r="E1074" s="81"/>
      <c r="F1074" s="82"/>
      <c r="G1074" s="81">
        <v>43852</v>
      </c>
      <c r="H1074" s="82">
        <v>268.06</v>
      </c>
      <c r="I1074" s="173">
        <f t="shared" si="33"/>
        <v>2.6556947821207988E-3</v>
      </c>
    </row>
    <row r="1075" spans="1:9" ht="17.5">
      <c r="A1075" s="248">
        <v>43908</v>
      </c>
      <c r="B1075" s="249">
        <v>84.82</v>
      </c>
      <c r="C1075" s="47">
        <f t="shared" si="34"/>
        <v>4.619211180859617E-3</v>
      </c>
      <c r="E1075" s="81"/>
      <c r="F1075" s="82"/>
      <c r="G1075" s="81">
        <v>43853</v>
      </c>
      <c r="H1075" s="82">
        <v>271.92</v>
      </c>
      <c r="I1075" s="173">
        <f t="shared" si="33"/>
        <v>1.439976124748199E-2</v>
      </c>
    </row>
    <row r="1076" spans="1:9" ht="17.5">
      <c r="A1076" s="248">
        <v>43909</v>
      </c>
      <c r="B1076" s="249">
        <v>85.22</v>
      </c>
      <c r="C1076" s="47">
        <f t="shared" si="34"/>
        <v>4.7158688988446773E-3</v>
      </c>
      <c r="E1076" s="81"/>
      <c r="F1076" s="82"/>
      <c r="G1076" s="81">
        <v>43854</v>
      </c>
      <c r="H1076" s="82">
        <v>273.64999999999998</v>
      </c>
      <c r="I1076" s="173">
        <f t="shared" si="33"/>
        <v>6.3621653427476943E-3</v>
      </c>
    </row>
    <row r="1077" spans="1:9" ht="17.5">
      <c r="A1077" s="248">
        <v>43910</v>
      </c>
      <c r="B1077" s="249">
        <v>85.51</v>
      </c>
      <c r="C1077" s="47">
        <f t="shared" si="34"/>
        <v>3.402957052335287E-3</v>
      </c>
      <c r="E1077" s="81"/>
      <c r="F1077" s="82"/>
      <c r="G1077" s="81">
        <v>43855</v>
      </c>
      <c r="H1077" s="82">
        <v>272.8</v>
      </c>
      <c r="I1077" s="173">
        <f t="shared" si="33"/>
        <v>-3.1061575004566189E-3</v>
      </c>
    </row>
    <row r="1078" spans="1:9" ht="17.5">
      <c r="A1078" s="248">
        <v>43911</v>
      </c>
      <c r="B1078" s="249">
        <v>85.79</v>
      </c>
      <c r="C1078" s="47">
        <f t="shared" si="34"/>
        <v>3.2744708221261742E-3</v>
      </c>
      <c r="E1078" s="81"/>
      <c r="F1078" s="82"/>
      <c r="G1078" s="81">
        <v>43858</v>
      </c>
      <c r="H1078" s="82">
        <v>273.83999999999997</v>
      </c>
      <c r="I1078" s="173">
        <f t="shared" si="33"/>
        <v>3.8123167155423854E-3</v>
      </c>
    </row>
    <row r="1079" spans="1:9" ht="17.5">
      <c r="A1079" s="248">
        <v>43914</v>
      </c>
      <c r="B1079" s="249">
        <v>85.72</v>
      </c>
      <c r="C1079" s="47">
        <f t="shared" si="34"/>
        <v>-8.1594591444233977E-4</v>
      </c>
      <c r="E1079" s="81"/>
      <c r="F1079" s="82"/>
      <c r="G1079" s="81">
        <v>43859</v>
      </c>
      <c r="H1079" s="82">
        <v>271.08</v>
      </c>
      <c r="I1079" s="173">
        <f t="shared" si="33"/>
        <v>-1.0078878177037676E-2</v>
      </c>
    </row>
    <row r="1080" spans="1:9" ht="17.5">
      <c r="A1080" s="248">
        <v>43915</v>
      </c>
      <c r="B1080" s="249">
        <v>85.72</v>
      </c>
      <c r="C1080" s="47">
        <f t="shared" si="34"/>
        <v>0</v>
      </c>
      <c r="E1080" s="81"/>
      <c r="F1080" s="82"/>
      <c r="G1080" s="81">
        <v>43860</v>
      </c>
      <c r="H1080" s="82">
        <v>270.26</v>
      </c>
      <c r="I1080" s="173">
        <f t="shared" si="33"/>
        <v>-3.024937287885443E-3</v>
      </c>
    </row>
    <row r="1081" spans="1:9" ht="17.5">
      <c r="A1081" s="248">
        <v>43916</v>
      </c>
      <c r="B1081" s="249">
        <v>86.07</v>
      </c>
      <c r="C1081" s="47">
        <f t="shared" si="34"/>
        <v>4.0830611292579366E-3</v>
      </c>
      <c r="E1081" s="81"/>
      <c r="F1081" s="82"/>
      <c r="G1081" s="81">
        <v>43861</v>
      </c>
      <c r="H1081" s="82">
        <v>271.18</v>
      </c>
      <c r="I1081" s="173">
        <f t="shared" si="33"/>
        <v>3.4041293569155862E-3</v>
      </c>
    </row>
    <row r="1082" spans="1:9" ht="17.5">
      <c r="A1082" s="248">
        <v>43917</v>
      </c>
      <c r="B1082" s="249">
        <v>85.68</v>
      </c>
      <c r="C1082" s="47">
        <f t="shared" si="34"/>
        <v>-4.5311955385149982E-3</v>
      </c>
      <c r="E1082" s="81"/>
      <c r="F1082" s="82"/>
      <c r="G1082" s="81">
        <v>43862</v>
      </c>
      <c r="H1082" s="82">
        <v>271.36</v>
      </c>
      <c r="I1082" s="173">
        <f t="shared" si="33"/>
        <v>6.6376576443683E-4</v>
      </c>
    </row>
    <row r="1083" spans="1:9" ht="17.5">
      <c r="A1083" s="248">
        <v>43921</v>
      </c>
      <c r="B1083" s="249">
        <v>85.31</v>
      </c>
      <c r="C1083" s="47">
        <f t="shared" si="34"/>
        <v>-4.3183940242764729E-3</v>
      </c>
      <c r="E1083" s="81"/>
      <c r="F1083" s="82"/>
      <c r="G1083" s="81">
        <v>43865</v>
      </c>
      <c r="H1083" s="82">
        <v>269.99</v>
      </c>
      <c r="I1083" s="173">
        <f t="shared" si="33"/>
        <v>-5.0486438679245849E-3</v>
      </c>
    </row>
    <row r="1084" spans="1:9" ht="17.5">
      <c r="A1084" s="248">
        <v>43922</v>
      </c>
      <c r="B1084" s="249">
        <v>85.35</v>
      </c>
      <c r="C1084" s="47">
        <f t="shared" si="34"/>
        <v>4.688782088850818E-4</v>
      </c>
      <c r="E1084" s="81"/>
      <c r="F1084" s="82"/>
      <c r="G1084" s="81">
        <v>43866</v>
      </c>
      <c r="H1084" s="82">
        <v>275.04000000000002</v>
      </c>
      <c r="I1084" s="173">
        <f t="shared" si="33"/>
        <v>1.8704396459128247E-2</v>
      </c>
    </row>
    <row r="1085" spans="1:9" ht="17.5">
      <c r="A1085" s="248">
        <v>43923</v>
      </c>
      <c r="B1085" s="249">
        <v>85.53</v>
      </c>
      <c r="C1085" s="47">
        <f t="shared" si="34"/>
        <v>2.1089630931458991E-3</v>
      </c>
      <c r="E1085" s="81"/>
      <c r="F1085" s="82"/>
      <c r="G1085" s="81">
        <v>43867</v>
      </c>
      <c r="H1085" s="82">
        <v>275.66000000000003</v>
      </c>
      <c r="I1085" s="173">
        <f t="shared" si="33"/>
        <v>2.2542175683537558E-3</v>
      </c>
    </row>
    <row r="1086" spans="1:9" ht="17.5">
      <c r="A1086" s="248">
        <v>43924</v>
      </c>
      <c r="B1086" s="249">
        <v>85.49</v>
      </c>
      <c r="C1086" s="47">
        <f t="shared" si="34"/>
        <v>-4.6767216181464732E-4</v>
      </c>
      <c r="E1086" s="81"/>
      <c r="F1086" s="82"/>
      <c r="G1086" s="81">
        <v>43868</v>
      </c>
      <c r="H1086" s="82">
        <v>274.5</v>
      </c>
      <c r="I1086" s="173">
        <f t="shared" si="33"/>
        <v>-4.2080824203729605E-3</v>
      </c>
    </row>
    <row r="1087" spans="1:9" ht="17.5">
      <c r="A1087" s="248">
        <v>43925</v>
      </c>
      <c r="B1087" s="249">
        <v>85.63</v>
      </c>
      <c r="C1087" s="47">
        <f t="shared" si="34"/>
        <v>1.6376184349047307E-3</v>
      </c>
      <c r="E1087" s="81"/>
      <c r="F1087" s="82"/>
      <c r="G1087" s="81">
        <v>43869</v>
      </c>
      <c r="H1087" s="82">
        <v>273.77999999999997</v>
      </c>
      <c r="I1087" s="173">
        <f t="shared" si="33"/>
        <v>-2.6229508196722318E-3</v>
      </c>
    </row>
    <row r="1088" spans="1:9" ht="17.5">
      <c r="A1088" s="248">
        <v>43928</v>
      </c>
      <c r="B1088" s="249">
        <v>85.65</v>
      </c>
      <c r="C1088" s="47">
        <f t="shared" si="34"/>
        <v>2.3356300362031845E-4</v>
      </c>
      <c r="E1088" s="81"/>
      <c r="F1088" s="82"/>
      <c r="G1088" s="81">
        <v>43872</v>
      </c>
      <c r="H1088" s="82">
        <v>273.49</v>
      </c>
      <c r="I1088" s="173">
        <f t="shared" si="33"/>
        <v>-1.0592446489881002E-3</v>
      </c>
    </row>
    <row r="1089" spans="1:9" ht="17.5">
      <c r="A1089" s="248">
        <v>43929</v>
      </c>
      <c r="B1089" s="249">
        <v>86.23</v>
      </c>
      <c r="C1089" s="47">
        <f t="shared" si="34"/>
        <v>6.7717454757734163E-3</v>
      </c>
      <c r="E1089" s="81"/>
      <c r="F1089" s="82"/>
      <c r="G1089" s="81">
        <v>43873</v>
      </c>
      <c r="H1089" s="82">
        <v>273.26</v>
      </c>
      <c r="I1089" s="173">
        <f t="shared" si="33"/>
        <v>-8.4098138871624428E-4</v>
      </c>
    </row>
    <row r="1090" spans="1:9" ht="17.5">
      <c r="A1090" s="248">
        <v>43930</v>
      </c>
      <c r="B1090" s="249">
        <v>84.87</v>
      </c>
      <c r="C1090" s="47">
        <f t="shared" si="34"/>
        <v>-1.5771773164791836E-2</v>
      </c>
      <c r="E1090" s="81"/>
      <c r="F1090" s="82"/>
      <c r="G1090" s="81">
        <v>43874</v>
      </c>
      <c r="H1090" s="82">
        <v>274.52</v>
      </c>
      <c r="I1090" s="173">
        <f t="shared" si="33"/>
        <v>4.6109931932958315E-3</v>
      </c>
    </row>
    <row r="1091" spans="1:9" ht="17.5">
      <c r="A1091" s="248">
        <v>43931</v>
      </c>
      <c r="B1091" s="249">
        <v>84.62</v>
      </c>
      <c r="C1091" s="47">
        <f t="shared" si="34"/>
        <v>-2.9456816307293909E-3</v>
      </c>
      <c r="E1091" s="81"/>
      <c r="F1091" s="82"/>
      <c r="G1091" s="81">
        <v>43875</v>
      </c>
      <c r="H1091" s="82">
        <v>277.24</v>
      </c>
      <c r="I1091" s="173">
        <f t="shared" si="33"/>
        <v>9.9082034095876459E-3</v>
      </c>
    </row>
    <row r="1092" spans="1:9" ht="17.5">
      <c r="A1092" s="248">
        <v>43932</v>
      </c>
      <c r="B1092" s="249">
        <v>84.38</v>
      </c>
      <c r="C1092" s="47">
        <f t="shared" si="34"/>
        <v>-2.8362089340582264E-3</v>
      </c>
      <c r="E1092" s="81"/>
      <c r="F1092" s="82"/>
      <c r="G1092" s="81">
        <v>43876</v>
      </c>
      <c r="H1092" s="82">
        <v>279.36</v>
      </c>
      <c r="I1092" s="173">
        <f t="shared" si="33"/>
        <v>7.6468042129562708E-3</v>
      </c>
    </row>
    <row r="1093" spans="1:9" ht="17.5">
      <c r="A1093" s="248">
        <v>43935</v>
      </c>
      <c r="B1093" s="249">
        <v>83.4</v>
      </c>
      <c r="C1093" s="47">
        <f t="shared" si="34"/>
        <v>-1.1614126570277161E-2</v>
      </c>
      <c r="E1093" s="81"/>
      <c r="F1093" s="82"/>
      <c r="G1093" s="81">
        <v>43879</v>
      </c>
      <c r="H1093" s="82">
        <v>279.29000000000002</v>
      </c>
      <c r="I1093" s="173">
        <f t="shared" si="33"/>
        <v>-2.5057273768613886E-4</v>
      </c>
    </row>
    <row r="1094" spans="1:9" ht="17.5">
      <c r="A1094" s="248">
        <v>43936</v>
      </c>
      <c r="B1094" s="249">
        <v>83.14</v>
      </c>
      <c r="C1094" s="47">
        <f t="shared" si="34"/>
        <v>-3.1175059952038842E-3</v>
      </c>
      <c r="E1094" s="81"/>
      <c r="F1094" s="82"/>
      <c r="G1094" s="81">
        <v>43880</v>
      </c>
      <c r="H1094" s="82">
        <v>280.32</v>
      </c>
      <c r="I1094" s="173">
        <f t="shared" si="33"/>
        <v>3.6879229474737762E-3</v>
      </c>
    </row>
    <row r="1095" spans="1:9" ht="17.5">
      <c r="A1095" s="248">
        <v>43937</v>
      </c>
      <c r="B1095" s="249">
        <v>83.79</v>
      </c>
      <c r="C1095" s="47">
        <f t="shared" si="34"/>
        <v>7.8181380803463707E-3</v>
      </c>
      <c r="E1095" s="81"/>
      <c r="F1095" s="82"/>
      <c r="G1095" s="81">
        <v>43881</v>
      </c>
      <c r="H1095" s="82">
        <v>280.67</v>
      </c>
      <c r="I1095" s="173">
        <f t="shared" si="33"/>
        <v>1.2485730593607691E-3</v>
      </c>
    </row>
    <row r="1096" spans="1:9" ht="17.5">
      <c r="A1096" s="248">
        <v>43938</v>
      </c>
      <c r="B1096" s="249">
        <v>83.73</v>
      </c>
      <c r="C1096" s="47">
        <f t="shared" si="34"/>
        <v>-7.160759040458764E-4</v>
      </c>
      <c r="E1096" s="81"/>
      <c r="F1096" s="82"/>
      <c r="G1096" s="81">
        <v>43882</v>
      </c>
      <c r="H1096" s="82">
        <v>282.97000000000003</v>
      </c>
      <c r="I1096" s="173">
        <f t="shared" si="33"/>
        <v>8.1946770228382704E-3</v>
      </c>
    </row>
    <row r="1097" spans="1:9" ht="17.5">
      <c r="A1097" s="248">
        <v>43939</v>
      </c>
      <c r="B1097" s="249">
        <v>83.97</v>
      </c>
      <c r="C1097" s="47">
        <f t="shared" si="34"/>
        <v>2.8663561447508368E-3</v>
      </c>
      <c r="E1097" s="81"/>
      <c r="F1097" s="82"/>
      <c r="G1097" s="81">
        <v>43883</v>
      </c>
      <c r="H1097" s="82">
        <v>282.69</v>
      </c>
      <c r="I1097" s="173">
        <f t="shared" si="33"/>
        <v>-9.8950418772314475E-4</v>
      </c>
    </row>
    <row r="1098" spans="1:9" ht="17.5">
      <c r="A1098" s="248">
        <v>43942</v>
      </c>
      <c r="B1098" s="249">
        <v>84.42</v>
      </c>
      <c r="C1098" s="47">
        <f t="shared" si="34"/>
        <v>5.3590568060022381E-3</v>
      </c>
      <c r="E1098" s="81"/>
      <c r="F1098" s="82"/>
      <c r="G1098" s="81">
        <v>43886</v>
      </c>
      <c r="H1098" s="82">
        <v>282.06</v>
      </c>
      <c r="I1098" s="173">
        <f t="shared" si="33"/>
        <v>-2.2285896211396983E-3</v>
      </c>
    </row>
    <row r="1099" spans="1:9" ht="17.5">
      <c r="A1099" s="248">
        <v>43943</v>
      </c>
      <c r="B1099" s="249">
        <v>84.53</v>
      </c>
      <c r="C1099" s="47">
        <f t="shared" si="34"/>
        <v>1.3030087656953349E-3</v>
      </c>
      <c r="E1099" s="81"/>
      <c r="F1099" s="82"/>
      <c r="G1099" s="81">
        <v>43887</v>
      </c>
      <c r="H1099" s="82">
        <v>283.41000000000003</v>
      </c>
      <c r="I1099" s="173">
        <f t="shared" si="33"/>
        <v>4.7862156987876769E-3</v>
      </c>
    </row>
    <row r="1100" spans="1:9" ht="17.5">
      <c r="A1100" s="248">
        <v>43944</v>
      </c>
      <c r="B1100" s="249">
        <v>83.93</v>
      </c>
      <c r="C1100" s="47">
        <f t="shared" si="34"/>
        <v>-7.0980716905240104E-3</v>
      </c>
      <c r="E1100" s="81"/>
      <c r="F1100" s="82"/>
      <c r="G1100" s="81">
        <v>43888</v>
      </c>
      <c r="H1100" s="82">
        <v>280.08999999999997</v>
      </c>
      <c r="I1100" s="173">
        <f t="shared" si="33"/>
        <v>-1.1714477259094802E-2</v>
      </c>
    </row>
    <row r="1101" spans="1:9" ht="17.5">
      <c r="A1101" s="248">
        <v>43945</v>
      </c>
      <c r="B1101" s="249">
        <v>83.69</v>
      </c>
      <c r="C1101" s="47">
        <f t="shared" si="34"/>
        <v>-2.8595257953056841E-3</v>
      </c>
      <c r="E1101" s="81"/>
      <c r="F1101" s="82"/>
      <c r="G1101" s="81">
        <v>43889</v>
      </c>
      <c r="H1101" s="82">
        <v>281.25</v>
      </c>
      <c r="I1101" s="173">
        <f t="shared" si="33"/>
        <v>4.1415259380914726E-3</v>
      </c>
    </row>
    <row r="1102" spans="1:9" ht="17.5">
      <c r="A1102" s="248">
        <v>43946</v>
      </c>
      <c r="B1102" s="249">
        <v>84.05</v>
      </c>
      <c r="C1102" s="47">
        <f t="shared" si="34"/>
        <v>4.3015891982316479E-3</v>
      </c>
      <c r="E1102" s="81"/>
      <c r="F1102" s="82"/>
      <c r="G1102" s="81">
        <v>43890</v>
      </c>
      <c r="H1102" s="82">
        <v>282.52999999999997</v>
      </c>
      <c r="I1102" s="173">
        <f t="shared" si="33"/>
        <v>4.5511111111109503E-3</v>
      </c>
    </row>
    <row r="1103" spans="1:9" ht="17.5">
      <c r="A1103" s="248">
        <v>43949</v>
      </c>
      <c r="B1103" s="249">
        <v>84.46</v>
      </c>
      <c r="C1103" s="47">
        <f t="shared" si="34"/>
        <v>4.8780487804878092E-3</v>
      </c>
      <c r="E1103" s="81"/>
      <c r="F1103" s="82"/>
      <c r="G1103" s="81">
        <v>43893</v>
      </c>
      <c r="H1103" s="82">
        <v>283.43</v>
      </c>
      <c r="I1103" s="173">
        <f t="shared" si="33"/>
        <v>3.1855024245213137E-3</v>
      </c>
    </row>
    <row r="1104" spans="1:9" ht="17.5">
      <c r="A1104" s="248">
        <v>43950</v>
      </c>
      <c r="B1104" s="249">
        <v>83.61</v>
      </c>
      <c r="C1104" s="47">
        <f t="shared" si="34"/>
        <v>-1.0063935590812201E-2</v>
      </c>
      <c r="E1104" s="81"/>
      <c r="F1104" s="82"/>
      <c r="G1104" s="81">
        <v>43894</v>
      </c>
      <c r="H1104" s="82">
        <v>281.72000000000003</v>
      </c>
      <c r="I1104" s="173">
        <f t="shared" ref="I1104:I1167" si="35">H1104/H1103-1</f>
        <v>-6.0332357195779229E-3</v>
      </c>
    </row>
    <row r="1105" spans="1:9" ht="17.5">
      <c r="A1105" s="248">
        <v>43951</v>
      </c>
      <c r="B1105" s="249">
        <v>83.96</v>
      </c>
      <c r="C1105" s="47">
        <f t="shared" ref="C1105:C1168" si="36">B1105/B1104-1</f>
        <v>4.1861021408922117E-3</v>
      </c>
      <c r="E1105" s="81"/>
      <c r="F1105" s="82"/>
      <c r="G1105" s="81">
        <v>43895</v>
      </c>
      <c r="H1105" s="82">
        <v>283.2</v>
      </c>
      <c r="I1105" s="173">
        <f t="shared" si="35"/>
        <v>5.2534431350275135E-3</v>
      </c>
    </row>
    <row r="1106" spans="1:9" ht="17.5">
      <c r="A1106" s="248">
        <v>43952</v>
      </c>
      <c r="B1106" s="249">
        <v>84.64</v>
      </c>
      <c r="C1106" s="47">
        <f t="shared" si="36"/>
        <v>8.099094807050955E-3</v>
      </c>
      <c r="E1106" s="81"/>
      <c r="F1106" s="82"/>
      <c r="G1106" s="81">
        <v>43896</v>
      </c>
      <c r="H1106" s="82">
        <v>283.70999999999998</v>
      </c>
      <c r="I1106" s="173">
        <f t="shared" si="35"/>
        <v>1.8008474576269862E-3</v>
      </c>
    </row>
    <row r="1107" spans="1:9" ht="17.5">
      <c r="A1107" s="248">
        <v>43953</v>
      </c>
      <c r="B1107" s="249">
        <v>85.34</v>
      </c>
      <c r="C1107" s="47">
        <f t="shared" si="36"/>
        <v>8.2703213610586523E-3</v>
      </c>
      <c r="E1107" s="81"/>
      <c r="F1107" s="82"/>
      <c r="G1107" s="81">
        <v>43897</v>
      </c>
      <c r="H1107" s="82">
        <v>284.60000000000002</v>
      </c>
      <c r="I1107" s="173">
        <f t="shared" si="35"/>
        <v>3.1370060977760073E-3</v>
      </c>
    </row>
    <row r="1108" spans="1:9" ht="17.5">
      <c r="A1108" s="248">
        <v>43956</v>
      </c>
      <c r="B1108" s="249">
        <v>85.58</v>
      </c>
      <c r="C1108" s="47">
        <f t="shared" si="36"/>
        <v>2.8122802906023203E-3</v>
      </c>
      <c r="E1108" s="81"/>
      <c r="F1108" s="82"/>
      <c r="G1108" s="81">
        <v>43900</v>
      </c>
      <c r="H1108" s="82">
        <v>285.17</v>
      </c>
      <c r="I1108" s="173">
        <f t="shared" si="35"/>
        <v>2.0028109627547863E-3</v>
      </c>
    </row>
    <row r="1109" spans="1:9" ht="17.5">
      <c r="A1109" s="248">
        <v>43957</v>
      </c>
      <c r="B1109" s="249">
        <v>85.64</v>
      </c>
      <c r="C1109" s="47">
        <f t="shared" si="36"/>
        <v>7.0109838747378639E-4</v>
      </c>
      <c r="E1109" s="81"/>
      <c r="F1109" s="82"/>
      <c r="G1109" s="81">
        <v>43901</v>
      </c>
      <c r="H1109" s="82">
        <v>287.26</v>
      </c>
      <c r="I1109" s="173">
        <f t="shared" si="35"/>
        <v>7.3289616719849349E-3</v>
      </c>
    </row>
    <row r="1110" spans="1:9" ht="17.5">
      <c r="A1110" s="248">
        <v>43958</v>
      </c>
      <c r="B1110" s="249">
        <v>85.33</v>
      </c>
      <c r="C1110" s="47">
        <f t="shared" si="36"/>
        <v>-3.6198038299860569E-3</v>
      </c>
      <c r="E1110" s="81"/>
      <c r="F1110" s="82"/>
      <c r="G1110" s="81">
        <v>43902</v>
      </c>
      <c r="H1110" s="82">
        <v>285.70999999999998</v>
      </c>
      <c r="I1110" s="173">
        <f t="shared" si="35"/>
        <v>-5.3958086750679479E-3</v>
      </c>
    </row>
    <row r="1111" spans="1:9" ht="17.5">
      <c r="A1111" s="248">
        <v>43959</v>
      </c>
      <c r="B1111" s="249">
        <v>85.62</v>
      </c>
      <c r="C1111" s="47">
        <f t="shared" si="36"/>
        <v>3.3985702566508014E-3</v>
      </c>
      <c r="E1111" s="81"/>
      <c r="F1111" s="82"/>
      <c r="G1111" s="81">
        <v>43903</v>
      </c>
      <c r="H1111" s="82">
        <v>286.33999999999997</v>
      </c>
      <c r="I1111" s="173">
        <f t="shared" si="35"/>
        <v>2.2050330754961323E-3</v>
      </c>
    </row>
    <row r="1112" spans="1:9" ht="17.5">
      <c r="A1112" s="248">
        <v>43960</v>
      </c>
      <c r="B1112" s="249">
        <v>85.41</v>
      </c>
      <c r="C1112" s="47">
        <f t="shared" si="36"/>
        <v>-2.4526979677645944E-3</v>
      </c>
      <c r="E1112" s="81"/>
      <c r="F1112" s="82"/>
      <c r="G1112" s="81">
        <v>43904</v>
      </c>
      <c r="H1112" s="82">
        <v>283.88</v>
      </c>
      <c r="I1112" s="173">
        <f t="shared" si="35"/>
        <v>-8.5911853041837904E-3</v>
      </c>
    </row>
    <row r="1113" spans="1:9" ht="17.5">
      <c r="A1113" s="248">
        <v>43963</v>
      </c>
      <c r="B1113" s="249">
        <v>85.5</v>
      </c>
      <c r="C1113" s="47">
        <f t="shared" si="36"/>
        <v>1.0537407797681642E-3</v>
      </c>
      <c r="E1113" s="81"/>
      <c r="F1113" s="82"/>
      <c r="G1113" s="81">
        <v>43907</v>
      </c>
      <c r="H1113" s="82">
        <v>284.82</v>
      </c>
      <c r="I1113" s="173">
        <f t="shared" si="35"/>
        <v>3.3112582781456013E-3</v>
      </c>
    </row>
    <row r="1114" spans="1:9" ht="17.5">
      <c r="A1114" s="248">
        <v>43964</v>
      </c>
      <c r="B1114" s="249">
        <v>85.69</v>
      </c>
      <c r="C1114" s="47">
        <f t="shared" si="36"/>
        <v>2.2222222222221255E-3</v>
      </c>
      <c r="E1114" s="81"/>
      <c r="F1114" s="82"/>
      <c r="G1114" s="81">
        <v>43908</v>
      </c>
      <c r="H1114" s="82">
        <v>282.51</v>
      </c>
      <c r="I1114" s="173">
        <f t="shared" si="35"/>
        <v>-8.1103855066357866E-3</v>
      </c>
    </row>
    <row r="1115" spans="1:9" ht="17.5">
      <c r="A1115" s="248">
        <v>43965</v>
      </c>
      <c r="B1115" s="249">
        <v>86.59</v>
      </c>
      <c r="C1115" s="47">
        <f t="shared" si="36"/>
        <v>1.0502975843155626E-2</v>
      </c>
      <c r="E1115" s="81"/>
      <c r="F1115" s="82"/>
      <c r="G1115" s="81">
        <v>43909</v>
      </c>
      <c r="H1115" s="82">
        <v>283.08999999999997</v>
      </c>
      <c r="I1115" s="173">
        <f t="shared" si="35"/>
        <v>2.0530246716929934E-3</v>
      </c>
    </row>
    <row r="1116" spans="1:9" ht="17.5">
      <c r="A1116" s="248">
        <v>43966</v>
      </c>
      <c r="B1116" s="249">
        <v>86.3</v>
      </c>
      <c r="C1116" s="47">
        <f t="shared" si="36"/>
        <v>-3.3491165261578804E-3</v>
      </c>
      <c r="E1116" s="81"/>
      <c r="F1116" s="82"/>
      <c r="G1116" s="81">
        <v>43910</v>
      </c>
      <c r="H1116" s="82">
        <v>286.22000000000003</v>
      </c>
      <c r="I1116" s="173">
        <f t="shared" si="35"/>
        <v>1.1056554452647749E-2</v>
      </c>
    </row>
    <row r="1117" spans="1:9" ht="17.5">
      <c r="A1117" s="248">
        <v>43967</v>
      </c>
      <c r="B1117" s="249">
        <v>86.14</v>
      </c>
      <c r="C1117" s="47">
        <f t="shared" si="36"/>
        <v>-1.8539976825028281E-3</v>
      </c>
      <c r="E1117" s="81"/>
      <c r="F1117" s="82"/>
      <c r="G1117" s="81">
        <v>43911</v>
      </c>
      <c r="H1117" s="82">
        <v>284.14</v>
      </c>
      <c r="I1117" s="173">
        <f t="shared" si="35"/>
        <v>-7.267137167214166E-3</v>
      </c>
    </row>
    <row r="1118" spans="1:9" ht="17.5">
      <c r="A1118" s="248">
        <v>43970</v>
      </c>
      <c r="B1118" s="249">
        <v>86.15</v>
      </c>
      <c r="C1118" s="47">
        <f t="shared" si="36"/>
        <v>1.160900859067393E-4</v>
      </c>
      <c r="E1118" s="81"/>
      <c r="F1118" s="82"/>
      <c r="G1118" s="81">
        <v>43914</v>
      </c>
      <c r="H1118" s="82">
        <v>283.47000000000003</v>
      </c>
      <c r="I1118" s="173">
        <f t="shared" si="35"/>
        <v>-2.357992538889131E-3</v>
      </c>
    </row>
    <row r="1119" spans="1:9" ht="17.5">
      <c r="A1119" s="248">
        <v>43971</v>
      </c>
      <c r="B1119" s="249">
        <v>86.21</v>
      </c>
      <c r="C1119" s="47">
        <f t="shared" si="36"/>
        <v>6.9645966337761323E-4</v>
      </c>
      <c r="E1119" s="81"/>
      <c r="F1119" s="82"/>
      <c r="G1119" s="81">
        <v>43915</v>
      </c>
      <c r="H1119" s="82">
        <v>283.75</v>
      </c>
      <c r="I1119" s="173">
        <f t="shared" si="35"/>
        <v>9.8775884573321093E-4</v>
      </c>
    </row>
    <row r="1120" spans="1:9" ht="17.5">
      <c r="A1120" s="248">
        <v>43972</v>
      </c>
      <c r="B1120" s="249">
        <v>85.93</v>
      </c>
      <c r="C1120" s="47">
        <f t="shared" si="36"/>
        <v>-3.2478830762091571E-3</v>
      </c>
      <c r="E1120" s="81"/>
      <c r="F1120" s="82"/>
      <c r="G1120" s="81">
        <v>43916</v>
      </c>
      <c r="H1120" s="82">
        <v>283.13</v>
      </c>
      <c r="I1120" s="173">
        <f t="shared" si="35"/>
        <v>-2.1850220264317821E-3</v>
      </c>
    </row>
    <row r="1121" spans="1:9" ht="17.5">
      <c r="A1121" s="248">
        <v>43973</v>
      </c>
      <c r="B1121" s="249">
        <v>85.35</v>
      </c>
      <c r="C1121" s="47">
        <f t="shared" si="36"/>
        <v>-6.7496799720704326E-3</v>
      </c>
      <c r="E1121" s="81"/>
      <c r="F1121" s="82"/>
      <c r="G1121" s="81">
        <v>43917</v>
      </c>
      <c r="H1121" s="82">
        <v>284.14</v>
      </c>
      <c r="I1121" s="173">
        <f t="shared" si="35"/>
        <v>3.5672659202485857E-3</v>
      </c>
    </row>
    <row r="1122" spans="1:9" ht="17.5">
      <c r="A1122" s="248">
        <v>43974</v>
      </c>
      <c r="B1122" s="249">
        <v>85.68</v>
      </c>
      <c r="C1122" s="47">
        <f t="shared" si="36"/>
        <v>3.8664323374342224E-3</v>
      </c>
      <c r="E1122" s="81"/>
      <c r="F1122" s="82"/>
      <c r="G1122" s="81">
        <v>43918</v>
      </c>
      <c r="H1122" s="82">
        <v>284.68</v>
      </c>
      <c r="I1122" s="173">
        <f t="shared" si="35"/>
        <v>1.9004715985078136E-3</v>
      </c>
    </row>
    <row r="1123" spans="1:9" ht="17.5">
      <c r="A1123" s="248">
        <v>43978</v>
      </c>
      <c r="B1123" s="249">
        <v>85.17</v>
      </c>
      <c r="C1123" s="47">
        <f t="shared" si="36"/>
        <v>-5.9523809523810423E-3</v>
      </c>
      <c r="E1123" s="81"/>
      <c r="F1123" s="82"/>
      <c r="G1123" s="81">
        <v>43921</v>
      </c>
      <c r="H1123" s="82">
        <v>284.88</v>
      </c>
      <c r="I1123" s="173">
        <f t="shared" si="35"/>
        <v>7.0254320640716905E-4</v>
      </c>
    </row>
    <row r="1124" spans="1:9" ht="17.5">
      <c r="A1124" s="248">
        <v>43979</v>
      </c>
      <c r="B1124" s="249">
        <v>84.86</v>
      </c>
      <c r="C1124" s="47">
        <f t="shared" si="36"/>
        <v>-3.6397792649994765E-3</v>
      </c>
      <c r="E1124" s="81"/>
      <c r="F1124" s="82"/>
      <c r="G1124" s="81">
        <v>43922</v>
      </c>
      <c r="H1124" s="82">
        <v>287.31</v>
      </c>
      <c r="I1124" s="173">
        <f t="shared" si="35"/>
        <v>8.5299073294018424E-3</v>
      </c>
    </row>
    <row r="1125" spans="1:9" ht="17.5">
      <c r="A1125" s="248">
        <v>43980</v>
      </c>
      <c r="B1125" s="249">
        <v>85.37</v>
      </c>
      <c r="C1125" s="47">
        <f t="shared" si="36"/>
        <v>6.0098986566110568E-3</v>
      </c>
      <c r="E1125" s="81"/>
      <c r="F1125" s="82"/>
      <c r="G1125" s="81">
        <v>43923</v>
      </c>
      <c r="H1125" s="82">
        <v>286.38</v>
      </c>
      <c r="I1125" s="173">
        <f t="shared" si="35"/>
        <v>-3.2369217917929127E-3</v>
      </c>
    </row>
    <row r="1126" spans="1:9" ht="17.5">
      <c r="A1126" s="248">
        <v>43981</v>
      </c>
      <c r="B1126" s="249">
        <v>85.79</v>
      </c>
      <c r="C1126" s="47">
        <f t="shared" si="36"/>
        <v>4.9197610401781056E-3</v>
      </c>
      <c r="E1126" s="81"/>
      <c r="F1126" s="82"/>
      <c r="G1126" s="81">
        <v>43924</v>
      </c>
      <c r="H1126" s="82">
        <v>287.41000000000003</v>
      </c>
      <c r="I1126" s="173">
        <f t="shared" si="35"/>
        <v>3.5966198756898216E-3</v>
      </c>
    </row>
    <row r="1127" spans="1:9" ht="17.5">
      <c r="A1127" s="248">
        <v>43984</v>
      </c>
      <c r="B1127" s="249">
        <v>86.18</v>
      </c>
      <c r="C1127" s="47">
        <f t="shared" si="36"/>
        <v>4.54598438046383E-3</v>
      </c>
      <c r="E1127" s="81"/>
      <c r="F1127" s="82"/>
      <c r="G1127" s="81">
        <v>43925</v>
      </c>
      <c r="H1127" s="82">
        <v>287.29000000000002</v>
      </c>
      <c r="I1127" s="173">
        <f t="shared" si="35"/>
        <v>-4.1752200688915941E-4</v>
      </c>
    </row>
    <row r="1128" spans="1:9" ht="17.5">
      <c r="A1128" s="248">
        <v>43985</v>
      </c>
      <c r="B1128" s="249">
        <v>86.24</v>
      </c>
      <c r="C1128" s="47">
        <f t="shared" si="36"/>
        <v>6.9621721977242146E-4</v>
      </c>
      <c r="E1128" s="81"/>
      <c r="F1128" s="82"/>
      <c r="G1128" s="81">
        <v>43928</v>
      </c>
      <c r="H1128" s="82">
        <v>288.20999999999998</v>
      </c>
      <c r="I1128" s="173">
        <f t="shared" si="35"/>
        <v>3.2023390998641155E-3</v>
      </c>
    </row>
    <row r="1129" spans="1:9" ht="17.5">
      <c r="A1129" s="248">
        <v>43986</v>
      </c>
      <c r="B1129" s="249">
        <v>86.47</v>
      </c>
      <c r="C1129" s="47">
        <f t="shared" si="36"/>
        <v>2.6669758812616351E-3</v>
      </c>
      <c r="E1129" s="81"/>
      <c r="F1129" s="82"/>
      <c r="G1129" s="81">
        <v>43929</v>
      </c>
      <c r="H1129" s="82">
        <v>290.18</v>
      </c>
      <c r="I1129" s="173">
        <f t="shared" si="35"/>
        <v>6.8352937094480204E-3</v>
      </c>
    </row>
    <row r="1130" spans="1:9" ht="17.5">
      <c r="A1130" s="248">
        <v>43987</v>
      </c>
      <c r="B1130" s="249">
        <v>86.27</v>
      </c>
      <c r="C1130" s="47">
        <f t="shared" si="36"/>
        <v>-2.3129409043599614E-3</v>
      </c>
      <c r="E1130" s="81"/>
      <c r="F1130" s="82"/>
      <c r="G1130" s="81">
        <v>43930</v>
      </c>
      <c r="H1130" s="82">
        <v>290.58999999999997</v>
      </c>
      <c r="I1130" s="173">
        <f t="shared" si="35"/>
        <v>1.4129161210281183E-3</v>
      </c>
    </row>
    <row r="1131" spans="1:9" ht="17.5">
      <c r="A1131" s="248">
        <v>43988</v>
      </c>
      <c r="B1131" s="249">
        <v>85.59</v>
      </c>
      <c r="C1131" s="47">
        <f t="shared" si="36"/>
        <v>-7.8822302074880168E-3</v>
      </c>
      <c r="E1131" s="81"/>
      <c r="F1131" s="82"/>
      <c r="G1131" s="81">
        <v>43931</v>
      </c>
      <c r="H1131" s="82">
        <v>289.87</v>
      </c>
      <c r="I1131" s="173">
        <f t="shared" si="35"/>
        <v>-2.4777177466532851E-3</v>
      </c>
    </row>
    <row r="1132" spans="1:9" ht="17.5">
      <c r="A1132" s="248">
        <v>43991</v>
      </c>
      <c r="B1132" s="249">
        <v>85.57</v>
      </c>
      <c r="C1132" s="47">
        <f t="shared" si="36"/>
        <v>-2.3367215796255003E-4</v>
      </c>
      <c r="E1132" s="81"/>
      <c r="F1132" s="82"/>
      <c r="G1132" s="81">
        <v>43932</v>
      </c>
      <c r="H1132" s="82">
        <v>286.72000000000003</v>
      </c>
      <c r="I1132" s="173">
        <f t="shared" si="35"/>
        <v>-1.0866940352571741E-2</v>
      </c>
    </row>
    <row r="1133" spans="1:9" ht="17.5">
      <c r="A1133" s="248">
        <v>43992</v>
      </c>
      <c r="B1133" s="249">
        <v>85.9</v>
      </c>
      <c r="C1133" s="47">
        <f t="shared" si="36"/>
        <v>3.8564917611314531E-3</v>
      </c>
      <c r="E1133" s="81"/>
      <c r="F1133" s="82"/>
      <c r="G1133" s="81">
        <v>43935</v>
      </c>
      <c r="H1133" s="82">
        <v>283.89</v>
      </c>
      <c r="I1133" s="173">
        <f t="shared" si="35"/>
        <v>-9.8702566964287142E-3</v>
      </c>
    </row>
    <row r="1134" spans="1:9" ht="17.5">
      <c r="A1134" s="248">
        <v>43993</v>
      </c>
      <c r="B1134" s="249">
        <v>86.24</v>
      </c>
      <c r="C1134" s="47">
        <f t="shared" si="36"/>
        <v>3.9580908032594841E-3</v>
      </c>
      <c r="E1134" s="81"/>
      <c r="F1134" s="82"/>
      <c r="G1134" s="81">
        <v>43936</v>
      </c>
      <c r="H1134" s="82">
        <v>278.69</v>
      </c>
      <c r="I1134" s="173">
        <f t="shared" si="35"/>
        <v>-1.8316953749691778E-2</v>
      </c>
    </row>
    <row r="1135" spans="1:9" ht="17.5">
      <c r="A1135" s="248">
        <v>43994</v>
      </c>
      <c r="B1135" s="249">
        <v>86.47</v>
      </c>
      <c r="C1135" s="47">
        <f t="shared" si="36"/>
        <v>2.6669758812616351E-3</v>
      </c>
      <c r="E1135" s="81"/>
      <c r="F1135" s="82"/>
      <c r="G1135" s="81">
        <v>43937</v>
      </c>
      <c r="H1135" s="82">
        <v>280.20999999999998</v>
      </c>
      <c r="I1135" s="173">
        <f t="shared" si="35"/>
        <v>5.4540887724712217E-3</v>
      </c>
    </row>
    <row r="1136" spans="1:9" ht="17.5">
      <c r="A1136" s="248">
        <v>43995</v>
      </c>
      <c r="B1136" s="249">
        <v>86.36</v>
      </c>
      <c r="C1136" s="47">
        <f t="shared" si="36"/>
        <v>-1.2721174973979732E-3</v>
      </c>
      <c r="E1136" s="81"/>
      <c r="F1136" s="82"/>
      <c r="G1136" s="81">
        <v>43938</v>
      </c>
      <c r="H1136" s="82">
        <v>281.02</v>
      </c>
      <c r="I1136" s="173">
        <f t="shared" si="35"/>
        <v>2.8906891260125356E-3</v>
      </c>
    </row>
    <row r="1137" spans="1:9" ht="17.5">
      <c r="A1137" s="248">
        <v>43998</v>
      </c>
      <c r="B1137" s="249">
        <v>86.1</v>
      </c>
      <c r="C1137" s="47">
        <f t="shared" si="36"/>
        <v>-3.0106530801297104E-3</v>
      </c>
      <c r="E1137" s="81"/>
      <c r="F1137" s="82"/>
      <c r="G1137" s="81">
        <v>43939</v>
      </c>
      <c r="H1137" s="82">
        <v>277.82</v>
      </c>
      <c r="I1137" s="173">
        <f t="shared" si="35"/>
        <v>-1.1387089886840784E-2</v>
      </c>
    </row>
    <row r="1138" spans="1:9" ht="17.5">
      <c r="A1138" s="248">
        <v>43999</v>
      </c>
      <c r="B1138" s="249">
        <v>86.67</v>
      </c>
      <c r="C1138" s="47">
        <f t="shared" si="36"/>
        <v>6.6202090592335505E-3</v>
      </c>
      <c r="E1138" s="81"/>
      <c r="F1138" s="82"/>
      <c r="G1138" s="81">
        <v>43942</v>
      </c>
      <c r="H1138" s="82">
        <v>279.23</v>
      </c>
      <c r="I1138" s="173">
        <f t="shared" si="35"/>
        <v>5.0752285652582163E-3</v>
      </c>
    </row>
    <row r="1139" spans="1:9" ht="17.5">
      <c r="A1139" s="248">
        <v>44001</v>
      </c>
      <c r="B1139" s="249">
        <v>86.35</v>
      </c>
      <c r="C1139" s="47">
        <f t="shared" si="36"/>
        <v>-3.6921656859352225E-3</v>
      </c>
      <c r="E1139" s="81"/>
      <c r="F1139" s="82"/>
      <c r="G1139" s="81">
        <v>43943</v>
      </c>
      <c r="H1139" s="82">
        <v>281.38</v>
      </c>
      <c r="I1139" s="173">
        <f t="shared" si="35"/>
        <v>7.6997457293270788E-3</v>
      </c>
    </row>
    <row r="1140" spans="1:9" ht="17.5">
      <c r="A1140" s="248">
        <v>44002</v>
      </c>
      <c r="B1140" s="249">
        <v>86.46</v>
      </c>
      <c r="C1140" s="47">
        <f t="shared" si="36"/>
        <v>1.2738853503184711E-3</v>
      </c>
      <c r="E1140" s="81"/>
      <c r="F1140" s="82"/>
      <c r="G1140" s="81">
        <v>43944</v>
      </c>
      <c r="H1140" s="82">
        <v>284.66000000000003</v>
      </c>
      <c r="I1140" s="173">
        <f t="shared" si="35"/>
        <v>1.1656834174426089E-2</v>
      </c>
    </row>
    <row r="1141" spans="1:9" ht="17.5">
      <c r="A1141" s="248">
        <v>44005</v>
      </c>
      <c r="B1141" s="249">
        <v>86.5</v>
      </c>
      <c r="C1141" s="47">
        <f t="shared" si="36"/>
        <v>4.6264168401588535E-4</v>
      </c>
      <c r="E1141" s="81"/>
      <c r="F1141" s="82"/>
      <c r="G1141" s="81">
        <v>43945</v>
      </c>
      <c r="H1141" s="82">
        <v>283.95999999999998</v>
      </c>
      <c r="I1141" s="173">
        <f t="shared" si="35"/>
        <v>-2.459073982997384E-3</v>
      </c>
    </row>
    <row r="1142" spans="1:9" ht="17.5">
      <c r="A1142" s="248">
        <v>44006</v>
      </c>
      <c r="B1142" s="249">
        <v>86.49</v>
      </c>
      <c r="C1142" s="47">
        <f t="shared" si="36"/>
        <v>-1.1560693641621267E-4</v>
      </c>
      <c r="E1142" s="81"/>
      <c r="F1142" s="82"/>
      <c r="G1142" s="81">
        <v>43946</v>
      </c>
      <c r="H1142" s="82">
        <v>287.24</v>
      </c>
      <c r="I1142" s="173">
        <f t="shared" si="35"/>
        <v>1.1550922665164221E-2</v>
      </c>
    </row>
    <row r="1143" spans="1:9" ht="17.5">
      <c r="A1143" s="248">
        <v>44007</v>
      </c>
      <c r="B1143" s="249">
        <v>86.2</v>
      </c>
      <c r="C1143" s="47">
        <f t="shared" si="36"/>
        <v>-3.3529887848304796E-3</v>
      </c>
      <c r="E1143" s="81"/>
      <c r="F1143" s="82"/>
      <c r="G1143" s="81">
        <v>43949</v>
      </c>
      <c r="H1143" s="82">
        <v>290.11</v>
      </c>
      <c r="I1143" s="173">
        <f t="shared" si="35"/>
        <v>9.9916446177412688E-3</v>
      </c>
    </row>
    <row r="1144" spans="1:9" ht="17.5">
      <c r="A1144" s="248">
        <v>44008</v>
      </c>
      <c r="B1144" s="249">
        <v>86.28</v>
      </c>
      <c r="C1144" s="47">
        <f t="shared" si="36"/>
        <v>9.2807424593965848E-4</v>
      </c>
      <c r="E1144" s="81"/>
      <c r="F1144" s="82"/>
      <c r="G1144" s="81">
        <v>43950</v>
      </c>
      <c r="H1144" s="82">
        <v>288.70999999999998</v>
      </c>
      <c r="I1144" s="173">
        <f t="shared" si="35"/>
        <v>-4.8257557478199598E-3</v>
      </c>
    </row>
    <row r="1145" spans="1:9" ht="17.5">
      <c r="A1145" s="248">
        <v>44009</v>
      </c>
      <c r="B1145" s="249">
        <v>85.59</v>
      </c>
      <c r="C1145" s="47">
        <f t="shared" si="36"/>
        <v>-7.9972183588317147E-3</v>
      </c>
      <c r="E1145" s="81"/>
      <c r="F1145" s="82"/>
      <c r="G1145" s="81">
        <v>43951</v>
      </c>
      <c r="H1145" s="82">
        <v>288.62</v>
      </c>
      <c r="I1145" s="173">
        <f t="shared" si="35"/>
        <v>-3.1173149527197186E-4</v>
      </c>
    </row>
    <row r="1146" spans="1:9" ht="17.5">
      <c r="A1146" s="248">
        <v>44012</v>
      </c>
      <c r="B1146" s="249">
        <v>85.25</v>
      </c>
      <c r="C1146" s="47">
        <f t="shared" si="36"/>
        <v>-3.9724266853604639E-3</v>
      </c>
      <c r="E1146" s="81"/>
      <c r="F1146" s="82"/>
      <c r="G1146" s="81">
        <v>43952</v>
      </c>
      <c r="H1146" s="82">
        <v>290.66000000000003</v>
      </c>
      <c r="I1146" s="173">
        <f t="shared" si="35"/>
        <v>7.0681172475921539E-3</v>
      </c>
    </row>
    <row r="1147" spans="1:9" ht="17.5">
      <c r="A1147" s="248">
        <v>44013</v>
      </c>
      <c r="B1147" s="249">
        <v>85.67</v>
      </c>
      <c r="C1147" s="47">
        <f t="shared" si="36"/>
        <v>4.9266862170087578E-3</v>
      </c>
      <c r="E1147" s="81"/>
      <c r="F1147" s="82"/>
      <c r="G1147" s="81">
        <v>43953</v>
      </c>
      <c r="H1147" s="82">
        <v>292.85000000000002</v>
      </c>
      <c r="I1147" s="173">
        <f t="shared" si="35"/>
        <v>7.5345764811118876E-3</v>
      </c>
    </row>
    <row r="1148" spans="1:9" ht="17.5">
      <c r="A1148" s="248">
        <v>44014</v>
      </c>
      <c r="B1148" s="249">
        <v>86.34</v>
      </c>
      <c r="C1148" s="47">
        <f t="shared" si="36"/>
        <v>7.8207073654721349E-3</v>
      </c>
      <c r="E1148" s="81"/>
      <c r="F1148" s="82"/>
      <c r="G1148" s="81">
        <v>43956</v>
      </c>
      <c r="H1148" s="82">
        <v>294.23</v>
      </c>
      <c r="I1148" s="173">
        <f t="shared" si="35"/>
        <v>4.7123100563428721E-3</v>
      </c>
    </row>
    <row r="1149" spans="1:9" ht="17.5">
      <c r="A1149" s="248">
        <v>44016</v>
      </c>
      <c r="B1149" s="249">
        <v>86.9</v>
      </c>
      <c r="C1149" s="47">
        <f t="shared" si="36"/>
        <v>6.4859856381747072E-3</v>
      </c>
      <c r="E1149" s="81"/>
      <c r="F1149" s="82"/>
      <c r="G1149" s="81">
        <v>43957</v>
      </c>
      <c r="H1149" s="82">
        <v>293.47000000000003</v>
      </c>
      <c r="I1149" s="173">
        <f t="shared" si="35"/>
        <v>-2.5830132889236301E-3</v>
      </c>
    </row>
    <row r="1150" spans="1:9" ht="17.5">
      <c r="A1150" s="248">
        <v>44019</v>
      </c>
      <c r="B1150" s="249">
        <v>86.88</v>
      </c>
      <c r="C1150" s="47">
        <f t="shared" si="36"/>
        <v>-2.3014959723832717E-4</v>
      </c>
      <c r="E1150" s="81"/>
      <c r="F1150" s="82"/>
      <c r="G1150" s="81">
        <v>43958</v>
      </c>
      <c r="H1150" s="82">
        <v>292.92</v>
      </c>
      <c r="I1150" s="173">
        <f t="shared" si="35"/>
        <v>-1.8741268272737255E-3</v>
      </c>
    </row>
    <row r="1151" spans="1:9" ht="17.5">
      <c r="A1151" s="248">
        <v>44020</v>
      </c>
      <c r="B1151" s="249">
        <v>86.61</v>
      </c>
      <c r="C1151" s="47">
        <f t="shared" si="36"/>
        <v>-3.1077348066297361E-3</v>
      </c>
      <c r="E1151" s="81"/>
      <c r="F1151" s="82"/>
      <c r="G1151" s="81">
        <v>43959</v>
      </c>
      <c r="H1151" s="82">
        <v>292.31</v>
      </c>
      <c r="I1151" s="173">
        <f t="shared" si="35"/>
        <v>-2.0824798579817116E-3</v>
      </c>
    </row>
    <row r="1152" spans="1:9" ht="17.5">
      <c r="A1152" s="248">
        <v>44021</v>
      </c>
      <c r="B1152" s="249">
        <v>87.02</v>
      </c>
      <c r="C1152" s="47">
        <f t="shared" si="36"/>
        <v>4.7338644498324811E-3</v>
      </c>
      <c r="E1152" s="81"/>
      <c r="F1152" s="82"/>
      <c r="G1152" s="81">
        <v>43960</v>
      </c>
      <c r="H1152" s="82">
        <v>294.27999999999997</v>
      </c>
      <c r="I1152" s="173">
        <f t="shared" si="35"/>
        <v>6.7394204782593725E-3</v>
      </c>
    </row>
    <row r="1153" spans="1:9" ht="17.5">
      <c r="A1153" s="248">
        <v>44022</v>
      </c>
      <c r="B1153" s="249">
        <v>87.52</v>
      </c>
      <c r="C1153" s="47">
        <f t="shared" si="36"/>
        <v>5.7458055619397097E-3</v>
      </c>
      <c r="E1153" s="81"/>
      <c r="F1153" s="82"/>
      <c r="G1153" s="81">
        <v>43963</v>
      </c>
      <c r="H1153" s="82">
        <v>295.85000000000002</v>
      </c>
      <c r="I1153" s="173">
        <f t="shared" si="35"/>
        <v>5.3350550496127358E-3</v>
      </c>
    </row>
    <row r="1154" spans="1:9" ht="17.5">
      <c r="A1154" s="248">
        <v>44023</v>
      </c>
      <c r="B1154" s="249">
        <v>87.69</v>
      </c>
      <c r="C1154" s="47">
        <f t="shared" si="36"/>
        <v>1.942413162705714E-3</v>
      </c>
      <c r="E1154" s="81"/>
      <c r="F1154" s="82"/>
      <c r="G1154" s="81">
        <v>43964</v>
      </c>
      <c r="H1154" s="82">
        <v>296.77</v>
      </c>
      <c r="I1154" s="173">
        <f t="shared" si="35"/>
        <v>3.1096839614668248E-3</v>
      </c>
    </row>
    <row r="1155" spans="1:9" ht="17.5">
      <c r="A1155" s="248">
        <v>44026</v>
      </c>
      <c r="B1155" s="249">
        <v>87.33</v>
      </c>
      <c r="C1155" s="47">
        <f t="shared" si="36"/>
        <v>-4.1053711939788018E-3</v>
      </c>
      <c r="E1155" s="81"/>
      <c r="F1155" s="82"/>
      <c r="G1155" s="81">
        <v>43965</v>
      </c>
      <c r="H1155" s="82">
        <v>298.22000000000003</v>
      </c>
      <c r="I1155" s="173">
        <f t="shared" si="35"/>
        <v>4.8859386056543386E-3</v>
      </c>
    </row>
    <row r="1156" spans="1:9" ht="17.5">
      <c r="A1156" s="248">
        <v>44027</v>
      </c>
      <c r="B1156" s="249">
        <v>87.72</v>
      </c>
      <c r="C1156" s="47">
        <f t="shared" si="36"/>
        <v>4.4658193060804763E-3</v>
      </c>
      <c r="E1156" s="81"/>
      <c r="F1156" s="82"/>
      <c r="G1156" s="81">
        <v>43966</v>
      </c>
      <c r="H1156" s="82">
        <v>301.06</v>
      </c>
      <c r="I1156" s="173">
        <f t="shared" si="35"/>
        <v>9.523170813493298E-3</v>
      </c>
    </row>
    <row r="1157" spans="1:9" ht="17.5">
      <c r="A1157" s="248">
        <v>44028</v>
      </c>
      <c r="B1157" s="249">
        <v>87.41</v>
      </c>
      <c r="C1157" s="47">
        <f t="shared" si="36"/>
        <v>-3.5339717282262262E-3</v>
      </c>
      <c r="E1157" s="81"/>
      <c r="F1157" s="82"/>
      <c r="G1157" s="81">
        <v>43967</v>
      </c>
      <c r="H1157" s="82">
        <v>302.56</v>
      </c>
      <c r="I1157" s="173">
        <f t="shared" si="35"/>
        <v>4.9823955357735095E-3</v>
      </c>
    </row>
    <row r="1158" spans="1:9" ht="17.5">
      <c r="A1158" s="248">
        <v>44029</v>
      </c>
      <c r="B1158" s="249">
        <v>86.95</v>
      </c>
      <c r="C1158" s="47">
        <f t="shared" si="36"/>
        <v>-5.2625557716508009E-3</v>
      </c>
      <c r="E1158" s="81"/>
      <c r="F1158" s="82"/>
      <c r="G1158" s="81">
        <v>43970</v>
      </c>
      <c r="H1158" s="82">
        <v>302.94</v>
      </c>
      <c r="I1158" s="173">
        <f t="shared" si="35"/>
        <v>1.2559492332098188E-3</v>
      </c>
    </row>
    <row r="1159" spans="1:9" ht="17.5">
      <c r="A1159" s="248">
        <v>44030</v>
      </c>
      <c r="B1159" s="249">
        <v>86.72</v>
      </c>
      <c r="C1159" s="47">
        <f t="shared" si="36"/>
        <v>-2.6451983898793108E-3</v>
      </c>
      <c r="E1159" s="81"/>
      <c r="F1159" s="82"/>
      <c r="G1159" s="81">
        <v>43971</v>
      </c>
      <c r="H1159" s="82">
        <v>301.33</v>
      </c>
      <c r="I1159" s="173">
        <f t="shared" si="35"/>
        <v>-5.3145837459563916E-3</v>
      </c>
    </row>
    <row r="1160" spans="1:9" ht="17.5">
      <c r="A1160" s="248">
        <v>44033</v>
      </c>
      <c r="B1160" s="249">
        <v>87.11</v>
      </c>
      <c r="C1160" s="47">
        <f t="shared" si="36"/>
        <v>4.497232472324697E-3</v>
      </c>
      <c r="E1160" s="81"/>
      <c r="F1160" s="82"/>
      <c r="G1160" s="81">
        <v>43972</v>
      </c>
      <c r="H1160" s="82">
        <v>301.77</v>
      </c>
      <c r="I1160" s="173">
        <f t="shared" si="35"/>
        <v>1.4601931437294713E-3</v>
      </c>
    </row>
    <row r="1161" spans="1:9" ht="17.5">
      <c r="A1161" s="248">
        <v>44034</v>
      </c>
      <c r="B1161" s="249">
        <v>87.13</v>
      </c>
      <c r="C1161" s="47">
        <f t="shared" si="36"/>
        <v>2.2959476523931599E-4</v>
      </c>
      <c r="E1161" s="81"/>
      <c r="F1161" s="82"/>
      <c r="G1161" s="81">
        <v>43973</v>
      </c>
      <c r="H1161" s="82">
        <v>300.47000000000003</v>
      </c>
      <c r="I1161" s="173">
        <f t="shared" si="35"/>
        <v>-4.3079166252442125E-3</v>
      </c>
    </row>
    <row r="1162" spans="1:9" ht="17.5">
      <c r="A1162" s="248">
        <v>44035</v>
      </c>
      <c r="B1162" s="249">
        <v>86.57</v>
      </c>
      <c r="C1162" s="47">
        <f t="shared" si="36"/>
        <v>-6.4271777803283081E-3</v>
      </c>
      <c r="E1162" s="81"/>
      <c r="F1162" s="82"/>
      <c r="G1162" s="81">
        <v>43974</v>
      </c>
      <c r="H1162" s="82">
        <v>299.11</v>
      </c>
      <c r="I1162" s="173">
        <f t="shared" si="35"/>
        <v>-4.526242220521226E-3</v>
      </c>
    </row>
    <row r="1163" spans="1:9" ht="17.5">
      <c r="A1163" s="248">
        <v>44036</v>
      </c>
      <c r="B1163" s="249">
        <v>86.72</v>
      </c>
      <c r="C1163" s="47">
        <f t="shared" si="36"/>
        <v>1.7327018597668165E-3</v>
      </c>
      <c r="E1163" s="81"/>
      <c r="F1163" s="82"/>
      <c r="G1163" s="81">
        <v>43977</v>
      </c>
      <c r="H1163" s="82">
        <v>300.54000000000002</v>
      </c>
      <c r="I1163" s="173">
        <f t="shared" si="35"/>
        <v>4.780849854568503E-3</v>
      </c>
    </row>
    <row r="1164" spans="1:9" ht="17.5">
      <c r="A1164" s="248">
        <v>44037</v>
      </c>
      <c r="B1164" s="249">
        <v>87.2</v>
      </c>
      <c r="C1164" s="47">
        <f t="shared" si="36"/>
        <v>5.5350553505535416E-3</v>
      </c>
      <c r="E1164" s="81"/>
      <c r="F1164" s="82"/>
      <c r="G1164" s="81">
        <v>43978</v>
      </c>
      <c r="H1164" s="82">
        <v>299.63</v>
      </c>
      <c r="I1164" s="173">
        <f t="shared" si="35"/>
        <v>-3.0278831436747478E-3</v>
      </c>
    </row>
    <row r="1165" spans="1:9" ht="17.5">
      <c r="A1165" s="248">
        <v>44040</v>
      </c>
      <c r="B1165" s="249">
        <v>87.35</v>
      </c>
      <c r="C1165" s="47">
        <f t="shared" si="36"/>
        <v>1.7201834862383691E-3</v>
      </c>
      <c r="E1165" s="81"/>
      <c r="F1165" s="82"/>
      <c r="G1165" s="81">
        <v>43979</v>
      </c>
      <c r="H1165" s="82">
        <v>296.22000000000003</v>
      </c>
      <c r="I1165" s="173">
        <f t="shared" si="35"/>
        <v>-1.1380702866868986E-2</v>
      </c>
    </row>
    <row r="1166" spans="1:9" ht="17.5">
      <c r="A1166" s="248">
        <v>44041</v>
      </c>
      <c r="B1166" s="249">
        <v>87.46</v>
      </c>
      <c r="C1166" s="47">
        <f t="shared" si="36"/>
        <v>1.2593016599884432E-3</v>
      </c>
      <c r="E1166" s="81"/>
      <c r="F1166" s="82"/>
      <c r="G1166" s="81">
        <v>43980</v>
      </c>
      <c r="H1166" s="82">
        <v>293.13</v>
      </c>
      <c r="I1166" s="173">
        <f t="shared" si="35"/>
        <v>-1.0431436094794466E-2</v>
      </c>
    </row>
    <row r="1167" spans="1:9" ht="17.5">
      <c r="A1167" s="248">
        <v>44042</v>
      </c>
      <c r="B1167" s="249">
        <v>87.87</v>
      </c>
      <c r="C1167" s="47">
        <f t="shared" si="36"/>
        <v>4.6878573061972517E-3</v>
      </c>
      <c r="E1167" s="81"/>
      <c r="F1167" s="82"/>
      <c r="G1167" s="81">
        <v>43981</v>
      </c>
      <c r="H1167" s="82">
        <v>291.24</v>
      </c>
      <c r="I1167" s="173">
        <f t="shared" si="35"/>
        <v>-6.447651212772465E-3</v>
      </c>
    </row>
    <row r="1168" spans="1:9" ht="17.5">
      <c r="A1168" s="248">
        <v>44043</v>
      </c>
      <c r="B1168" s="249">
        <v>87.82</v>
      </c>
      <c r="C1168" s="47">
        <f t="shared" si="36"/>
        <v>-5.6902241948342258E-4</v>
      </c>
      <c r="E1168" s="81"/>
      <c r="F1168" s="82"/>
      <c r="G1168" s="81">
        <v>43984</v>
      </c>
      <c r="H1168" s="82">
        <v>295.94</v>
      </c>
      <c r="I1168" s="173">
        <f t="shared" ref="I1168:I1231" si="37">H1168/H1167-1</f>
        <v>1.6137893146545679E-2</v>
      </c>
    </row>
    <row r="1169" spans="1:9" ht="17.5">
      <c r="A1169" s="248">
        <v>44044</v>
      </c>
      <c r="B1169" s="249">
        <v>88.41</v>
      </c>
      <c r="C1169" s="47">
        <f t="shared" ref="C1169:C1232" si="38">B1169/B1168-1</f>
        <v>6.7182874060578435E-3</v>
      </c>
      <c r="E1169" s="81"/>
      <c r="F1169" s="82"/>
      <c r="G1169" s="81">
        <v>43985</v>
      </c>
      <c r="H1169" s="82">
        <v>290.33</v>
      </c>
      <c r="I1169" s="173">
        <f t="shared" si="37"/>
        <v>-1.895654524565793E-2</v>
      </c>
    </row>
    <row r="1170" spans="1:9" ht="17.5">
      <c r="A1170" s="248">
        <v>44047</v>
      </c>
      <c r="B1170" s="249">
        <v>87.51</v>
      </c>
      <c r="C1170" s="47">
        <f t="shared" si="38"/>
        <v>-1.0179843909060016E-2</v>
      </c>
      <c r="E1170" s="81"/>
      <c r="F1170" s="82"/>
      <c r="G1170" s="81">
        <v>43986</v>
      </c>
      <c r="H1170" s="82">
        <v>292.82</v>
      </c>
      <c r="I1170" s="173">
        <f t="shared" si="37"/>
        <v>8.5764474907863431E-3</v>
      </c>
    </row>
    <row r="1171" spans="1:9" ht="17.5">
      <c r="A1171" s="248">
        <v>44048</v>
      </c>
      <c r="B1171" s="249">
        <v>87.22</v>
      </c>
      <c r="C1171" s="47">
        <f t="shared" si="38"/>
        <v>-3.3139069820592448E-3</v>
      </c>
      <c r="E1171" s="81"/>
      <c r="F1171" s="82"/>
      <c r="G1171" s="81">
        <v>43987</v>
      </c>
      <c r="H1171" s="82">
        <v>295.66000000000003</v>
      </c>
      <c r="I1171" s="173">
        <f t="shared" si="37"/>
        <v>9.6987910661840981E-3</v>
      </c>
    </row>
    <row r="1172" spans="1:9" ht="17.5">
      <c r="A1172" s="248">
        <v>44049</v>
      </c>
      <c r="B1172" s="249">
        <v>87.41</v>
      </c>
      <c r="C1172" s="47">
        <f t="shared" si="38"/>
        <v>2.1783994496675785E-3</v>
      </c>
      <c r="E1172" s="81"/>
      <c r="F1172" s="82"/>
      <c r="G1172" s="81">
        <v>43988</v>
      </c>
      <c r="H1172" s="82">
        <v>295.47000000000003</v>
      </c>
      <c r="I1172" s="173">
        <f t="shared" si="37"/>
        <v>-6.4263004802811441E-4</v>
      </c>
    </row>
    <row r="1173" spans="1:9" ht="17.5">
      <c r="A1173" s="248">
        <v>44050</v>
      </c>
      <c r="B1173" s="249">
        <v>87.82</v>
      </c>
      <c r="C1173" s="47">
        <f t="shared" si="38"/>
        <v>4.6905388399496317E-3</v>
      </c>
      <c r="E1173" s="81"/>
      <c r="F1173" s="82"/>
      <c r="G1173" s="81">
        <v>43991</v>
      </c>
      <c r="H1173" s="82">
        <v>295.45</v>
      </c>
      <c r="I1173" s="173">
        <f t="shared" si="37"/>
        <v>-6.7688767049212117E-5</v>
      </c>
    </row>
    <row r="1174" spans="1:9" ht="17.5">
      <c r="A1174" s="248">
        <v>44051</v>
      </c>
      <c r="B1174" s="249">
        <v>88.21</v>
      </c>
      <c r="C1174" s="47">
        <f t="shared" si="38"/>
        <v>4.4409018446822657E-3</v>
      </c>
      <c r="E1174" s="81"/>
      <c r="F1174" s="82"/>
      <c r="G1174" s="81">
        <v>43992</v>
      </c>
      <c r="H1174" s="82">
        <v>294.31</v>
      </c>
      <c r="I1174" s="173">
        <f t="shared" si="37"/>
        <v>-3.8585209003214604E-3</v>
      </c>
    </row>
    <row r="1175" spans="1:9" ht="17.5">
      <c r="A1175" s="248">
        <v>44054</v>
      </c>
      <c r="B1175" s="249">
        <v>88.3</v>
      </c>
      <c r="C1175" s="47">
        <f t="shared" si="38"/>
        <v>1.0202924838453864E-3</v>
      </c>
      <c r="E1175" s="81"/>
      <c r="F1175" s="82"/>
      <c r="G1175" s="81">
        <v>43993</v>
      </c>
      <c r="H1175" s="82">
        <v>294.97000000000003</v>
      </c>
      <c r="I1175" s="173">
        <f t="shared" si="37"/>
        <v>2.2425333831674887E-3</v>
      </c>
    </row>
    <row r="1176" spans="1:9" ht="17.5">
      <c r="A1176" s="248">
        <v>44055</v>
      </c>
      <c r="B1176" s="249">
        <v>88.78</v>
      </c>
      <c r="C1176" s="47">
        <f t="shared" si="38"/>
        <v>5.4360135900339834E-3</v>
      </c>
      <c r="E1176" s="81"/>
      <c r="F1176" s="82"/>
      <c r="G1176" s="81">
        <v>43994</v>
      </c>
      <c r="H1176" s="82">
        <v>296.44</v>
      </c>
      <c r="I1176" s="173">
        <f t="shared" si="37"/>
        <v>4.9835576499304146E-3</v>
      </c>
    </row>
    <row r="1177" spans="1:9" ht="17.5">
      <c r="A1177" s="248">
        <v>44056</v>
      </c>
      <c r="B1177" s="249">
        <v>88.98</v>
      </c>
      <c r="C1177" s="47">
        <f t="shared" si="38"/>
        <v>2.2527596305474962E-3</v>
      </c>
      <c r="E1177" s="81"/>
      <c r="F1177" s="82"/>
      <c r="G1177" s="81">
        <v>43995</v>
      </c>
      <c r="H1177" s="82">
        <v>297.02</v>
      </c>
      <c r="I1177" s="173">
        <f t="shared" si="37"/>
        <v>1.9565510727297397E-3</v>
      </c>
    </row>
    <row r="1178" spans="1:9" ht="17.5">
      <c r="A1178" s="248">
        <v>44057</v>
      </c>
      <c r="B1178" s="249">
        <v>88.95</v>
      </c>
      <c r="C1178" s="47">
        <f t="shared" si="38"/>
        <v>-3.371544167228846E-4</v>
      </c>
      <c r="E1178" s="81"/>
      <c r="F1178" s="82"/>
      <c r="G1178" s="81">
        <v>43998</v>
      </c>
      <c r="H1178" s="82">
        <v>296.55</v>
      </c>
      <c r="I1178" s="173">
        <f t="shared" si="37"/>
        <v>-1.5823850245774151E-3</v>
      </c>
    </row>
    <row r="1179" spans="1:9" ht="17.5">
      <c r="A1179" s="248">
        <v>44058</v>
      </c>
      <c r="B1179" s="249">
        <v>89.31</v>
      </c>
      <c r="C1179" s="47">
        <f t="shared" si="38"/>
        <v>4.0472175379426822E-3</v>
      </c>
      <c r="E1179" s="81"/>
      <c r="F1179" s="82"/>
      <c r="G1179" s="81">
        <v>43999</v>
      </c>
      <c r="H1179" s="82">
        <v>298.47000000000003</v>
      </c>
      <c r="I1179" s="173">
        <f t="shared" si="37"/>
        <v>6.4744562468386224E-3</v>
      </c>
    </row>
    <row r="1180" spans="1:9" ht="17.5">
      <c r="A1180" s="248">
        <v>44061</v>
      </c>
      <c r="B1180" s="249">
        <v>89.58</v>
      </c>
      <c r="C1180" s="47">
        <f t="shared" si="38"/>
        <v>3.0231776956666234E-3</v>
      </c>
      <c r="E1180" s="81"/>
      <c r="F1180" s="82"/>
      <c r="G1180" s="81">
        <v>44000</v>
      </c>
      <c r="H1180" s="82">
        <v>301.07</v>
      </c>
      <c r="I1180" s="173">
        <f t="shared" si="37"/>
        <v>8.7110932422018728E-3</v>
      </c>
    </row>
    <row r="1181" spans="1:9" ht="17.5">
      <c r="A1181" s="248">
        <v>44062</v>
      </c>
      <c r="B1181" s="249">
        <v>89.8</v>
      </c>
      <c r="C1181" s="47">
        <f t="shared" si="38"/>
        <v>2.4559053360124761E-3</v>
      </c>
      <c r="E1181" s="81"/>
      <c r="F1181" s="82"/>
      <c r="G1181" s="81">
        <v>44001</v>
      </c>
      <c r="H1181" s="82">
        <v>301.24</v>
      </c>
      <c r="I1181" s="173">
        <f t="shared" si="37"/>
        <v>5.6465273856587395E-4</v>
      </c>
    </row>
    <row r="1182" spans="1:9" ht="17.5">
      <c r="A1182" s="248">
        <v>44063</v>
      </c>
      <c r="B1182" s="249">
        <v>90.06</v>
      </c>
      <c r="C1182" s="47">
        <f t="shared" si="38"/>
        <v>2.8953229398664959E-3</v>
      </c>
      <c r="E1182" s="81"/>
      <c r="F1182" s="82"/>
      <c r="G1182" s="81">
        <v>44002</v>
      </c>
      <c r="H1182" s="82">
        <v>299.60000000000002</v>
      </c>
      <c r="I1182" s="173">
        <f t="shared" si="37"/>
        <v>-5.4441641216305126E-3</v>
      </c>
    </row>
    <row r="1183" spans="1:9" ht="17.5">
      <c r="A1183" s="248">
        <v>44064</v>
      </c>
      <c r="B1183" s="249">
        <v>89.31</v>
      </c>
      <c r="C1183" s="47">
        <f t="shared" si="38"/>
        <v>-8.3277814790140292E-3</v>
      </c>
      <c r="E1183" s="81"/>
      <c r="F1183" s="82"/>
      <c r="G1183" s="81">
        <v>44005</v>
      </c>
      <c r="H1183" s="82">
        <v>298.68</v>
      </c>
      <c r="I1183" s="173">
        <f t="shared" si="37"/>
        <v>-3.0707610146862852E-3</v>
      </c>
    </row>
    <row r="1184" spans="1:9" ht="17.5">
      <c r="A1184" s="248">
        <v>44065</v>
      </c>
      <c r="B1184" s="249">
        <v>90.27</v>
      </c>
      <c r="C1184" s="47">
        <f t="shared" si="38"/>
        <v>1.0749076251259648E-2</v>
      </c>
      <c r="E1184" s="81"/>
      <c r="F1184" s="82"/>
      <c r="G1184" s="81">
        <v>44006</v>
      </c>
      <c r="H1184" s="82">
        <v>298.75</v>
      </c>
      <c r="I1184" s="173">
        <f t="shared" si="37"/>
        <v>2.3436453729752671E-4</v>
      </c>
    </row>
    <row r="1185" spans="1:9" ht="17.5">
      <c r="A1185" s="248">
        <v>44068</v>
      </c>
      <c r="B1185" s="249">
        <v>90.09</v>
      </c>
      <c r="C1185" s="47">
        <f t="shared" si="38"/>
        <v>-1.9940179461613861E-3</v>
      </c>
      <c r="E1185" s="81"/>
      <c r="F1185" s="82"/>
      <c r="G1185" s="81">
        <v>44007</v>
      </c>
      <c r="H1185" s="82">
        <v>298.88</v>
      </c>
      <c r="I1185" s="173">
        <f t="shared" si="37"/>
        <v>4.3514644351461129E-4</v>
      </c>
    </row>
    <row r="1186" spans="1:9" ht="17.5">
      <c r="A1186" s="248">
        <v>44069</v>
      </c>
      <c r="B1186" s="249">
        <v>89.97</v>
      </c>
      <c r="C1186" s="47">
        <f t="shared" si="38"/>
        <v>-1.3320013320013979E-3</v>
      </c>
      <c r="E1186" s="81"/>
      <c r="F1186" s="82"/>
      <c r="G1186" s="81">
        <v>44008</v>
      </c>
      <c r="H1186" s="82">
        <v>297.45</v>
      </c>
      <c r="I1186" s="173">
        <f t="shared" si="37"/>
        <v>-4.7845289079229136E-3</v>
      </c>
    </row>
    <row r="1187" spans="1:9" ht="17.5">
      <c r="A1187" s="248">
        <v>44070</v>
      </c>
      <c r="B1187" s="249">
        <v>89.83</v>
      </c>
      <c r="C1187" s="47">
        <f t="shared" si="38"/>
        <v>-1.5560742469712396E-3</v>
      </c>
      <c r="E1187" s="81"/>
      <c r="F1187" s="82"/>
      <c r="G1187" s="81">
        <v>44009</v>
      </c>
      <c r="H1187" s="82">
        <v>298.63</v>
      </c>
      <c r="I1187" s="173">
        <f t="shared" si="37"/>
        <v>3.9670532862665642E-3</v>
      </c>
    </row>
    <row r="1188" spans="1:9" ht="17.5">
      <c r="A1188" s="248">
        <v>44071</v>
      </c>
      <c r="B1188" s="249">
        <v>89.79</v>
      </c>
      <c r="C1188" s="47">
        <f t="shared" si="38"/>
        <v>-4.4528553935196946E-4</v>
      </c>
      <c r="E1188" s="81"/>
      <c r="F1188" s="82"/>
      <c r="G1188" s="81">
        <v>44012</v>
      </c>
      <c r="H1188" s="82">
        <v>298.98</v>
      </c>
      <c r="I1188" s="173">
        <f t="shared" si="37"/>
        <v>1.1720188862471836E-3</v>
      </c>
    </row>
    <row r="1189" spans="1:9" ht="17.5">
      <c r="A1189" s="248">
        <v>44072</v>
      </c>
      <c r="B1189" s="249">
        <v>89.86</v>
      </c>
      <c r="C1189" s="47">
        <f t="shared" si="38"/>
        <v>7.7959683706407823E-4</v>
      </c>
      <c r="E1189" s="81"/>
      <c r="F1189" s="82"/>
      <c r="G1189" s="81">
        <v>44013</v>
      </c>
      <c r="H1189" s="82">
        <v>297.60000000000002</v>
      </c>
      <c r="I1189" s="173">
        <f t="shared" si="37"/>
        <v>-4.6156933574151848E-3</v>
      </c>
    </row>
    <row r="1190" spans="1:9" ht="17.5">
      <c r="A1190" s="248">
        <v>44076</v>
      </c>
      <c r="B1190" s="249">
        <v>89.51</v>
      </c>
      <c r="C1190" s="47">
        <f t="shared" si="38"/>
        <v>-3.8949476964166285E-3</v>
      </c>
      <c r="E1190" s="81"/>
      <c r="F1190" s="82"/>
      <c r="G1190" s="81">
        <v>44014</v>
      </c>
      <c r="H1190" s="82">
        <v>300.83</v>
      </c>
      <c r="I1190" s="173">
        <f t="shared" si="37"/>
        <v>1.0853494623655813E-2</v>
      </c>
    </row>
    <row r="1191" spans="1:9" ht="17.5">
      <c r="A1191" s="248">
        <v>44077</v>
      </c>
      <c r="B1191" s="249">
        <v>89.91</v>
      </c>
      <c r="C1191" s="47">
        <f t="shared" si="38"/>
        <v>4.4687744386100459E-3</v>
      </c>
      <c r="E1191" s="81"/>
      <c r="F1191" s="82"/>
      <c r="G1191" s="81">
        <v>44015</v>
      </c>
      <c r="H1191" s="82">
        <v>303.18</v>
      </c>
      <c r="I1191" s="173">
        <f t="shared" si="37"/>
        <v>7.8117209054948678E-3</v>
      </c>
    </row>
    <row r="1192" spans="1:9" ht="17.5">
      <c r="A1192" s="248">
        <v>44078</v>
      </c>
      <c r="B1192" s="249">
        <v>90.25</v>
      </c>
      <c r="C1192" s="47">
        <f t="shared" si="38"/>
        <v>3.7815593371148815E-3</v>
      </c>
      <c r="E1192" s="81"/>
      <c r="F1192" s="82"/>
      <c r="G1192" s="81">
        <v>44016</v>
      </c>
      <c r="H1192" s="82">
        <v>302.88</v>
      </c>
      <c r="I1192" s="173">
        <f t="shared" si="37"/>
        <v>-9.8951118147638795E-4</v>
      </c>
    </row>
    <row r="1193" spans="1:9" ht="17.5">
      <c r="A1193" s="248">
        <v>44079</v>
      </c>
      <c r="B1193" s="249">
        <v>90.05</v>
      </c>
      <c r="C1193" s="47">
        <f t="shared" si="38"/>
        <v>-2.2160664819944609E-3</v>
      </c>
      <c r="E1193" s="81"/>
      <c r="F1193" s="82"/>
      <c r="G1193" s="81">
        <v>44019</v>
      </c>
      <c r="H1193" s="82">
        <v>303.25</v>
      </c>
      <c r="I1193" s="173">
        <f t="shared" si="37"/>
        <v>1.2216059165346405E-3</v>
      </c>
    </row>
    <row r="1194" spans="1:9" ht="17.5">
      <c r="A1194" s="248">
        <v>44082</v>
      </c>
      <c r="B1194" s="249">
        <v>90.29</v>
      </c>
      <c r="C1194" s="47">
        <f t="shared" si="38"/>
        <v>2.6651860077735456E-3</v>
      </c>
      <c r="E1194" s="81"/>
      <c r="F1194" s="82"/>
      <c r="G1194" s="81">
        <v>44020</v>
      </c>
      <c r="H1194" s="82">
        <v>304.38</v>
      </c>
      <c r="I1194" s="173">
        <f t="shared" si="37"/>
        <v>3.7262984336356997E-3</v>
      </c>
    </row>
    <row r="1195" spans="1:9" ht="17.5">
      <c r="A1195" s="248">
        <v>44083</v>
      </c>
      <c r="B1195" s="249">
        <v>90.36</v>
      </c>
      <c r="C1195" s="47">
        <f t="shared" si="38"/>
        <v>7.7527965444668112E-4</v>
      </c>
      <c r="E1195" s="81"/>
      <c r="F1195" s="82"/>
      <c r="G1195" s="81">
        <v>44021</v>
      </c>
      <c r="H1195" s="82">
        <v>304.31</v>
      </c>
      <c r="I1195" s="173">
        <f t="shared" si="37"/>
        <v>-2.2997568828431181E-4</v>
      </c>
    </row>
    <row r="1196" spans="1:9" ht="17.5">
      <c r="A1196" s="248">
        <v>44084</v>
      </c>
      <c r="B1196" s="249">
        <v>90.6</v>
      </c>
      <c r="C1196" s="47">
        <f t="shared" si="38"/>
        <v>2.6560424966799445E-3</v>
      </c>
      <c r="E1196" s="81"/>
      <c r="F1196" s="82"/>
      <c r="G1196" s="81">
        <v>44022</v>
      </c>
      <c r="H1196" s="82">
        <v>307.86</v>
      </c>
      <c r="I1196" s="173">
        <f t="shared" si="37"/>
        <v>1.1665735598567206E-2</v>
      </c>
    </row>
    <row r="1197" spans="1:9" ht="17.5">
      <c r="A1197" s="248">
        <v>44085</v>
      </c>
      <c r="B1197" s="249">
        <v>90.74</v>
      </c>
      <c r="C1197" s="47">
        <f t="shared" si="38"/>
        <v>1.5452538631346435E-3</v>
      </c>
      <c r="E1197" s="81"/>
      <c r="F1197" s="82"/>
      <c r="G1197" s="81">
        <v>44023</v>
      </c>
      <c r="H1197" s="82">
        <v>308.16000000000003</v>
      </c>
      <c r="I1197" s="173">
        <f t="shared" si="37"/>
        <v>9.7446891444175066E-4</v>
      </c>
    </row>
    <row r="1198" spans="1:9" ht="17.5">
      <c r="A1198" s="248">
        <v>44086</v>
      </c>
      <c r="B1198" s="249">
        <v>91.16</v>
      </c>
      <c r="C1198" s="47">
        <f t="shared" si="38"/>
        <v>4.6286092131364587E-3</v>
      </c>
      <c r="E1198" s="81"/>
      <c r="F1198" s="82"/>
      <c r="G1198" s="81">
        <v>44026</v>
      </c>
      <c r="H1198" s="82">
        <v>307.23</v>
      </c>
      <c r="I1198" s="173">
        <f t="shared" si="37"/>
        <v>-3.0179127725856736E-3</v>
      </c>
    </row>
    <row r="1199" spans="1:9" ht="17.5">
      <c r="A1199" s="248">
        <v>44089</v>
      </c>
      <c r="B1199" s="249">
        <v>91.71</v>
      </c>
      <c r="C1199" s="47">
        <f t="shared" si="38"/>
        <v>6.0333479596312856E-3</v>
      </c>
      <c r="E1199" s="81"/>
      <c r="F1199" s="82"/>
      <c r="G1199" s="81">
        <v>44027</v>
      </c>
      <c r="H1199" s="82">
        <v>306.58</v>
      </c>
      <c r="I1199" s="173">
        <f t="shared" si="37"/>
        <v>-2.1156788074082611E-3</v>
      </c>
    </row>
    <row r="1200" spans="1:9" ht="17.5">
      <c r="A1200" s="248">
        <v>44090</v>
      </c>
      <c r="B1200" s="249">
        <v>91.69</v>
      </c>
      <c r="C1200" s="47">
        <f t="shared" si="38"/>
        <v>-2.180787264202122E-4</v>
      </c>
      <c r="E1200" s="81"/>
      <c r="F1200" s="82"/>
      <c r="G1200" s="81">
        <v>44028</v>
      </c>
      <c r="H1200" s="82">
        <v>305.27999999999997</v>
      </c>
      <c r="I1200" s="173">
        <f t="shared" si="37"/>
        <v>-4.2403287885707242E-3</v>
      </c>
    </row>
    <row r="1201" spans="1:9" ht="17.5">
      <c r="A1201" s="248">
        <v>44091</v>
      </c>
      <c r="B1201" s="249">
        <v>91.43</v>
      </c>
      <c r="C1201" s="47">
        <f t="shared" si="38"/>
        <v>-2.835641836623326E-3</v>
      </c>
      <c r="E1201" s="81"/>
      <c r="F1201" s="82"/>
      <c r="G1201" s="81">
        <v>44029</v>
      </c>
      <c r="H1201" s="82">
        <v>303.8</v>
      </c>
      <c r="I1201" s="173">
        <f t="shared" si="37"/>
        <v>-4.8480083857440626E-3</v>
      </c>
    </row>
    <row r="1202" spans="1:9" ht="17.5">
      <c r="A1202" s="248">
        <v>44092</v>
      </c>
      <c r="B1202" s="249">
        <v>91.83</v>
      </c>
      <c r="C1202" s="47">
        <f t="shared" si="38"/>
        <v>4.3749316416930029E-3</v>
      </c>
      <c r="E1202" s="81"/>
      <c r="F1202" s="82"/>
      <c r="G1202" s="81">
        <v>44030</v>
      </c>
      <c r="H1202" s="82">
        <v>299.57</v>
      </c>
      <c r="I1202" s="173">
        <f t="shared" si="37"/>
        <v>-1.3923633969716964E-2</v>
      </c>
    </row>
    <row r="1203" spans="1:9" ht="17.5">
      <c r="A1203" s="248">
        <v>44093</v>
      </c>
      <c r="B1203" s="249">
        <v>91.65</v>
      </c>
      <c r="C1203" s="47">
        <f t="shared" si="38"/>
        <v>-1.9601437438744318E-3</v>
      </c>
      <c r="E1203" s="81"/>
      <c r="F1203" s="82"/>
      <c r="G1203" s="81">
        <v>44033</v>
      </c>
      <c r="H1203" s="82">
        <v>298.73</v>
      </c>
      <c r="I1203" s="173">
        <f t="shared" si="37"/>
        <v>-2.8040190940347154E-3</v>
      </c>
    </row>
    <row r="1204" spans="1:9" ht="17.5">
      <c r="A1204" s="248">
        <v>44096</v>
      </c>
      <c r="B1204" s="249">
        <v>91.39</v>
      </c>
      <c r="C1204" s="47">
        <f t="shared" si="38"/>
        <v>-2.8368794326241176E-3</v>
      </c>
      <c r="E1204" s="81"/>
      <c r="F1204" s="82"/>
      <c r="G1204" s="81">
        <v>44034</v>
      </c>
      <c r="H1204" s="82">
        <v>298.70999999999998</v>
      </c>
      <c r="I1204" s="173">
        <f t="shared" si="37"/>
        <v>-6.6950088709050171E-5</v>
      </c>
    </row>
    <row r="1205" spans="1:9" ht="17.5">
      <c r="A1205" s="248">
        <v>44097</v>
      </c>
      <c r="B1205" s="249">
        <v>91.51</v>
      </c>
      <c r="C1205" s="47">
        <f t="shared" si="38"/>
        <v>1.3130539446328804E-3</v>
      </c>
      <c r="E1205" s="81"/>
      <c r="F1205" s="82"/>
      <c r="G1205" s="81">
        <v>44035</v>
      </c>
      <c r="H1205" s="82">
        <v>297.89</v>
      </c>
      <c r="I1205" s="173">
        <f t="shared" si="37"/>
        <v>-2.7451374242576376E-3</v>
      </c>
    </row>
    <row r="1206" spans="1:9" ht="17.5">
      <c r="A1206" s="248">
        <v>44098</v>
      </c>
      <c r="B1206" s="249">
        <v>91.23</v>
      </c>
      <c r="C1206" s="47">
        <f t="shared" si="38"/>
        <v>-3.059774887990363E-3</v>
      </c>
      <c r="E1206" s="81"/>
      <c r="F1206" s="82"/>
      <c r="G1206" s="81">
        <v>44036</v>
      </c>
      <c r="H1206" s="82">
        <v>296.36</v>
      </c>
      <c r="I1206" s="173">
        <f t="shared" si="37"/>
        <v>-5.1361240726441881E-3</v>
      </c>
    </row>
    <row r="1207" spans="1:9" ht="17.5">
      <c r="A1207" s="248">
        <v>44099</v>
      </c>
      <c r="B1207" s="249">
        <v>91.36</v>
      </c>
      <c r="C1207" s="47">
        <f t="shared" si="38"/>
        <v>1.4249698564068325E-3</v>
      </c>
      <c r="E1207" s="81"/>
      <c r="F1207" s="82"/>
      <c r="G1207" s="81">
        <v>44037</v>
      </c>
      <c r="H1207" s="82">
        <v>295.99</v>
      </c>
      <c r="I1207" s="173">
        <f t="shared" si="37"/>
        <v>-1.2484815764610691E-3</v>
      </c>
    </row>
    <row r="1208" spans="1:9" ht="17.5">
      <c r="A1208" s="248">
        <v>44100</v>
      </c>
      <c r="B1208" s="249">
        <v>91.52</v>
      </c>
      <c r="C1208" s="47">
        <f t="shared" si="38"/>
        <v>1.7513134851137035E-3</v>
      </c>
      <c r="E1208" s="81"/>
      <c r="F1208" s="82"/>
      <c r="G1208" s="81">
        <v>44040</v>
      </c>
      <c r="H1208" s="82">
        <v>296.47000000000003</v>
      </c>
      <c r="I1208" s="173">
        <f t="shared" si="37"/>
        <v>1.6216764079868273E-3</v>
      </c>
    </row>
    <row r="1209" spans="1:9" ht="17.5">
      <c r="A1209" s="248">
        <v>44103</v>
      </c>
      <c r="B1209" s="249">
        <v>91.67</v>
      </c>
      <c r="C1209" s="47">
        <f t="shared" si="38"/>
        <v>1.6389860139860435E-3</v>
      </c>
      <c r="E1209" s="81"/>
      <c r="F1209" s="82"/>
      <c r="G1209" s="81">
        <v>44041</v>
      </c>
      <c r="H1209" s="82">
        <v>295.64999999999998</v>
      </c>
      <c r="I1209" s="173">
        <f t="shared" si="37"/>
        <v>-2.765878503727337E-3</v>
      </c>
    </row>
    <row r="1210" spans="1:9" ht="17.5">
      <c r="A1210" s="248">
        <v>44104</v>
      </c>
      <c r="B1210" s="249">
        <v>91.94</v>
      </c>
      <c r="C1210" s="47">
        <f t="shared" si="38"/>
        <v>2.9453474419112169E-3</v>
      </c>
      <c r="E1210" s="81"/>
      <c r="F1210" s="82"/>
      <c r="G1210" s="81">
        <v>44042</v>
      </c>
      <c r="H1210" s="82">
        <v>298.63</v>
      </c>
      <c r="I1210" s="173">
        <f t="shared" si="37"/>
        <v>1.0079485878572658E-2</v>
      </c>
    </row>
    <row r="1211" spans="1:9" ht="17.5">
      <c r="A1211" s="248">
        <v>44105</v>
      </c>
      <c r="B1211" s="249">
        <v>91.73</v>
      </c>
      <c r="C1211" s="47">
        <f t="shared" si="38"/>
        <v>-2.2840983249945435E-3</v>
      </c>
      <c r="E1211" s="81"/>
      <c r="F1211" s="82"/>
      <c r="G1211" s="81">
        <v>44043</v>
      </c>
      <c r="H1211" s="82">
        <v>299.14999999999998</v>
      </c>
      <c r="I1211" s="173">
        <f t="shared" si="37"/>
        <v>1.7412852024243364E-3</v>
      </c>
    </row>
    <row r="1212" spans="1:9" ht="17.5">
      <c r="A1212" s="248">
        <v>44106</v>
      </c>
      <c r="B1212" s="249">
        <v>91.34</v>
      </c>
      <c r="C1212" s="47">
        <f t="shared" si="38"/>
        <v>-4.2516079799411743E-3</v>
      </c>
      <c r="E1212" s="81"/>
      <c r="F1212" s="82"/>
      <c r="G1212" s="81">
        <v>44044</v>
      </c>
      <c r="H1212" s="82">
        <v>293.27999999999997</v>
      </c>
      <c r="I1212" s="173">
        <f t="shared" si="37"/>
        <v>-1.9622263078723057E-2</v>
      </c>
    </row>
    <row r="1213" spans="1:9" ht="17.5">
      <c r="A1213" s="248">
        <v>44107</v>
      </c>
      <c r="B1213" s="249">
        <v>91</v>
      </c>
      <c r="C1213" s="47">
        <f t="shared" si="38"/>
        <v>-3.7223560324064486E-3</v>
      </c>
      <c r="E1213" s="81"/>
      <c r="F1213" s="82"/>
      <c r="G1213" s="81">
        <v>44047</v>
      </c>
      <c r="H1213" s="82">
        <v>282.45999999999998</v>
      </c>
      <c r="I1213" s="173">
        <f t="shared" si="37"/>
        <v>-3.6893071467539507E-2</v>
      </c>
    </row>
    <row r="1214" spans="1:9" ht="17.5">
      <c r="A1214" s="248">
        <v>44110</v>
      </c>
      <c r="B1214" s="249">
        <v>90.59</v>
      </c>
      <c r="C1214" s="47">
        <f t="shared" si="38"/>
        <v>-4.5054945054944229E-3</v>
      </c>
      <c r="E1214" s="81"/>
      <c r="F1214" s="82"/>
      <c r="G1214" s="81">
        <v>44048</v>
      </c>
      <c r="H1214" s="82">
        <v>285.2</v>
      </c>
      <c r="I1214" s="173">
        <f t="shared" si="37"/>
        <v>9.7004885647524741E-3</v>
      </c>
    </row>
    <row r="1215" spans="1:9" ht="17.5">
      <c r="A1215" s="248">
        <v>44111</v>
      </c>
      <c r="B1215" s="249">
        <v>90.74</v>
      </c>
      <c r="C1215" s="47">
        <f t="shared" si="38"/>
        <v>1.6558118997680449E-3</v>
      </c>
      <c r="E1215" s="81"/>
      <c r="F1215" s="82"/>
      <c r="G1215" s="81">
        <v>44049</v>
      </c>
      <c r="H1215" s="82">
        <v>290.67</v>
      </c>
      <c r="I1215" s="173">
        <f t="shared" si="37"/>
        <v>1.9179523141655164E-2</v>
      </c>
    </row>
    <row r="1216" spans="1:9" ht="17.5">
      <c r="A1216" s="248">
        <v>44112</v>
      </c>
      <c r="B1216" s="249">
        <v>90.59</v>
      </c>
      <c r="C1216" s="47">
        <f t="shared" si="38"/>
        <v>-1.6530747189772432E-3</v>
      </c>
      <c r="E1216" s="81"/>
      <c r="F1216" s="82"/>
      <c r="G1216" s="81">
        <v>44050</v>
      </c>
      <c r="H1216" s="82">
        <v>289.94</v>
      </c>
      <c r="I1216" s="173">
        <f t="shared" si="37"/>
        <v>-2.5114390890013105E-3</v>
      </c>
    </row>
    <row r="1217" spans="1:9" ht="17.5">
      <c r="A1217" s="248">
        <v>44113</v>
      </c>
      <c r="B1217" s="249">
        <v>90.44</v>
      </c>
      <c r="C1217" s="47">
        <f t="shared" si="38"/>
        <v>-1.6558118997682669E-3</v>
      </c>
      <c r="E1217" s="81"/>
      <c r="F1217" s="82"/>
      <c r="G1217" s="81">
        <v>44051</v>
      </c>
      <c r="H1217" s="82">
        <v>293.97000000000003</v>
      </c>
      <c r="I1217" s="173">
        <f t="shared" si="37"/>
        <v>1.3899427467751968E-2</v>
      </c>
    </row>
    <row r="1218" spans="1:9" ht="17.5">
      <c r="A1218" s="248">
        <v>44114</v>
      </c>
      <c r="B1218" s="249">
        <v>90.56</v>
      </c>
      <c r="C1218" s="47">
        <f t="shared" si="38"/>
        <v>1.3268465280849018E-3</v>
      </c>
      <c r="E1218" s="81"/>
      <c r="F1218" s="82"/>
      <c r="G1218" s="81">
        <v>44054</v>
      </c>
      <c r="H1218" s="82">
        <v>295.38</v>
      </c>
      <c r="I1218" s="173">
        <f t="shared" si="37"/>
        <v>4.7964077967137531E-3</v>
      </c>
    </row>
    <row r="1219" spans="1:9" ht="17.5">
      <c r="A1219" s="248">
        <v>44117</v>
      </c>
      <c r="B1219" s="249">
        <v>90.74</v>
      </c>
      <c r="C1219" s="47">
        <f t="shared" si="38"/>
        <v>1.9876325088339364E-3</v>
      </c>
      <c r="E1219" s="81"/>
      <c r="F1219" s="82"/>
      <c r="G1219" s="81">
        <v>44055</v>
      </c>
      <c r="H1219" s="82">
        <v>295.64999999999998</v>
      </c>
      <c r="I1219" s="173">
        <f t="shared" si="37"/>
        <v>9.1407678244959101E-4</v>
      </c>
    </row>
    <row r="1220" spans="1:9" ht="17.5">
      <c r="A1220" s="248">
        <v>44118</v>
      </c>
      <c r="B1220" s="249">
        <v>90.99</v>
      </c>
      <c r="C1220" s="47">
        <f t="shared" si="38"/>
        <v>2.7551245316288497E-3</v>
      </c>
      <c r="E1220" s="81"/>
      <c r="F1220" s="82"/>
      <c r="G1220" s="81">
        <v>44056</v>
      </c>
      <c r="H1220" s="82">
        <v>296.8</v>
      </c>
      <c r="I1220" s="173">
        <f t="shared" si="37"/>
        <v>3.8897344833419556E-3</v>
      </c>
    </row>
    <row r="1221" spans="1:9" ht="17.5">
      <c r="A1221" s="248">
        <v>44119</v>
      </c>
      <c r="B1221" s="249">
        <v>91.22</v>
      </c>
      <c r="C1221" s="47">
        <f t="shared" si="38"/>
        <v>2.5277503022309578E-3</v>
      </c>
      <c r="E1221" s="81"/>
      <c r="F1221" s="82"/>
      <c r="G1221" s="81">
        <v>44057</v>
      </c>
      <c r="H1221" s="82">
        <v>296.83999999999997</v>
      </c>
      <c r="I1221" s="173">
        <f t="shared" si="37"/>
        <v>1.3477088948765648E-4</v>
      </c>
    </row>
    <row r="1222" spans="1:9" ht="17.5">
      <c r="A1222" s="248">
        <v>44120</v>
      </c>
      <c r="B1222" s="249">
        <v>90.64</v>
      </c>
      <c r="C1222" s="47">
        <f t="shared" si="38"/>
        <v>-6.3582547686910074E-3</v>
      </c>
      <c r="E1222" s="81"/>
      <c r="F1222" s="82"/>
      <c r="G1222" s="81">
        <v>44058</v>
      </c>
      <c r="H1222" s="82">
        <v>300.81</v>
      </c>
      <c r="I1222" s="173">
        <f t="shared" si="37"/>
        <v>1.3374208327718629E-2</v>
      </c>
    </row>
    <row r="1223" spans="1:9" ht="17.5">
      <c r="A1223" s="248">
        <v>44121</v>
      </c>
      <c r="B1223" s="249">
        <v>90.84</v>
      </c>
      <c r="C1223" s="47">
        <f t="shared" si="38"/>
        <v>2.2065313327450653E-3</v>
      </c>
      <c r="E1223" s="81"/>
      <c r="F1223" s="82"/>
      <c r="G1223" s="81">
        <v>44061</v>
      </c>
      <c r="H1223" s="82">
        <v>303.88</v>
      </c>
      <c r="I1223" s="173">
        <f t="shared" si="37"/>
        <v>1.0205777733452992E-2</v>
      </c>
    </row>
    <row r="1224" spans="1:9" ht="17.5">
      <c r="A1224" s="248">
        <v>44124</v>
      </c>
      <c r="B1224" s="249">
        <v>89.95</v>
      </c>
      <c r="C1224" s="47">
        <f t="shared" si="38"/>
        <v>-9.7974460590048995E-3</v>
      </c>
      <c r="E1224" s="81"/>
      <c r="F1224" s="82"/>
      <c r="G1224" s="81">
        <v>44062</v>
      </c>
      <c r="H1224" s="82">
        <v>303.81</v>
      </c>
      <c r="I1224" s="173">
        <f t="shared" si="37"/>
        <v>-2.3035408713967254E-4</v>
      </c>
    </row>
    <row r="1225" spans="1:9" ht="17.5">
      <c r="A1225" s="248">
        <v>44125</v>
      </c>
      <c r="B1225" s="249">
        <v>89.74</v>
      </c>
      <c r="C1225" s="47">
        <f t="shared" si="38"/>
        <v>-2.3346303501946553E-3</v>
      </c>
      <c r="E1225" s="81"/>
      <c r="F1225" s="82"/>
      <c r="G1225" s="81">
        <v>44063</v>
      </c>
      <c r="H1225" s="82">
        <v>303.13</v>
      </c>
      <c r="I1225" s="173">
        <f t="shared" si="37"/>
        <v>-2.2382410058918722E-3</v>
      </c>
    </row>
    <row r="1226" spans="1:9" ht="17.5">
      <c r="A1226" s="248">
        <v>44126</v>
      </c>
      <c r="B1226" s="249">
        <v>89.41</v>
      </c>
      <c r="C1226" s="47">
        <f t="shared" si="38"/>
        <v>-3.6772899487408361E-3</v>
      </c>
      <c r="E1226" s="81"/>
      <c r="F1226" s="82"/>
      <c r="G1226" s="81">
        <v>44064</v>
      </c>
      <c r="H1226" s="82">
        <v>302.77</v>
      </c>
      <c r="I1226" s="173">
        <f t="shared" si="37"/>
        <v>-1.1876092765480406E-3</v>
      </c>
    </row>
    <row r="1227" spans="1:9" ht="17.5">
      <c r="A1227" s="248">
        <v>44127</v>
      </c>
      <c r="B1227" s="249">
        <v>89.77</v>
      </c>
      <c r="C1227" s="47">
        <f t="shared" si="38"/>
        <v>4.0263952578012407E-3</v>
      </c>
      <c r="E1227" s="81"/>
      <c r="F1227" s="82"/>
      <c r="G1227" s="81">
        <v>44065</v>
      </c>
      <c r="H1227" s="82">
        <v>303.12</v>
      </c>
      <c r="I1227" s="173">
        <f t="shared" si="37"/>
        <v>1.1559929979854111E-3</v>
      </c>
    </row>
    <row r="1228" spans="1:9" ht="17.5">
      <c r="A1228" s="248">
        <v>44128</v>
      </c>
      <c r="B1228" s="249">
        <v>89.77</v>
      </c>
      <c r="C1228" s="47">
        <f t="shared" si="38"/>
        <v>0</v>
      </c>
      <c r="E1228" s="81"/>
      <c r="F1228" s="82"/>
      <c r="G1228" s="81">
        <v>44068</v>
      </c>
      <c r="H1228" s="82">
        <v>303.95</v>
      </c>
      <c r="I1228" s="173">
        <f t="shared" si="37"/>
        <v>2.7381894959090936E-3</v>
      </c>
    </row>
    <row r="1229" spans="1:9" ht="17.5">
      <c r="A1229" s="248">
        <v>44131</v>
      </c>
      <c r="B1229" s="249">
        <v>89.86</v>
      </c>
      <c r="C1229" s="47">
        <f t="shared" si="38"/>
        <v>1.0025621031526377E-3</v>
      </c>
      <c r="E1229" s="81"/>
      <c r="F1229" s="82"/>
      <c r="G1229" s="81">
        <v>44069</v>
      </c>
      <c r="H1229" s="82">
        <v>303.19</v>
      </c>
      <c r="I1229" s="173">
        <f t="shared" si="37"/>
        <v>-2.5004112518506316E-3</v>
      </c>
    </row>
    <row r="1230" spans="1:9" ht="17.5">
      <c r="A1230" s="248">
        <v>44132</v>
      </c>
      <c r="B1230" s="249">
        <v>90.07</v>
      </c>
      <c r="C1230" s="47">
        <f t="shared" si="38"/>
        <v>2.3369686178498217E-3</v>
      </c>
      <c r="E1230" s="81"/>
      <c r="F1230" s="82"/>
      <c r="G1230" s="81">
        <v>44070</v>
      </c>
      <c r="H1230" s="82">
        <v>302.45999999999998</v>
      </c>
      <c r="I1230" s="173">
        <f t="shared" si="37"/>
        <v>-2.4077311256968104E-3</v>
      </c>
    </row>
    <row r="1231" spans="1:9" ht="17.5">
      <c r="A1231" s="248">
        <v>44133</v>
      </c>
      <c r="B1231" s="249">
        <v>89.97</v>
      </c>
      <c r="C1231" s="47">
        <f t="shared" si="38"/>
        <v>-1.110247585211388E-3</v>
      </c>
      <c r="E1231" s="81"/>
      <c r="F1231" s="82"/>
      <c r="G1231" s="81">
        <v>44071</v>
      </c>
      <c r="H1231" s="82">
        <v>302.17</v>
      </c>
      <c r="I1231" s="173">
        <f t="shared" si="37"/>
        <v>-9.5880447001239766E-4</v>
      </c>
    </row>
    <row r="1232" spans="1:9" ht="17.5">
      <c r="A1232" s="248">
        <v>44134</v>
      </c>
      <c r="B1232" s="249">
        <v>89.44</v>
      </c>
      <c r="C1232" s="47">
        <f t="shared" si="38"/>
        <v>-5.8908525063909867E-3</v>
      </c>
      <c r="E1232" s="81"/>
      <c r="F1232" s="82"/>
      <c r="G1232" s="81">
        <v>44072</v>
      </c>
      <c r="H1232" s="82">
        <v>303.82</v>
      </c>
      <c r="I1232" s="173">
        <f t="shared" ref="I1232:I1295" si="39">H1232/H1231-1</f>
        <v>5.4605023662175345E-3</v>
      </c>
    </row>
    <row r="1233" spans="1:9" ht="17.5">
      <c r="A1233" s="248">
        <v>44135</v>
      </c>
      <c r="B1233" s="249">
        <v>89.08</v>
      </c>
      <c r="C1233" s="47">
        <f t="shared" ref="C1233:C1273" si="40">B1233/B1232-1</f>
        <v>-4.0250447227191399E-3</v>
      </c>
      <c r="E1233" s="81"/>
      <c r="F1233" s="82"/>
      <c r="G1233" s="81">
        <v>44075</v>
      </c>
      <c r="H1233" s="82">
        <v>302.55</v>
      </c>
      <c r="I1233" s="173">
        <f t="shared" si="39"/>
        <v>-4.1801066420906752E-3</v>
      </c>
    </row>
    <row r="1234" spans="1:9" ht="17.5">
      <c r="A1234" s="248">
        <v>44138</v>
      </c>
      <c r="B1234" s="249">
        <v>89.47</v>
      </c>
      <c r="C1234" s="47">
        <f t="shared" si="40"/>
        <v>4.378087112707707E-3</v>
      </c>
      <c r="E1234" s="81"/>
      <c r="F1234" s="82"/>
      <c r="G1234" s="81">
        <v>44076</v>
      </c>
      <c r="H1234" s="82">
        <v>301.38</v>
      </c>
      <c r="I1234" s="173">
        <f t="shared" si="39"/>
        <v>-3.8671294000992562E-3</v>
      </c>
    </row>
    <row r="1235" spans="1:9" ht="17.5">
      <c r="A1235" s="248">
        <v>44139</v>
      </c>
      <c r="B1235" s="249">
        <v>89.74</v>
      </c>
      <c r="C1235" s="47">
        <f t="shared" si="40"/>
        <v>3.017771319995477E-3</v>
      </c>
      <c r="E1235" s="81"/>
      <c r="F1235" s="82"/>
      <c r="G1235" s="81">
        <v>44077</v>
      </c>
      <c r="H1235" s="82">
        <v>297.86</v>
      </c>
      <c r="I1235" s="173">
        <f t="shared" si="39"/>
        <v>-1.1679607140486992E-2</v>
      </c>
    </row>
    <row r="1236" spans="1:9" ht="17.5">
      <c r="A1236" s="248">
        <v>44140</v>
      </c>
      <c r="B1236" s="249">
        <v>89.46</v>
      </c>
      <c r="C1236" s="47">
        <f t="shared" si="40"/>
        <v>-3.1201248049922414E-3</v>
      </c>
      <c r="E1236" s="81"/>
      <c r="F1236" s="82"/>
      <c r="G1236" s="81">
        <v>44078</v>
      </c>
      <c r="H1236" s="82">
        <v>298.76</v>
      </c>
      <c r="I1236" s="173">
        <f t="shared" si="39"/>
        <v>3.0215537500839496E-3</v>
      </c>
    </row>
    <row r="1237" spans="1:9" ht="17.5">
      <c r="A1237" s="248">
        <v>44141</v>
      </c>
      <c r="B1237" s="249">
        <v>90.44</v>
      </c>
      <c r="C1237" s="47">
        <f t="shared" si="40"/>
        <v>1.0954616588419341E-2</v>
      </c>
      <c r="E1237" s="81"/>
      <c r="F1237" s="82"/>
      <c r="G1237" s="81">
        <v>44079</v>
      </c>
      <c r="H1237" s="82">
        <v>298.63</v>
      </c>
      <c r="I1237" s="173">
        <f t="shared" si="39"/>
        <v>-4.3513187843080559E-4</v>
      </c>
    </row>
    <row r="1238" spans="1:9" ht="17.5">
      <c r="A1238" s="248">
        <v>44142</v>
      </c>
      <c r="B1238" s="249">
        <v>90.68</v>
      </c>
      <c r="C1238" s="47">
        <f t="shared" si="40"/>
        <v>2.6536930561700256E-3</v>
      </c>
      <c r="E1238" s="81"/>
      <c r="F1238" s="82"/>
      <c r="G1238" s="81">
        <v>44082</v>
      </c>
      <c r="H1238" s="82">
        <v>295.64999999999998</v>
      </c>
      <c r="I1238" s="173">
        <f t="shared" si="39"/>
        <v>-9.9789036600476111E-3</v>
      </c>
    </row>
    <row r="1239" spans="1:9" ht="17.5">
      <c r="A1239" s="248">
        <v>44145</v>
      </c>
      <c r="B1239" s="249">
        <v>90.5</v>
      </c>
      <c r="C1239" s="47">
        <f t="shared" si="40"/>
        <v>-1.985002205558084E-3</v>
      </c>
      <c r="E1239" s="81"/>
      <c r="F1239" s="82"/>
      <c r="G1239" s="81">
        <v>44083</v>
      </c>
      <c r="H1239" s="82">
        <v>295.77</v>
      </c>
      <c r="I1239" s="173">
        <f t="shared" si="39"/>
        <v>4.058853373922755E-4</v>
      </c>
    </row>
    <row r="1240" spans="1:9" ht="17.5">
      <c r="A1240" s="248">
        <v>44146</v>
      </c>
      <c r="B1240" s="249">
        <v>89.79</v>
      </c>
      <c r="C1240" s="47">
        <f t="shared" si="40"/>
        <v>-7.8453038674032305E-3</v>
      </c>
      <c r="E1240" s="81"/>
      <c r="F1240" s="82"/>
      <c r="G1240" s="81">
        <v>44084</v>
      </c>
      <c r="H1240" s="82">
        <v>294.67</v>
      </c>
      <c r="I1240" s="173">
        <f t="shared" si="39"/>
        <v>-3.719106062142763E-3</v>
      </c>
    </row>
    <row r="1241" spans="1:9" ht="17.5">
      <c r="A1241" s="248">
        <v>44147</v>
      </c>
      <c r="B1241" s="249">
        <v>89.67</v>
      </c>
      <c r="C1241" s="47">
        <f t="shared" si="40"/>
        <v>-1.3364517206816418E-3</v>
      </c>
      <c r="E1241" s="81"/>
      <c r="F1241" s="82"/>
      <c r="G1241" s="81">
        <v>44085</v>
      </c>
      <c r="H1241" s="82">
        <v>298.54000000000002</v>
      </c>
      <c r="I1241" s="173">
        <f t="shared" si="39"/>
        <v>1.313333559575125E-2</v>
      </c>
    </row>
    <row r="1242" spans="1:9" ht="17.5">
      <c r="A1242" s="248">
        <v>44148</v>
      </c>
      <c r="B1242" s="249">
        <v>89.44</v>
      </c>
      <c r="C1242" s="47">
        <f t="shared" si="40"/>
        <v>-2.5649604103936685E-3</v>
      </c>
      <c r="E1242" s="81"/>
      <c r="F1242" s="82"/>
      <c r="G1242" s="81">
        <v>44086</v>
      </c>
      <c r="H1242" s="82">
        <v>300.61</v>
      </c>
      <c r="I1242" s="173">
        <f t="shared" si="39"/>
        <v>6.9337442218797563E-3</v>
      </c>
    </row>
    <row r="1243" spans="1:9" ht="17.5">
      <c r="A1243" s="248">
        <v>44149</v>
      </c>
      <c r="B1243" s="249">
        <v>89.31</v>
      </c>
      <c r="C1243" s="47">
        <f t="shared" si="40"/>
        <v>-1.4534883720930258E-3</v>
      </c>
      <c r="E1243" s="81"/>
      <c r="F1243" s="82"/>
      <c r="G1243" s="81">
        <v>44089</v>
      </c>
      <c r="H1243" s="82">
        <v>301.70999999999998</v>
      </c>
      <c r="I1243" s="173">
        <f t="shared" si="39"/>
        <v>3.659226239978608E-3</v>
      </c>
    </row>
    <row r="1244" spans="1:9" ht="17.5">
      <c r="A1244" s="248">
        <v>44152</v>
      </c>
      <c r="B1244" s="249">
        <v>89.42</v>
      </c>
      <c r="C1244" s="47">
        <f t="shared" si="40"/>
        <v>1.2316649871235708E-3</v>
      </c>
      <c r="E1244" s="81"/>
      <c r="F1244" s="82"/>
      <c r="G1244" s="81">
        <v>44090</v>
      </c>
      <c r="H1244" s="82">
        <v>302.93</v>
      </c>
      <c r="I1244" s="173">
        <f t="shared" si="39"/>
        <v>4.0436180438170322E-3</v>
      </c>
    </row>
    <row r="1245" spans="1:9" ht="17.5">
      <c r="A1245" s="248">
        <v>44153</v>
      </c>
      <c r="B1245" s="249">
        <v>89.84</v>
      </c>
      <c r="C1245" s="47">
        <f t="shared" si="40"/>
        <v>4.6969358085440227E-3</v>
      </c>
      <c r="E1245" s="81"/>
      <c r="F1245" s="82"/>
      <c r="G1245" s="81">
        <v>44091</v>
      </c>
      <c r="H1245" s="82">
        <v>301.92</v>
      </c>
      <c r="I1245" s="173">
        <f t="shared" si="39"/>
        <v>-3.3341035882876735E-3</v>
      </c>
    </row>
    <row r="1246" spans="1:9" ht="17.5">
      <c r="A1246" s="248">
        <v>44154</v>
      </c>
      <c r="B1246" s="249">
        <v>89.85</v>
      </c>
      <c r="C1246" s="47">
        <f t="shared" si="40"/>
        <v>1.1130899376654568E-4</v>
      </c>
      <c r="E1246" s="81"/>
      <c r="F1246" s="82"/>
      <c r="G1246" s="81">
        <v>44092</v>
      </c>
      <c r="H1246" s="82">
        <v>305.64</v>
      </c>
      <c r="I1246" s="173">
        <f t="shared" si="39"/>
        <v>1.2321144674085849E-2</v>
      </c>
    </row>
    <row r="1247" spans="1:9" ht="17.5">
      <c r="A1247" s="248">
        <v>44155</v>
      </c>
      <c r="B1247" s="249">
        <v>89.89</v>
      </c>
      <c r="C1247" s="47">
        <f t="shared" si="40"/>
        <v>4.4518642181423651E-4</v>
      </c>
      <c r="E1247" s="81"/>
      <c r="F1247" s="82"/>
      <c r="G1247" s="81">
        <v>44093</v>
      </c>
      <c r="H1247" s="82">
        <v>306.99</v>
      </c>
      <c r="I1247" s="173">
        <f t="shared" si="39"/>
        <v>4.4169611307420809E-3</v>
      </c>
    </row>
    <row r="1248" spans="1:9" ht="17.5">
      <c r="A1248" s="248">
        <v>44156</v>
      </c>
      <c r="B1248" s="249">
        <v>89.78</v>
      </c>
      <c r="C1248" s="47">
        <f t="shared" si="40"/>
        <v>-1.2237178774057167E-3</v>
      </c>
      <c r="E1248" s="81"/>
      <c r="F1248" s="82"/>
      <c r="G1248" s="81">
        <v>44096</v>
      </c>
      <c r="H1248" s="82">
        <v>308.14</v>
      </c>
      <c r="I1248" s="173">
        <f t="shared" si="39"/>
        <v>3.7460503599464623E-3</v>
      </c>
    </row>
    <row r="1249" spans="1:9" ht="17.5">
      <c r="A1249" s="248">
        <v>44159</v>
      </c>
      <c r="B1249" s="249">
        <v>90.62</v>
      </c>
      <c r="C1249" s="47">
        <f t="shared" si="40"/>
        <v>9.3562040543551106E-3</v>
      </c>
      <c r="E1249" s="81"/>
      <c r="F1249" s="82"/>
      <c r="G1249" s="81">
        <v>44097</v>
      </c>
      <c r="H1249" s="82">
        <v>313.72000000000003</v>
      </c>
      <c r="I1249" s="173">
        <f t="shared" si="39"/>
        <v>1.8108651911469043E-2</v>
      </c>
    </row>
    <row r="1250" spans="1:9" ht="17.5">
      <c r="A1250" s="248">
        <v>44160</v>
      </c>
      <c r="B1250" s="249">
        <v>90.5</v>
      </c>
      <c r="C1250" s="47">
        <f t="shared" si="40"/>
        <v>-1.3242109909512578E-3</v>
      </c>
      <c r="E1250" s="81"/>
      <c r="F1250" s="82"/>
      <c r="G1250" s="81">
        <v>44098</v>
      </c>
      <c r="H1250" s="82">
        <v>315.52</v>
      </c>
      <c r="I1250" s="173">
        <f t="shared" si="39"/>
        <v>5.7376004080069709E-3</v>
      </c>
    </row>
    <row r="1251" spans="1:9" ht="17.5">
      <c r="A1251" s="248">
        <v>44161</v>
      </c>
      <c r="B1251" s="249">
        <v>90.81</v>
      </c>
      <c r="C1251" s="47">
        <f t="shared" si="40"/>
        <v>3.425414364640833E-3</v>
      </c>
      <c r="E1251" s="81"/>
      <c r="F1251" s="82"/>
      <c r="G1251" s="81">
        <v>44099</v>
      </c>
      <c r="H1251" s="82">
        <v>321.58999999999997</v>
      </c>
      <c r="I1251" s="173">
        <f t="shared" si="39"/>
        <v>1.9238083164300201E-2</v>
      </c>
    </row>
    <row r="1252" spans="1:9" ht="17.5">
      <c r="A1252" s="248">
        <v>44163</v>
      </c>
      <c r="B1252" s="249">
        <v>91.07</v>
      </c>
      <c r="C1252" s="47">
        <f t="shared" si="40"/>
        <v>2.8631208016738352E-3</v>
      </c>
      <c r="E1252" s="81"/>
      <c r="F1252" s="82"/>
      <c r="G1252" s="81">
        <v>44100</v>
      </c>
      <c r="H1252" s="82">
        <v>325.35000000000002</v>
      </c>
      <c r="I1252" s="173">
        <f t="shared" si="39"/>
        <v>1.169190584284352E-2</v>
      </c>
    </row>
    <row r="1253" spans="1:9" ht="17.5">
      <c r="A1253" s="248">
        <v>44166</v>
      </c>
      <c r="B1253" s="249">
        <v>90.97</v>
      </c>
      <c r="C1253" s="47">
        <f t="shared" si="40"/>
        <v>-1.0980564401009696E-3</v>
      </c>
      <c r="E1253" s="81"/>
      <c r="F1253" s="82"/>
      <c r="G1253" s="81">
        <v>44103</v>
      </c>
      <c r="H1253" s="82">
        <v>326.56</v>
      </c>
      <c r="I1253" s="173">
        <f t="shared" si="39"/>
        <v>3.7190717688642128E-3</v>
      </c>
    </row>
    <row r="1254" spans="1:9" ht="17.5">
      <c r="A1254" s="248">
        <v>44167</v>
      </c>
      <c r="B1254" s="249">
        <v>90.99</v>
      </c>
      <c r="C1254" s="47">
        <f t="shared" si="40"/>
        <v>2.1985269869184698E-4</v>
      </c>
      <c r="E1254" s="81"/>
      <c r="F1254" s="82"/>
      <c r="G1254" s="81">
        <v>44104</v>
      </c>
      <c r="H1254" s="82">
        <v>326.77999999999997</v>
      </c>
      <c r="I1254" s="173">
        <f t="shared" si="39"/>
        <v>6.7368936795686452E-4</v>
      </c>
    </row>
    <row r="1255" spans="1:9" ht="17.5">
      <c r="A1255" s="248">
        <v>44168</v>
      </c>
      <c r="B1255" s="249">
        <v>91.33</v>
      </c>
      <c r="C1255" s="47">
        <f t="shared" si="40"/>
        <v>3.736674359819725E-3</v>
      </c>
      <c r="E1255" s="81"/>
      <c r="F1255" s="82"/>
      <c r="G1255" s="81">
        <v>44105</v>
      </c>
      <c r="H1255" s="82">
        <v>331.34</v>
      </c>
      <c r="I1255" s="173">
        <f t="shared" si="39"/>
        <v>1.3954342371014228E-2</v>
      </c>
    </row>
    <row r="1256" spans="1:9" ht="17.5">
      <c r="A1256" s="248">
        <v>44169</v>
      </c>
      <c r="B1256" s="249">
        <v>91.44</v>
      </c>
      <c r="C1256" s="47">
        <f t="shared" si="40"/>
        <v>1.2044235191064345E-3</v>
      </c>
      <c r="E1256" s="81"/>
      <c r="F1256" s="82"/>
      <c r="G1256" s="81">
        <v>44106</v>
      </c>
      <c r="H1256" s="82">
        <v>326.83999999999997</v>
      </c>
      <c r="I1256" s="173">
        <f t="shared" si="39"/>
        <v>-1.3581215669704827E-2</v>
      </c>
    </row>
    <row r="1257" spans="1:9" ht="17.5">
      <c r="A1257" s="248">
        <v>44170</v>
      </c>
      <c r="B1257" s="249">
        <v>91.75</v>
      </c>
      <c r="C1257" s="47">
        <f t="shared" si="40"/>
        <v>3.3902012248470115E-3</v>
      </c>
      <c r="E1257" s="81"/>
      <c r="F1257" s="82"/>
      <c r="G1257" s="81">
        <v>44107</v>
      </c>
      <c r="H1257" s="82">
        <v>328.42</v>
      </c>
      <c r="I1257" s="173">
        <f t="shared" si="39"/>
        <v>4.8341696242810706E-3</v>
      </c>
    </row>
    <row r="1258" spans="1:9" ht="17.5">
      <c r="A1258" s="248">
        <v>44173</v>
      </c>
      <c r="B1258" s="249">
        <v>91.54</v>
      </c>
      <c r="C1258" s="47">
        <f t="shared" si="40"/>
        <v>-2.2888283378745822E-3</v>
      </c>
      <c r="E1258" s="81"/>
      <c r="F1258" s="82"/>
      <c r="G1258" s="81">
        <v>44110</v>
      </c>
      <c r="H1258" s="82">
        <v>329.27</v>
      </c>
      <c r="I1258" s="173">
        <f t="shared" si="39"/>
        <v>2.5881493209913842E-3</v>
      </c>
    </row>
    <row r="1259" spans="1:9" ht="17.5">
      <c r="A1259" s="248">
        <v>44174</v>
      </c>
      <c r="B1259" s="249">
        <v>91.39</v>
      </c>
      <c r="C1259" s="47">
        <f t="shared" si="40"/>
        <v>-1.6386279222198041E-3</v>
      </c>
      <c r="E1259" s="81"/>
      <c r="F1259" s="82"/>
      <c r="G1259" s="81">
        <v>44111</v>
      </c>
      <c r="H1259" s="82">
        <v>323.20999999999998</v>
      </c>
      <c r="I1259" s="173">
        <f t="shared" si="39"/>
        <v>-1.8404349014486621E-2</v>
      </c>
    </row>
    <row r="1260" spans="1:9" ht="17.5">
      <c r="A1260" s="248">
        <v>44175</v>
      </c>
      <c r="B1260" s="249">
        <v>91.35</v>
      </c>
      <c r="C1260" s="47">
        <f t="shared" si="40"/>
        <v>-4.3768464821103414E-4</v>
      </c>
      <c r="E1260" s="81"/>
      <c r="F1260" s="82"/>
      <c r="G1260" s="81">
        <v>44112</v>
      </c>
      <c r="H1260" s="82">
        <v>319.89999999999998</v>
      </c>
      <c r="I1260" s="173">
        <f t="shared" si="39"/>
        <v>-1.0241019770427906E-2</v>
      </c>
    </row>
    <row r="1261" spans="1:9" ht="17.5">
      <c r="A1261" s="248">
        <v>44176</v>
      </c>
      <c r="B1261" s="249">
        <v>90.87</v>
      </c>
      <c r="C1261" s="47">
        <f t="shared" si="40"/>
        <v>-5.2545155993430903E-3</v>
      </c>
      <c r="E1261" s="81"/>
      <c r="F1261" s="82"/>
      <c r="G1261" s="81">
        <v>44113</v>
      </c>
      <c r="H1261" s="82">
        <v>322.12</v>
      </c>
      <c r="I1261" s="173">
        <f t="shared" si="39"/>
        <v>6.939668646452013E-3</v>
      </c>
    </row>
    <row r="1262" spans="1:9" ht="17.5">
      <c r="A1262" s="248">
        <v>44177</v>
      </c>
      <c r="B1262" s="249">
        <v>90.4</v>
      </c>
      <c r="C1262" s="47">
        <f t="shared" si="40"/>
        <v>-5.1722240563442101E-3</v>
      </c>
      <c r="E1262" s="81"/>
      <c r="F1262" s="82"/>
      <c r="G1262" s="81">
        <v>44114</v>
      </c>
      <c r="H1262" s="82">
        <v>323.19</v>
      </c>
      <c r="I1262" s="173">
        <f t="shared" si="39"/>
        <v>3.3217434496459752E-3</v>
      </c>
    </row>
    <row r="1263" spans="1:9" ht="17.5">
      <c r="A1263" s="248">
        <v>44180</v>
      </c>
      <c r="B1263" s="249">
        <v>90.48</v>
      </c>
      <c r="C1263" s="47">
        <f t="shared" si="40"/>
        <v>8.8495575221236855E-4</v>
      </c>
      <c r="E1263" s="81"/>
      <c r="F1263" s="82"/>
      <c r="G1263" s="81">
        <v>44117</v>
      </c>
      <c r="H1263" s="82">
        <v>322.75</v>
      </c>
      <c r="I1263" s="173">
        <f t="shared" si="39"/>
        <v>-1.3614282620130203E-3</v>
      </c>
    </row>
    <row r="1264" spans="1:9" ht="17.5">
      <c r="A1264" s="248">
        <v>44181</v>
      </c>
      <c r="B1264" s="249">
        <v>90.43</v>
      </c>
      <c r="C1264" s="47">
        <f t="shared" si="40"/>
        <v>-5.526083112289415E-4</v>
      </c>
      <c r="E1264" s="81"/>
      <c r="F1264" s="82"/>
      <c r="G1264" s="81">
        <v>44118</v>
      </c>
      <c r="H1264" s="82">
        <v>319.76</v>
      </c>
      <c r="I1264" s="173">
        <f t="shared" si="39"/>
        <v>-9.2641363284275968E-3</v>
      </c>
    </row>
    <row r="1265" spans="1:9" ht="17.5">
      <c r="A1265" s="248">
        <v>44182</v>
      </c>
      <c r="B1265" s="249">
        <v>89.07</v>
      </c>
      <c r="C1265" s="47">
        <f t="shared" si="40"/>
        <v>-1.5039256883777607E-2</v>
      </c>
      <c r="E1265" s="81"/>
      <c r="F1265" s="82"/>
      <c r="G1265" s="81">
        <v>44119</v>
      </c>
      <c r="H1265" s="82">
        <v>319.02999999999997</v>
      </c>
      <c r="I1265" s="173">
        <f t="shared" si="39"/>
        <v>-2.2829622216663514E-3</v>
      </c>
    </row>
    <row r="1266" spans="1:9" ht="17.5">
      <c r="A1266" s="248">
        <v>44183</v>
      </c>
      <c r="B1266" s="249">
        <v>88.69</v>
      </c>
      <c r="C1266" s="47">
        <f t="shared" si="40"/>
        <v>-4.2663073986751732E-3</v>
      </c>
      <c r="E1266" s="81"/>
      <c r="F1266" s="82"/>
      <c r="G1266" s="81">
        <v>44120</v>
      </c>
      <c r="H1266" s="82">
        <v>316.54000000000002</v>
      </c>
      <c r="I1266" s="173">
        <f t="shared" si="39"/>
        <v>-7.8049086292824033E-3</v>
      </c>
    </row>
    <row r="1267" spans="1:9" ht="17.5">
      <c r="A1267" s="248">
        <v>44184</v>
      </c>
      <c r="B1267" s="249">
        <v>89.3</v>
      </c>
      <c r="C1267" s="47">
        <f t="shared" si="40"/>
        <v>6.8778892772578537E-3</v>
      </c>
      <c r="E1267" s="81"/>
      <c r="F1267" s="82"/>
      <c r="G1267" s="81">
        <v>44121</v>
      </c>
      <c r="H1267" s="82">
        <v>322.13</v>
      </c>
      <c r="I1267" s="173">
        <f t="shared" si="39"/>
        <v>1.7659695457130198E-2</v>
      </c>
    </row>
    <row r="1268" spans="1:9" ht="17.5">
      <c r="A1268" s="248">
        <v>44187</v>
      </c>
      <c r="B1268" s="249">
        <v>89.07</v>
      </c>
      <c r="C1268" s="47">
        <f t="shared" si="40"/>
        <v>-2.5755879059351505E-3</v>
      </c>
      <c r="E1268" s="81"/>
      <c r="F1268" s="82"/>
      <c r="G1268" s="81">
        <v>44124</v>
      </c>
      <c r="H1268" s="82">
        <v>320.47000000000003</v>
      </c>
      <c r="I1268" s="173">
        <f t="shared" si="39"/>
        <v>-5.1531990190294419E-3</v>
      </c>
    </row>
    <row r="1269" spans="1:9" ht="17.5">
      <c r="A1269" s="248">
        <v>44188</v>
      </c>
      <c r="B1269" s="249">
        <v>89.47</v>
      </c>
      <c r="C1269" s="47">
        <f t="shared" si="40"/>
        <v>4.4908498933424745E-3</v>
      </c>
      <c r="E1269" s="81"/>
      <c r="F1269" s="82"/>
      <c r="G1269" s="81">
        <v>44125</v>
      </c>
      <c r="H1269" s="82">
        <v>318.94</v>
      </c>
      <c r="I1269" s="173">
        <f t="shared" si="39"/>
        <v>-4.7742378381753214E-3</v>
      </c>
    </row>
    <row r="1270" spans="1:9" ht="17.5">
      <c r="A1270" s="248">
        <v>44190</v>
      </c>
      <c r="B1270" s="249">
        <v>89.38</v>
      </c>
      <c r="C1270" s="47">
        <f t="shared" si="40"/>
        <v>-1.0059237733318627E-3</v>
      </c>
      <c r="E1270" s="81"/>
      <c r="F1270" s="82"/>
      <c r="G1270" s="81">
        <v>44126</v>
      </c>
      <c r="H1270" s="82">
        <v>318.5</v>
      </c>
      <c r="I1270" s="173">
        <f t="shared" si="39"/>
        <v>-1.3795698250455013E-3</v>
      </c>
    </row>
    <row r="1271" spans="1:9" ht="17.5">
      <c r="A1271" s="248">
        <v>44191</v>
      </c>
      <c r="B1271" s="249">
        <v>89.05</v>
      </c>
      <c r="C1271" s="47">
        <f t="shared" si="40"/>
        <v>-3.6921011411948923E-3</v>
      </c>
      <c r="E1271" s="81"/>
      <c r="F1271" s="82"/>
      <c r="G1271" s="81">
        <v>44127</v>
      </c>
      <c r="H1271" s="82">
        <v>316.70999999999998</v>
      </c>
      <c r="I1271" s="173">
        <f t="shared" si="39"/>
        <v>-5.620094191522873E-3</v>
      </c>
    </row>
    <row r="1272" spans="1:9" ht="17.5">
      <c r="A1272" s="248">
        <v>44194</v>
      </c>
      <c r="B1272" s="249">
        <v>89.21</v>
      </c>
      <c r="C1272" s="47">
        <f t="shared" si="40"/>
        <v>1.7967434025827345E-3</v>
      </c>
      <c r="E1272" s="81"/>
      <c r="F1272" s="82"/>
      <c r="G1272" s="81">
        <v>44128</v>
      </c>
      <c r="H1272" s="82">
        <v>316.75</v>
      </c>
      <c r="I1272" s="173">
        <f t="shared" si="39"/>
        <v>1.2629850652023933E-4</v>
      </c>
    </row>
    <row r="1273" spans="1:9" ht="17.5">
      <c r="A1273" s="248">
        <v>44195</v>
      </c>
      <c r="B1273" s="249">
        <v>89.04</v>
      </c>
      <c r="C1273" s="47">
        <f t="shared" si="40"/>
        <v>-1.9056159623359603E-3</v>
      </c>
      <c r="E1273" s="81"/>
      <c r="F1273" s="82"/>
      <c r="G1273" s="81">
        <v>44131</v>
      </c>
      <c r="H1273" s="82">
        <v>317.5</v>
      </c>
      <c r="I1273" s="173">
        <f t="shared" si="39"/>
        <v>2.3677979479084232E-3</v>
      </c>
    </row>
    <row r="1274" spans="1:9" ht="15.5">
      <c r="E1274" s="81"/>
      <c r="F1274" s="82"/>
      <c r="G1274" s="81">
        <v>44132</v>
      </c>
      <c r="H1274" s="82">
        <v>316.75</v>
      </c>
      <c r="I1274" s="173">
        <f t="shared" si="39"/>
        <v>-2.3622047244094002E-3</v>
      </c>
    </row>
    <row r="1275" spans="1:9" ht="15.5">
      <c r="E1275" s="81"/>
      <c r="F1275" s="82"/>
      <c r="G1275" s="81">
        <v>44133</v>
      </c>
      <c r="H1275" s="82">
        <v>314.75</v>
      </c>
      <c r="I1275" s="173">
        <f t="shared" si="39"/>
        <v>-6.3141278610892027E-3</v>
      </c>
    </row>
    <row r="1276" spans="1:9" ht="15.5">
      <c r="E1276" s="81"/>
      <c r="F1276" s="82"/>
      <c r="G1276" s="81">
        <v>44134</v>
      </c>
      <c r="H1276" s="82">
        <v>313.97000000000003</v>
      </c>
      <c r="I1276" s="173">
        <f t="shared" si="39"/>
        <v>-2.4781572676726427E-3</v>
      </c>
    </row>
    <row r="1277" spans="1:9" ht="15.5">
      <c r="E1277" s="81"/>
      <c r="F1277" s="82"/>
      <c r="G1277" s="81">
        <v>44135</v>
      </c>
      <c r="H1277" s="82">
        <v>314.74</v>
      </c>
      <c r="I1277" s="173">
        <f t="shared" si="39"/>
        <v>2.4524636111729059E-3</v>
      </c>
    </row>
    <row r="1278" spans="1:9" ht="15.5">
      <c r="E1278" s="81"/>
      <c r="F1278" s="82"/>
      <c r="G1278" s="81">
        <v>44138</v>
      </c>
      <c r="H1278" s="82">
        <v>315.72000000000003</v>
      </c>
      <c r="I1278" s="173">
        <f t="shared" si="39"/>
        <v>3.1136811336340831E-3</v>
      </c>
    </row>
    <row r="1279" spans="1:9" ht="15.5">
      <c r="E1279" s="81"/>
      <c r="F1279" s="82"/>
      <c r="G1279" s="81">
        <v>44139</v>
      </c>
      <c r="H1279" s="82">
        <v>319.02</v>
      </c>
      <c r="I1279" s="173">
        <f t="shared" si="39"/>
        <v>1.0452299505891105E-2</v>
      </c>
    </row>
    <row r="1280" spans="1:9" ht="15.5">
      <c r="E1280" s="81"/>
      <c r="F1280" s="82"/>
      <c r="G1280" s="81">
        <v>44140</v>
      </c>
      <c r="H1280" s="82">
        <v>317.91000000000003</v>
      </c>
      <c r="I1280" s="173">
        <f t="shared" si="39"/>
        <v>-3.4794056798945761E-3</v>
      </c>
    </row>
    <row r="1281" spans="5:9" ht="15.5">
      <c r="E1281" s="81"/>
      <c r="F1281" s="82"/>
      <c r="G1281" s="81">
        <v>44141</v>
      </c>
      <c r="H1281" s="82">
        <v>320.57</v>
      </c>
      <c r="I1281" s="173">
        <f t="shared" si="39"/>
        <v>8.367147934950081E-3</v>
      </c>
    </row>
    <row r="1282" spans="5:9" ht="15.5">
      <c r="E1282" s="81"/>
      <c r="F1282" s="82"/>
      <c r="G1282" s="81">
        <v>44142</v>
      </c>
      <c r="H1282" s="82">
        <v>318.7</v>
      </c>
      <c r="I1282" s="173">
        <f t="shared" si="39"/>
        <v>-5.8333593286957752E-3</v>
      </c>
    </row>
    <row r="1283" spans="5:9" ht="15.5">
      <c r="E1283" s="81"/>
      <c r="F1283" s="82"/>
      <c r="G1283" s="81">
        <v>44145</v>
      </c>
      <c r="H1283" s="82">
        <v>316.68</v>
      </c>
      <c r="I1283" s="173">
        <f t="shared" si="39"/>
        <v>-6.3382491371194449E-3</v>
      </c>
    </row>
    <row r="1284" spans="5:9" ht="15.5">
      <c r="E1284" s="81"/>
      <c r="F1284" s="82"/>
      <c r="G1284" s="81">
        <v>44146</v>
      </c>
      <c r="H1284" s="82">
        <v>310.99</v>
      </c>
      <c r="I1284" s="173">
        <f t="shared" si="39"/>
        <v>-1.7967664519388693E-2</v>
      </c>
    </row>
    <row r="1285" spans="5:9" ht="15.5">
      <c r="E1285" s="81"/>
      <c r="F1285" s="82"/>
      <c r="G1285" s="81">
        <v>44147</v>
      </c>
      <c r="H1285" s="82">
        <v>308.83999999999997</v>
      </c>
      <c r="I1285" s="173">
        <f t="shared" si="39"/>
        <v>-6.9134055757420487E-3</v>
      </c>
    </row>
    <row r="1286" spans="5:9" ht="15.5">
      <c r="E1286" s="81"/>
      <c r="F1286" s="82"/>
      <c r="G1286" s="81">
        <v>44148</v>
      </c>
      <c r="H1286" s="82">
        <v>306</v>
      </c>
      <c r="I1286" s="173">
        <f t="shared" si="39"/>
        <v>-9.1957000388549481E-3</v>
      </c>
    </row>
    <row r="1287" spans="5:9" ht="15.5">
      <c r="E1287" s="81"/>
      <c r="F1287" s="82"/>
      <c r="G1287" s="81">
        <v>44149</v>
      </c>
      <c r="H1287" s="82">
        <v>305.55</v>
      </c>
      <c r="I1287" s="173">
        <f t="shared" si="39"/>
        <v>-1.4705882352941124E-3</v>
      </c>
    </row>
    <row r="1288" spans="5:9" ht="15.5">
      <c r="E1288" s="81"/>
      <c r="F1288" s="82"/>
      <c r="G1288" s="81">
        <v>44152</v>
      </c>
      <c r="H1288" s="82">
        <v>305.42</v>
      </c>
      <c r="I1288" s="173">
        <f t="shared" si="39"/>
        <v>-4.2546228113238271E-4</v>
      </c>
    </row>
    <row r="1289" spans="5:9" ht="15.5">
      <c r="E1289" s="81"/>
      <c r="F1289" s="82"/>
      <c r="G1289" s="81">
        <v>44153</v>
      </c>
      <c r="H1289" s="82">
        <v>307.5</v>
      </c>
      <c r="I1289" s="173">
        <f t="shared" si="39"/>
        <v>6.8102940213476959E-3</v>
      </c>
    </row>
    <row r="1290" spans="5:9" ht="15.5">
      <c r="E1290" s="81"/>
      <c r="F1290" s="82"/>
      <c r="G1290" s="81">
        <v>44154</v>
      </c>
      <c r="H1290" s="82">
        <v>307.39</v>
      </c>
      <c r="I1290" s="173">
        <f t="shared" si="39"/>
        <v>-3.5772357723584669E-4</v>
      </c>
    </row>
    <row r="1291" spans="5:9" ht="15.5">
      <c r="E1291" s="81"/>
      <c r="F1291" s="82"/>
      <c r="G1291" s="81">
        <v>44155</v>
      </c>
      <c r="H1291" s="82">
        <v>305.14999999999998</v>
      </c>
      <c r="I1291" s="173">
        <f t="shared" si="39"/>
        <v>-7.2871596343407896E-3</v>
      </c>
    </row>
    <row r="1292" spans="5:9" ht="15.5">
      <c r="E1292" s="81"/>
      <c r="F1292" s="82"/>
      <c r="G1292" s="81">
        <v>44156</v>
      </c>
      <c r="H1292" s="82">
        <v>305.14999999999998</v>
      </c>
      <c r="I1292" s="173">
        <f t="shared" si="39"/>
        <v>0</v>
      </c>
    </row>
    <row r="1293" spans="5:9" ht="15.5">
      <c r="E1293" s="81"/>
      <c r="F1293" s="82"/>
      <c r="G1293" s="81">
        <v>44159</v>
      </c>
      <c r="H1293" s="82">
        <v>306.66000000000003</v>
      </c>
      <c r="I1293" s="173">
        <f t="shared" si="39"/>
        <v>4.9483860396528634E-3</v>
      </c>
    </row>
    <row r="1294" spans="5:9" ht="15.5">
      <c r="E1294" s="81"/>
      <c r="F1294" s="82"/>
      <c r="G1294" s="81">
        <v>44160</v>
      </c>
      <c r="H1294" s="82">
        <v>305.33</v>
      </c>
      <c r="I1294" s="173">
        <f t="shared" si="39"/>
        <v>-4.3370508054524359E-3</v>
      </c>
    </row>
    <row r="1295" spans="5:9" ht="15.5">
      <c r="E1295" s="81"/>
      <c r="F1295" s="82"/>
      <c r="G1295" s="81">
        <v>44161</v>
      </c>
      <c r="H1295" s="82">
        <v>306.08</v>
      </c>
      <c r="I1295" s="173">
        <f t="shared" si="39"/>
        <v>2.4563586938721738E-3</v>
      </c>
    </row>
    <row r="1296" spans="5:9" ht="15.5">
      <c r="E1296" s="81"/>
      <c r="F1296" s="82"/>
      <c r="G1296" s="81">
        <v>44162</v>
      </c>
      <c r="H1296" s="82">
        <v>303.97000000000003</v>
      </c>
      <c r="I1296" s="173">
        <f t="shared" ref="I1296:I1319" si="41">H1296/H1295-1</f>
        <v>-6.8936225823312824E-3</v>
      </c>
    </row>
    <row r="1297" spans="5:9" ht="15.5">
      <c r="E1297" s="81"/>
      <c r="F1297" s="82"/>
      <c r="G1297" s="81">
        <v>44163</v>
      </c>
      <c r="H1297" s="82">
        <v>304.97000000000003</v>
      </c>
      <c r="I1297" s="173">
        <f t="shared" si="41"/>
        <v>3.2897983353621374E-3</v>
      </c>
    </row>
    <row r="1298" spans="5:9" ht="15.5">
      <c r="E1298" s="81"/>
      <c r="F1298" s="82"/>
      <c r="G1298" s="81">
        <v>44166</v>
      </c>
      <c r="H1298" s="82">
        <v>307.16000000000003</v>
      </c>
      <c r="I1298" s="173">
        <f t="shared" si="41"/>
        <v>7.1810342000853122E-3</v>
      </c>
    </row>
    <row r="1299" spans="5:9" ht="15.5">
      <c r="E1299" s="81"/>
      <c r="F1299" s="82"/>
      <c r="G1299" s="81">
        <v>44167</v>
      </c>
      <c r="H1299" s="82">
        <v>309.83</v>
      </c>
      <c r="I1299" s="173">
        <f t="shared" si="41"/>
        <v>8.6925380908970951E-3</v>
      </c>
    </row>
    <row r="1300" spans="5:9" ht="15.5">
      <c r="E1300" s="81"/>
      <c r="F1300" s="82"/>
      <c r="G1300" s="81">
        <v>44168</v>
      </c>
      <c r="H1300" s="82">
        <v>311.33</v>
      </c>
      <c r="I1300" s="173">
        <f t="shared" si="41"/>
        <v>4.8413646193072868E-3</v>
      </c>
    </row>
    <row r="1301" spans="5:9" ht="15.5">
      <c r="E1301" s="81"/>
      <c r="F1301" s="82"/>
      <c r="G1301" s="81">
        <v>44169</v>
      </c>
      <c r="H1301" s="82">
        <v>312.24</v>
      </c>
      <c r="I1301" s="173">
        <f t="shared" si="41"/>
        <v>2.9229435004658466E-3</v>
      </c>
    </row>
    <row r="1302" spans="5:9" ht="15.5">
      <c r="E1302" s="81"/>
      <c r="F1302" s="82"/>
      <c r="G1302" s="81">
        <v>44170</v>
      </c>
      <c r="H1302" s="82">
        <v>313.48</v>
      </c>
      <c r="I1302" s="173">
        <f t="shared" si="41"/>
        <v>3.9713041250319936E-3</v>
      </c>
    </row>
    <row r="1303" spans="5:9" ht="15.5">
      <c r="E1303" s="81"/>
      <c r="F1303" s="82"/>
      <c r="G1303" s="81">
        <v>44173</v>
      </c>
      <c r="H1303" s="82">
        <v>316.63</v>
      </c>
      <c r="I1303" s="173">
        <f t="shared" si="41"/>
        <v>1.0048487941814344E-2</v>
      </c>
    </row>
    <row r="1304" spans="5:9" ht="15.5">
      <c r="E1304" s="81"/>
      <c r="F1304" s="82"/>
      <c r="G1304" s="81">
        <v>44174</v>
      </c>
      <c r="H1304" s="82">
        <v>315.27</v>
      </c>
      <c r="I1304" s="173">
        <f t="shared" si="41"/>
        <v>-4.2952341850109876E-3</v>
      </c>
    </row>
    <row r="1305" spans="5:9" ht="15.5">
      <c r="E1305" s="81"/>
      <c r="F1305" s="82"/>
      <c r="G1305" s="81">
        <v>44175</v>
      </c>
      <c r="H1305" s="82">
        <v>314.52</v>
      </c>
      <c r="I1305" s="173">
        <f t="shared" si="41"/>
        <v>-2.3789133123989226E-3</v>
      </c>
    </row>
    <row r="1306" spans="5:9" ht="15.5">
      <c r="E1306" s="81"/>
      <c r="F1306" s="82"/>
      <c r="G1306" s="81">
        <v>44176</v>
      </c>
      <c r="H1306" s="82">
        <v>315.19</v>
      </c>
      <c r="I1306" s="173">
        <f t="shared" si="41"/>
        <v>2.130230192038729E-3</v>
      </c>
    </row>
    <row r="1307" spans="5:9" ht="15.5">
      <c r="E1307" s="81"/>
      <c r="F1307" s="82"/>
      <c r="G1307" s="81">
        <v>44177</v>
      </c>
      <c r="H1307" s="82">
        <v>313.10000000000002</v>
      </c>
      <c r="I1307" s="173">
        <f t="shared" si="41"/>
        <v>-6.6309210317585521E-3</v>
      </c>
    </row>
    <row r="1308" spans="5:9" ht="15.5">
      <c r="E1308" s="81"/>
      <c r="F1308" s="82"/>
      <c r="G1308" s="81">
        <v>44180</v>
      </c>
      <c r="H1308" s="82">
        <v>311.83999999999997</v>
      </c>
      <c r="I1308" s="173">
        <f t="shared" si="41"/>
        <v>-4.0242733950816012E-3</v>
      </c>
    </row>
    <row r="1309" spans="5:9" ht="15.5">
      <c r="E1309" s="81"/>
      <c r="F1309" s="82"/>
      <c r="G1309" s="81">
        <v>44181</v>
      </c>
      <c r="H1309" s="82">
        <v>309.48</v>
      </c>
      <c r="I1309" s="173">
        <f t="shared" si="41"/>
        <v>-7.5679835813236007E-3</v>
      </c>
    </row>
    <row r="1310" spans="5:9" ht="15.5">
      <c r="E1310" s="81"/>
      <c r="F1310" s="82"/>
      <c r="G1310" s="81">
        <v>44182</v>
      </c>
      <c r="H1310" s="82">
        <v>309.44</v>
      </c>
      <c r="I1310" s="173">
        <f t="shared" si="41"/>
        <v>-1.2924906294431437E-4</v>
      </c>
    </row>
    <row r="1311" spans="5:9" ht="15.5">
      <c r="E1311" s="81"/>
      <c r="F1311" s="82"/>
      <c r="G1311" s="81">
        <v>44183</v>
      </c>
      <c r="H1311" s="82">
        <v>306.42</v>
      </c>
      <c r="I1311" s="173">
        <f t="shared" si="41"/>
        <v>-9.7595656670113051E-3</v>
      </c>
    </row>
    <row r="1312" spans="5:9" ht="15.5">
      <c r="E1312" s="81"/>
      <c r="F1312" s="82"/>
      <c r="G1312" s="81">
        <v>44184</v>
      </c>
      <c r="H1312" s="82">
        <v>304.12</v>
      </c>
      <c r="I1312" s="173">
        <f t="shared" si="41"/>
        <v>-7.5060374649175143E-3</v>
      </c>
    </row>
    <row r="1313" spans="5:9" ht="15.5">
      <c r="E1313" s="81"/>
      <c r="F1313" s="82"/>
      <c r="G1313" s="81">
        <v>44187</v>
      </c>
      <c r="H1313" s="82">
        <v>305.92</v>
      </c>
      <c r="I1313" s="173">
        <f t="shared" si="41"/>
        <v>5.9187162961988893E-3</v>
      </c>
    </row>
    <row r="1314" spans="5:9" ht="15.5">
      <c r="E1314" s="81"/>
      <c r="F1314" s="82"/>
      <c r="G1314" s="81">
        <v>44188</v>
      </c>
      <c r="H1314" s="82">
        <v>306.89</v>
      </c>
      <c r="I1314" s="173">
        <f t="shared" si="41"/>
        <v>3.1707635983262428E-3</v>
      </c>
    </row>
    <row r="1315" spans="5:9" ht="15.5">
      <c r="E1315" s="81"/>
      <c r="F1315" s="82"/>
      <c r="G1315" s="81">
        <v>44189</v>
      </c>
      <c r="H1315" s="82">
        <v>307.25</v>
      </c>
      <c r="I1315" s="173">
        <f t="shared" si="41"/>
        <v>1.1730587506924017E-3</v>
      </c>
    </row>
    <row r="1316" spans="5:9" ht="15.5">
      <c r="G1316" s="81">
        <v>44190</v>
      </c>
      <c r="H1316" s="82">
        <v>307.3</v>
      </c>
      <c r="I1316" s="173">
        <f t="shared" si="41"/>
        <v>1.6273393002452785E-4</v>
      </c>
    </row>
    <row r="1317" spans="5:9" ht="15.5">
      <c r="G1317" s="81">
        <v>44191</v>
      </c>
      <c r="H1317" s="82">
        <v>307.06</v>
      </c>
      <c r="I1317" s="173">
        <f t="shared" si="41"/>
        <v>-7.8099576960632966E-4</v>
      </c>
    </row>
    <row r="1318" spans="5:9" ht="15.5">
      <c r="G1318" s="81">
        <v>44194</v>
      </c>
      <c r="H1318" s="82">
        <v>306.06</v>
      </c>
      <c r="I1318" s="173">
        <f t="shared" si="41"/>
        <v>-3.2566925030939053E-3</v>
      </c>
    </row>
    <row r="1319" spans="5:9" ht="15.5">
      <c r="G1319" s="81">
        <v>44195</v>
      </c>
      <c r="H1319" s="82">
        <v>305.14</v>
      </c>
      <c r="I1319" s="173">
        <f t="shared" si="41"/>
        <v>-3.0059465464288282E-3</v>
      </c>
    </row>
    <row r="1320" spans="5:9" ht="15.5">
      <c r="G1320" s="81"/>
      <c r="H1320" s="82"/>
      <c r="I1320" s="173"/>
    </row>
    <row r="1321" spans="5:9" ht="15.5">
      <c r="G1321" s="81"/>
      <c r="H1321" s="82"/>
      <c r="I1321" s="173"/>
    </row>
    <row r="1322" spans="5:9" ht="15.5">
      <c r="G1322" s="81"/>
      <c r="H1322" s="82"/>
      <c r="I1322" s="173"/>
    </row>
    <row r="1323" spans="5:9" ht="15.5">
      <c r="G1323" s="81"/>
      <c r="H1323" s="82"/>
      <c r="I1323" s="173"/>
    </row>
    <row r="1324" spans="5:9" ht="15.5">
      <c r="G1324" s="81"/>
      <c r="H1324" s="82"/>
      <c r="I1324" s="173"/>
    </row>
    <row r="1325" spans="5:9" ht="15.5">
      <c r="G1325" s="81"/>
      <c r="H1325" s="82"/>
      <c r="I1325" s="173"/>
    </row>
  </sheetData>
  <mergeCells count="1">
    <mergeCell ref="J1:S7"/>
  </mergeCells>
  <hyperlinks>
    <hyperlink ref="H11" r:id="rId1" location="overview" xr:uid="{82A33D8C-0A76-2C42-BE3C-9D4206013352}"/>
    <hyperlink ref="B11" r:id="rId2" xr:uid="{DA542E30-C119-0747-9490-247A210036E6}"/>
  </hyperlinks>
  <pageMargins left="0.75" right="0.75" top="1" bottom="1" header="0.3" footer="0.3"/>
  <pageSetup orientation="portrait" horizontalDpi="0" verticalDpi="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E14"/>
  <sheetViews>
    <sheetView workbookViewId="0">
      <selection activeCell="D19" sqref="D19"/>
    </sheetView>
  </sheetViews>
  <sheetFormatPr defaultColWidth="11.19921875" defaultRowHeight="11.5"/>
  <cols>
    <col min="1" max="1" width="22" bestFit="1" customWidth="1"/>
    <col min="2" max="2" width="23.5" bestFit="1" customWidth="1"/>
    <col min="3" max="3" width="25.19921875" bestFit="1" customWidth="1"/>
    <col min="4" max="4" width="24" bestFit="1" customWidth="1"/>
    <col min="5" max="5" width="23.5" bestFit="1" customWidth="1"/>
  </cols>
  <sheetData>
    <row r="3" spans="1:5">
      <c r="B3" s="22" t="s">
        <v>171</v>
      </c>
    </row>
    <row r="4" spans="1:5">
      <c r="A4" s="22" t="s">
        <v>168</v>
      </c>
      <c r="B4" t="s">
        <v>170</v>
      </c>
      <c r="C4" t="s">
        <v>172</v>
      </c>
      <c r="D4" t="s">
        <v>447</v>
      </c>
      <c r="E4" t="s">
        <v>449</v>
      </c>
    </row>
    <row r="5" spans="1:5">
      <c r="A5" s="211" t="s">
        <v>127</v>
      </c>
      <c r="B5" s="212">
        <v>6.3366592624734791E-2</v>
      </c>
      <c r="C5" s="212">
        <v>7.4777335647208149E-2</v>
      </c>
      <c r="D5" s="212">
        <v>0.11807733564720815</v>
      </c>
      <c r="E5" s="212">
        <v>0.26819333333333339</v>
      </c>
    </row>
    <row r="6" spans="1:5">
      <c r="A6" s="211" t="s">
        <v>128</v>
      </c>
      <c r="B6" s="212">
        <v>3.8427952465079754E-2</v>
      </c>
      <c r="C6" s="212">
        <v>4.5347868343398288E-2</v>
      </c>
      <c r="D6" s="212">
        <v>8.8647868343398273E-2</v>
      </c>
      <c r="E6" s="212">
        <v>0.24529166666666671</v>
      </c>
    </row>
    <row r="7" spans="1:5">
      <c r="A7" s="211" t="s">
        <v>53</v>
      </c>
      <c r="B7" s="212">
        <v>1.4860942364382727E-2</v>
      </c>
      <c r="C7" s="212">
        <v>1.7537027464870923E-2</v>
      </c>
      <c r="D7" s="212">
        <v>6.0837027464870928E-2</v>
      </c>
      <c r="E7" s="212">
        <v>0.29246666666666665</v>
      </c>
    </row>
    <row r="8" spans="1:5">
      <c r="A8" s="211" t="s">
        <v>54</v>
      </c>
      <c r="B8" s="212">
        <v>3.7673403498518172E-2</v>
      </c>
      <c r="C8" s="212">
        <v>4.4457443925772187E-2</v>
      </c>
      <c r="D8" s="212">
        <v>8.7757443925772186E-2</v>
      </c>
      <c r="E8" s="212">
        <v>0.17758571428571426</v>
      </c>
    </row>
    <row r="9" spans="1:5">
      <c r="A9" s="211" t="s">
        <v>51</v>
      </c>
      <c r="B9" s="212">
        <v>5.3180699470595651E-2</v>
      </c>
      <c r="C9" s="212">
        <v>6.275721716357123E-2</v>
      </c>
      <c r="D9" s="212">
        <v>0.10605721716357124</v>
      </c>
      <c r="E9" s="212">
        <v>0.28369999999999995</v>
      </c>
    </row>
    <row r="10" spans="1:5">
      <c r="A10" s="211" t="s">
        <v>124</v>
      </c>
      <c r="B10" s="212">
        <v>3.7394334480917044E-2</v>
      </c>
      <c r="C10" s="212">
        <v>4.4128121537846426E-2</v>
      </c>
      <c r="D10" s="212">
        <v>8.7428121537846445E-2</v>
      </c>
      <c r="E10" s="212">
        <v>0.15961538461538463</v>
      </c>
    </row>
    <row r="11" spans="1:5">
      <c r="A11" s="211" t="s">
        <v>126</v>
      </c>
      <c r="B11" s="212">
        <v>3.4172540483320302E-2</v>
      </c>
      <c r="C11" s="212">
        <v>4.0326162790100678E-2</v>
      </c>
      <c r="D11" s="212">
        <v>8.3626162790100683E-2</v>
      </c>
      <c r="E11" s="212">
        <v>0.13461538461538461</v>
      </c>
    </row>
    <row r="12" spans="1:5">
      <c r="A12" s="211" t="s">
        <v>129</v>
      </c>
      <c r="B12" s="212">
        <v>0</v>
      </c>
      <c r="C12" s="212">
        <v>0</v>
      </c>
      <c r="D12" s="212">
        <v>4.3299999999999998E-2</v>
      </c>
      <c r="E12" s="212">
        <v>0.25750000000000001</v>
      </c>
    </row>
    <row r="13" spans="1:5">
      <c r="A13" s="211" t="s">
        <v>125</v>
      </c>
      <c r="B13" s="212">
        <v>8.1303890340587558E-3</v>
      </c>
      <c r="C13" s="212">
        <v>9.5944693340647529E-3</v>
      </c>
      <c r="D13" s="212">
        <v>5.2894469334064734E-2</v>
      </c>
      <c r="E13" s="212">
        <v>0.1951615384615385</v>
      </c>
    </row>
    <row r="14" spans="1:5">
      <c r="A14" s="19" t="s">
        <v>169</v>
      </c>
      <c r="B14" s="23">
        <v>3.8430562048345315E-2</v>
      </c>
      <c r="C14" s="23">
        <v>4.5350947847529154E-2</v>
      </c>
      <c r="D14" s="23">
        <v>8.8650947847529263E-2</v>
      </c>
      <c r="E14" s="23">
        <v>0.21768089171974522</v>
      </c>
    </row>
  </sheetData>
  <pageMargins left="0.75" right="0.75" top="1" bottom="1" header="0.5" footer="0.5"/>
  <pageSetup orientation="portrait"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M198"/>
  <sheetViews>
    <sheetView topLeftCell="A137" zoomScaleNormal="100" workbookViewId="0">
      <selection activeCell="B192" sqref="B192"/>
    </sheetView>
  </sheetViews>
  <sheetFormatPr defaultColWidth="11.19921875" defaultRowHeight="11.5"/>
  <cols>
    <col min="1" max="1" width="24.69921875" bestFit="1" customWidth="1"/>
    <col min="2" max="2" width="20.796875" style="25" bestFit="1" customWidth="1"/>
    <col min="3" max="6" width="20.796875" style="25" customWidth="1"/>
    <col min="7" max="7" width="26.19921875" style="25" customWidth="1"/>
    <col min="8" max="8" width="37" customWidth="1"/>
    <col min="9" max="9" width="20.796875" customWidth="1"/>
    <col min="10" max="10" width="25.19921875" bestFit="1" customWidth="1"/>
    <col min="11" max="11" width="23.69921875" bestFit="1" customWidth="1"/>
    <col min="12" max="13" width="20.296875" bestFit="1" customWidth="1"/>
  </cols>
  <sheetData>
    <row r="1" spans="1:13" s="59" customFormat="1" ht="15.5">
      <c r="A1" s="51" t="s">
        <v>74</v>
      </c>
      <c r="B1" s="120" t="s">
        <v>499</v>
      </c>
      <c r="C1" s="9" t="s">
        <v>268</v>
      </c>
      <c r="D1" s="51" t="s">
        <v>36</v>
      </c>
      <c r="E1" s="254" t="s">
        <v>439</v>
      </c>
      <c r="F1" s="52" t="s">
        <v>37</v>
      </c>
      <c r="G1" s="52" t="s">
        <v>350</v>
      </c>
      <c r="H1" s="51" t="s">
        <v>52</v>
      </c>
      <c r="I1" s="59" t="s">
        <v>291</v>
      </c>
      <c r="J1" s="59" t="s">
        <v>296</v>
      </c>
      <c r="K1" s="59" t="s">
        <v>292</v>
      </c>
      <c r="L1" s="59" t="s">
        <v>293</v>
      </c>
      <c r="M1" s="59" t="s">
        <v>351</v>
      </c>
    </row>
    <row r="2" spans="1:13" s="38" customFormat="1" ht="15.5">
      <c r="A2" s="8" t="s">
        <v>130</v>
      </c>
      <c r="B2" s="120">
        <v>84722.957642375652</v>
      </c>
      <c r="C2" s="9" t="s">
        <v>77</v>
      </c>
      <c r="D2" s="21">
        <v>6.4371549301595152E-2</v>
      </c>
      <c r="E2" s="10">
        <v>0.13004652884453358</v>
      </c>
      <c r="F2" s="14">
        <v>8.6746528844533571E-2</v>
      </c>
      <c r="G2" s="14">
        <v>0.25</v>
      </c>
      <c r="H2" s="15" t="s">
        <v>127</v>
      </c>
      <c r="I2" s="60">
        <f t="shared" ref="I2:I29" si="0">B2/$B$32</f>
        <v>3.6063840934561955E-2</v>
      </c>
      <c r="J2" s="60">
        <f t="shared" ref="J2:J29" si="1">I2*D2</f>
        <v>2.3214853147240401E-3</v>
      </c>
      <c r="K2" s="60">
        <f t="shared" ref="K2:K29" si="2">I2*E2</f>
        <v>4.689977330341182E-3</v>
      </c>
      <c r="L2" s="60">
        <f t="shared" ref="L2:L29" si="3">I2*F2</f>
        <v>3.1284130178746493E-3</v>
      </c>
      <c r="M2" s="60">
        <f>I2*G2</f>
        <v>9.0159602336404888E-3</v>
      </c>
    </row>
    <row r="3" spans="1:13" s="38" customFormat="1" ht="15.5">
      <c r="A3" s="8" t="s">
        <v>205</v>
      </c>
      <c r="B3" s="120">
        <v>19673.284686002258</v>
      </c>
      <c r="C3" s="9" t="s">
        <v>48</v>
      </c>
      <c r="D3" s="21">
        <v>4.4582827093148182E-2</v>
      </c>
      <c r="E3" s="10">
        <v>0.10337942232813085</v>
      </c>
      <c r="F3" s="14">
        <v>6.0079422328130849E-2</v>
      </c>
      <c r="G3" s="14">
        <v>0.3</v>
      </c>
      <c r="H3" s="15" t="s">
        <v>127</v>
      </c>
      <c r="I3" s="60">
        <f>B3/$B$32</f>
        <v>8.3742851916382265E-3</v>
      </c>
      <c r="J3" s="60">
        <f>I3*D3</f>
        <v>3.7334930872751836E-4</v>
      </c>
      <c r="K3" s="60">
        <f>I3*E3</f>
        <v>8.657287655225804E-4</v>
      </c>
      <c r="L3" s="60">
        <f>I3*F3</f>
        <v>5.0312221672464523E-4</v>
      </c>
      <c r="M3" s="60">
        <f>I3*G3</f>
        <v>2.5122855574914679E-3</v>
      </c>
    </row>
    <row r="4" spans="1:13" s="38" customFormat="1" ht="15.5">
      <c r="A4" s="8" t="s">
        <v>122</v>
      </c>
      <c r="B4" s="120">
        <v>19395.765126312748</v>
      </c>
      <c r="C4" s="9" t="s">
        <v>43</v>
      </c>
      <c r="D4" s="21">
        <v>1.1873233325068186E-2</v>
      </c>
      <c r="E4" s="10">
        <v>5.9300263909841638E-2</v>
      </c>
      <c r="F4" s="14">
        <v>1.600026390984164E-2</v>
      </c>
      <c r="G4" s="14">
        <v>0.22</v>
      </c>
      <c r="H4" s="15" t="s">
        <v>127</v>
      </c>
      <c r="I4" s="60">
        <f t="shared" si="0"/>
        <v>8.2561540317332722E-3</v>
      </c>
      <c r="J4" s="60">
        <f t="shared" si="1"/>
        <v>9.8027243186471545E-5</v>
      </c>
      <c r="K4" s="60">
        <f t="shared" si="2"/>
        <v>4.8959211296208615E-4</v>
      </c>
      <c r="L4" s="60">
        <f t="shared" si="3"/>
        <v>1.3210064338803543E-4</v>
      </c>
      <c r="M4" s="60">
        <f t="shared" ref="M4:M77" si="4">I4*G4</f>
        <v>1.8163538869813199E-3</v>
      </c>
    </row>
    <row r="5" spans="1:13" s="38" customFormat="1" ht="15.5">
      <c r="A5" s="8" t="s">
        <v>208</v>
      </c>
      <c r="B5" s="120">
        <v>20324.617838967646</v>
      </c>
      <c r="C5" s="9" t="s">
        <v>99</v>
      </c>
      <c r="D5" s="21">
        <v>7.4265910405818647E-2</v>
      </c>
      <c r="E5" s="10">
        <v>0.14338008210273495</v>
      </c>
      <c r="F5" s="14">
        <v>0.10008008210273495</v>
      </c>
      <c r="G5" s="14">
        <v>0.28000000000000003</v>
      </c>
      <c r="H5" s="15" t="s">
        <v>127</v>
      </c>
      <c r="I5" s="60">
        <f t="shared" si="0"/>
        <v>8.6515367876354096E-3</v>
      </c>
      <c r="J5" s="60">
        <f t="shared" si="1"/>
        <v>6.4251425594317535E-4</v>
      </c>
      <c r="K5" s="60">
        <f t="shared" si="2"/>
        <v>1.2404580549259967E-3</v>
      </c>
      <c r="L5" s="60">
        <f t="shared" si="3"/>
        <v>8.658465120213836E-4</v>
      </c>
      <c r="M5" s="60">
        <f t="shared" si="4"/>
        <v>2.422430300537915E-3</v>
      </c>
    </row>
    <row r="6" spans="1:13" s="38" customFormat="1" ht="15.5">
      <c r="A6" s="8" t="s">
        <v>209</v>
      </c>
      <c r="B6" s="120">
        <v>47945.510090052856</v>
      </c>
      <c r="C6" s="9" t="s">
        <v>99</v>
      </c>
      <c r="D6" s="21">
        <v>7.4265910405818647E-2</v>
      </c>
      <c r="E6" s="10">
        <v>0.14338008210273495</v>
      </c>
      <c r="F6" s="14">
        <v>0.10008008210273495</v>
      </c>
      <c r="G6" s="14">
        <v>0.33</v>
      </c>
      <c r="H6" s="15" t="s">
        <v>127</v>
      </c>
      <c r="I6" s="60">
        <f t="shared" si="0"/>
        <v>2.0408863164489699E-2</v>
      </c>
      <c r="J6" s="60">
        <f t="shared" si="1"/>
        <v>1.5156828032586043E-3</v>
      </c>
      <c r="K6" s="60">
        <f t="shared" si="2"/>
        <v>2.9262244761480163E-3</v>
      </c>
      <c r="L6" s="60">
        <f t="shared" si="3"/>
        <v>2.0425207011256119E-3</v>
      </c>
      <c r="M6" s="60">
        <f t="shared" si="4"/>
        <v>6.734924844281601E-3</v>
      </c>
    </row>
    <row r="7" spans="1:13" s="38" customFormat="1" ht="15.5">
      <c r="A7" s="8" t="s">
        <v>210</v>
      </c>
      <c r="B7" s="120">
        <v>1936</v>
      </c>
      <c r="C7" s="9" t="s">
        <v>49</v>
      </c>
      <c r="D7" s="21">
        <v>5.4477188197371677E-2</v>
      </c>
      <c r="E7" s="10">
        <v>0.11671297558633223</v>
      </c>
      <c r="F7" s="14">
        <v>7.3412975586332224E-2</v>
      </c>
      <c r="G7" s="14">
        <v>0</v>
      </c>
      <c r="H7" s="15" t="s">
        <v>127</v>
      </c>
      <c r="I7" s="60">
        <f t="shared" si="0"/>
        <v>8.2409299665891827E-4</v>
      </c>
      <c r="J7" s="60">
        <f t="shared" si="1"/>
        <v>4.4894269271123879E-5</v>
      </c>
      <c r="K7" s="60">
        <f t="shared" si="2"/>
        <v>9.61823457999197E-5</v>
      </c>
      <c r="L7" s="60">
        <f t="shared" si="3"/>
        <v>6.0499119044588529E-5</v>
      </c>
      <c r="M7" s="60">
        <f t="shared" si="4"/>
        <v>0</v>
      </c>
    </row>
    <row r="8" spans="1:13" s="38" customFormat="1" ht="15.5">
      <c r="A8" s="8" t="s">
        <v>283</v>
      </c>
      <c r="B8" s="120">
        <v>66383.287002996891</v>
      </c>
      <c r="C8" s="9" t="s">
        <v>77</v>
      </c>
      <c r="D8" s="21">
        <v>6.4371549301595152E-2</v>
      </c>
      <c r="E8" s="10">
        <v>0.13004652884453358</v>
      </c>
      <c r="F8" s="14">
        <v>8.6746528844533571E-2</v>
      </c>
      <c r="G8" s="14">
        <v>0.3</v>
      </c>
      <c r="H8" s="15" t="s">
        <v>127</v>
      </c>
      <c r="I8" s="60">
        <f t="shared" si="0"/>
        <v>2.8257232393785497E-2</v>
      </c>
      <c r="J8" s="60">
        <f t="shared" si="1"/>
        <v>1.8189618281631947E-3</v>
      </c>
      <c r="K8" s="60">
        <f t="shared" si="2"/>
        <v>3.6747549875651144E-3</v>
      </c>
      <c r="L8" s="60">
        <f t="shared" si="3"/>
        <v>2.451216824914202E-3</v>
      </c>
      <c r="M8" s="60">
        <f t="shared" si="4"/>
        <v>8.4771697181356496E-3</v>
      </c>
    </row>
    <row r="9" spans="1:13" s="38" customFormat="1" ht="15.5">
      <c r="A9" s="8" t="s">
        <v>284</v>
      </c>
      <c r="B9" s="120">
        <v>15321.055818326313</v>
      </c>
      <c r="C9" s="9" t="s">
        <v>58</v>
      </c>
      <c r="D9" s="21">
        <v>8.9165654186296364E-2</v>
      </c>
      <c r="E9" s="10">
        <v>0.1634588446562617</v>
      </c>
      <c r="F9" s="14">
        <v>0.1201588446562617</v>
      </c>
      <c r="G9" s="14">
        <v>0.28000000000000003</v>
      </c>
      <c r="H9" s="15" t="s">
        <v>127</v>
      </c>
      <c r="I9" s="60">
        <f t="shared" si="0"/>
        <v>6.5216811990201889E-3</v>
      </c>
      <c r="J9" s="60">
        <f t="shared" si="1"/>
        <v>5.8150997050510479E-4</v>
      </c>
      <c r="K9" s="60">
        <f t="shared" si="2"/>
        <v>1.0660264740083036E-3</v>
      </c>
      <c r="L9" s="60">
        <f t="shared" si="3"/>
        <v>7.8363767809072941E-4</v>
      </c>
      <c r="M9" s="60">
        <f t="shared" si="4"/>
        <v>1.8260707357256531E-3</v>
      </c>
    </row>
    <row r="10" spans="1:13" s="38" customFormat="1" ht="15.5">
      <c r="A10" s="8" t="s">
        <v>279</v>
      </c>
      <c r="B10" s="120">
        <v>78788.828906863448</v>
      </c>
      <c r="C10" s="9" t="s">
        <v>79</v>
      </c>
      <c r="D10" s="21">
        <v>2.9799487560955448E-2</v>
      </c>
      <c r="E10" s="10">
        <v>8.3457525107053523E-2</v>
      </c>
      <c r="F10" s="14">
        <v>4.0157525107053525E-2</v>
      </c>
      <c r="G10" s="14">
        <v>0.25</v>
      </c>
      <c r="H10" s="15" t="s">
        <v>127</v>
      </c>
      <c r="I10" s="60">
        <f t="shared" si="0"/>
        <v>3.3537872994371845E-2</v>
      </c>
      <c r="J10" s="60">
        <f t="shared" si="1"/>
        <v>9.9941142911668746E-4</v>
      </c>
      <c r="K10" s="60">
        <f t="shared" si="2"/>
        <v>2.7989878774649607E-3</v>
      </c>
      <c r="L10" s="60">
        <f t="shared" si="3"/>
        <v>1.3467979768086598E-3</v>
      </c>
      <c r="M10" s="60">
        <f t="shared" si="4"/>
        <v>8.3844682485929613E-3</v>
      </c>
    </row>
    <row r="11" spans="1:13" s="38" customFormat="1" ht="15.5">
      <c r="A11" s="8" t="s">
        <v>104</v>
      </c>
      <c r="B11" s="120">
        <v>395926.07516300579</v>
      </c>
      <c r="C11" s="9" t="s">
        <v>99</v>
      </c>
      <c r="D11" s="21">
        <v>7.4265910405818647E-2</v>
      </c>
      <c r="E11" s="10">
        <v>0.14338008210273495</v>
      </c>
      <c r="F11" s="14">
        <v>0.10008008210273495</v>
      </c>
      <c r="G11" s="14">
        <v>0.22500000000000001</v>
      </c>
      <c r="H11" s="15" t="s">
        <v>127</v>
      </c>
      <c r="I11" s="60">
        <f t="shared" si="0"/>
        <v>0.16853300916140782</v>
      </c>
      <c r="J11" s="60">
        <f t="shared" si="1"/>
        <v>1.2516257358804126E-2</v>
      </c>
      <c r="K11" s="60">
        <f t="shared" si="2"/>
        <v>2.4164276690583634E-2</v>
      </c>
      <c r="L11" s="60">
        <f t="shared" si="3"/>
        <v>1.6866797393894677E-2</v>
      </c>
      <c r="M11" s="60">
        <f t="shared" si="4"/>
        <v>3.7919927061316756E-2</v>
      </c>
    </row>
    <row r="12" spans="1:13" s="38" customFormat="1" ht="15.5">
      <c r="A12" s="8" t="s">
        <v>280</v>
      </c>
      <c r="B12" s="120">
        <v>163697.92759398237</v>
      </c>
      <c r="C12" s="9" t="s">
        <v>58</v>
      </c>
      <c r="D12" s="21">
        <v>8.9165654186296364E-2</v>
      </c>
      <c r="E12" s="10">
        <v>0.1634588446562617</v>
      </c>
      <c r="F12" s="14">
        <v>0.1201588446562617</v>
      </c>
      <c r="G12" s="14">
        <v>0.3</v>
      </c>
      <c r="H12" s="15" t="s">
        <v>127</v>
      </c>
      <c r="I12" s="60">
        <f t="shared" si="0"/>
        <v>6.9680948191001832E-2</v>
      </c>
      <c r="J12" s="60">
        <f t="shared" si="1"/>
        <v>6.2131473297721024E-3</v>
      </c>
      <c r="K12" s="60">
        <f t="shared" si="2"/>
        <v>1.1389967285853989E-2</v>
      </c>
      <c r="L12" s="60">
        <f t="shared" si="3"/>
        <v>8.3727822291836083E-3</v>
      </c>
      <c r="M12" s="60">
        <f t="shared" si="4"/>
        <v>2.090428445730055E-2</v>
      </c>
    </row>
    <row r="13" spans="1:13" s="38" customFormat="1" ht="15.5">
      <c r="A13" s="8" t="s">
        <v>217</v>
      </c>
      <c r="B13" s="120">
        <v>20516.134388660783</v>
      </c>
      <c r="C13" s="9" t="s">
        <v>58</v>
      </c>
      <c r="D13" s="21">
        <v>8.9165654186296364E-2</v>
      </c>
      <c r="E13" s="10">
        <v>0.1634588446562617</v>
      </c>
      <c r="F13" s="14">
        <v>0.1201588446562617</v>
      </c>
      <c r="G13" s="14">
        <v>0.3</v>
      </c>
      <c r="H13" s="15" t="s">
        <v>127</v>
      </c>
      <c r="I13" s="60">
        <f t="shared" si="0"/>
        <v>8.7330592294465638E-3</v>
      </c>
      <c r="J13" s="60">
        <f t="shared" si="1"/>
        <v>7.7868893924127615E-4</v>
      </c>
      <c r="K13" s="60">
        <f t="shared" si="2"/>
        <v>1.4274957719600384E-3</v>
      </c>
      <c r="L13" s="60">
        <f t="shared" si="3"/>
        <v>1.0493543073250022E-3</v>
      </c>
      <c r="M13" s="60">
        <f t="shared" si="4"/>
        <v>2.619917768833969E-3</v>
      </c>
    </row>
    <row r="14" spans="1:13" s="38" customFormat="1" ht="15.5">
      <c r="A14" s="8" t="s">
        <v>218</v>
      </c>
      <c r="B14" s="120">
        <v>76370.394412416266</v>
      </c>
      <c r="C14" s="9" t="s">
        <v>58</v>
      </c>
      <c r="D14" s="21">
        <v>8.9165654186296364E-2</v>
      </c>
      <c r="E14" s="10">
        <v>0.1634588446562617</v>
      </c>
      <c r="F14" s="14">
        <v>0.1201588446562617</v>
      </c>
      <c r="G14" s="14">
        <v>0.25</v>
      </c>
      <c r="H14" s="15" t="s">
        <v>127</v>
      </c>
      <c r="I14" s="60">
        <f t="shared" si="0"/>
        <v>3.2508423133962613E-2</v>
      </c>
      <c r="J14" s="60">
        <f t="shared" si="1"/>
        <v>2.8986348153047072E-3</v>
      </c>
      <c r="K14" s="60">
        <f t="shared" si="2"/>
        <v>5.3137892870744191E-3</v>
      </c>
      <c r="L14" s="60">
        <f t="shared" si="3"/>
        <v>3.9061745653738377E-3</v>
      </c>
      <c r="M14" s="60">
        <f t="shared" si="4"/>
        <v>8.1271057834906534E-3</v>
      </c>
    </row>
    <row r="15" spans="1:13" s="38" customFormat="1" ht="15.5">
      <c r="A15" s="8" t="s">
        <v>181</v>
      </c>
      <c r="B15" s="120">
        <v>107440.57583804752</v>
      </c>
      <c r="C15" s="9" t="s">
        <v>99</v>
      </c>
      <c r="D15" s="21">
        <v>7.4265910405818647E-2</v>
      </c>
      <c r="E15" s="10">
        <v>0.14338008210273495</v>
      </c>
      <c r="F15" s="14">
        <v>0.10008008210273495</v>
      </c>
      <c r="G15" s="14">
        <v>0.3</v>
      </c>
      <c r="H15" s="15" t="s">
        <v>127</v>
      </c>
      <c r="I15" s="60">
        <f t="shared" si="0"/>
        <v>4.5734001087363814E-2</v>
      </c>
      <c r="J15" s="60">
        <f t="shared" si="1"/>
        <v>3.3964772272537737E-3</v>
      </c>
      <c r="K15" s="60">
        <f t="shared" si="2"/>
        <v>6.5573448307927936E-3</v>
      </c>
      <c r="L15" s="60">
        <f t="shared" si="3"/>
        <v>4.5770625837099396E-3</v>
      </c>
      <c r="M15" s="60">
        <f t="shared" si="4"/>
        <v>1.3720200326209143E-2</v>
      </c>
    </row>
    <row r="16" spans="1:13" s="38" customFormat="1" ht="15.5">
      <c r="A16" s="8" t="s">
        <v>320</v>
      </c>
      <c r="B16" s="120">
        <v>20904.898296250143</v>
      </c>
      <c r="C16" s="9" t="s">
        <v>58</v>
      </c>
      <c r="D16" s="21">
        <v>8.9165654186296364E-2</v>
      </c>
      <c r="E16" s="10">
        <v>0.1634588446562617</v>
      </c>
      <c r="F16" s="14">
        <v>0.1201588446562617</v>
      </c>
      <c r="G16" s="14">
        <v>0.26860000000000001</v>
      </c>
      <c r="H16" s="15" t="s">
        <v>127</v>
      </c>
      <c r="I16" s="60">
        <f t="shared" si="0"/>
        <v>8.8985435339910615E-3</v>
      </c>
      <c r="J16" s="60">
        <f t="shared" si="1"/>
        <v>7.9344445551355052E-4</v>
      </c>
      <c r="K16" s="60">
        <f t="shared" si="2"/>
        <v>1.454545645189627E-3</v>
      </c>
      <c r="L16" s="60">
        <f t="shared" si="3"/>
        <v>1.069238710167814E-3</v>
      </c>
      <c r="M16" s="60">
        <f t="shared" si="4"/>
        <v>2.390148793229999E-3</v>
      </c>
    </row>
    <row r="17" spans="1:13" s="38" customFormat="1" ht="15.5">
      <c r="A17" s="8" t="s">
        <v>15</v>
      </c>
      <c r="B17" s="120">
        <v>14397.127281382942</v>
      </c>
      <c r="C17" s="9" t="s">
        <v>123</v>
      </c>
      <c r="D17" s="21">
        <v>2.1767594429291676E-2</v>
      </c>
      <c r="E17" s="10">
        <v>7.2633817168042999E-2</v>
      </c>
      <c r="F17" s="14">
        <v>2.9333817168043005E-2</v>
      </c>
      <c r="G17" s="14">
        <v>0.15</v>
      </c>
      <c r="H17" s="15" t="s">
        <v>127</v>
      </c>
      <c r="I17" s="60">
        <f>B17/$B$32</f>
        <v>6.1283945065055438E-3</v>
      </c>
      <c r="J17" s="60">
        <f t="shared" si="1"/>
        <v>1.3340040612031179E-4</v>
      </c>
      <c r="K17" s="60">
        <f t="shared" si="2"/>
        <v>4.4512868611916277E-4</v>
      </c>
      <c r="L17" s="60">
        <f t="shared" si="3"/>
        <v>1.7976920398747275E-4</v>
      </c>
      <c r="M17" s="60">
        <f>I17*G17</f>
        <v>9.1925917597583152E-4</v>
      </c>
    </row>
    <row r="18" spans="1:13" s="38" customFormat="1" ht="15.5">
      <c r="A18" s="8" t="s">
        <v>18</v>
      </c>
      <c r="B18" s="120">
        <v>141109.37320941436</v>
      </c>
      <c r="C18" s="9" t="s">
        <v>78</v>
      </c>
      <c r="D18" s="21">
        <v>2.4794104884701216E-2</v>
      </c>
      <c r="E18" s="10">
        <v>7.6712315811728132E-2</v>
      </c>
      <c r="F18" s="14">
        <v>3.3412315811728134E-2</v>
      </c>
      <c r="G18" s="14">
        <v>0.32</v>
      </c>
      <c r="H18" s="15" t="s">
        <v>127</v>
      </c>
      <c r="I18" s="60">
        <f t="shared" si="0"/>
        <v>6.0065726355789231E-2</v>
      </c>
      <c r="J18" s="60">
        <f t="shared" si="1"/>
        <v>1.4892759192412003E-3</v>
      </c>
      <c r="K18" s="60">
        <f t="shared" si="2"/>
        <v>4.6077809696661457E-3</v>
      </c>
      <c r="L18" s="60">
        <f t="shared" si="3"/>
        <v>2.0069350184604719E-3</v>
      </c>
      <c r="M18" s="60">
        <f t="shared" si="4"/>
        <v>1.9221032433852554E-2</v>
      </c>
    </row>
    <row r="19" spans="1:13" s="38" customFormat="1" ht="15.5">
      <c r="A19" s="8" t="s">
        <v>223</v>
      </c>
      <c r="B19" s="120">
        <v>20624.597846549506</v>
      </c>
      <c r="C19" s="9" t="s">
        <v>58</v>
      </c>
      <c r="D19" s="21">
        <v>8.9165654186296364E-2</v>
      </c>
      <c r="E19" s="10">
        <v>0.1634588446562617</v>
      </c>
      <c r="F19" s="14">
        <v>0.1201588446562617</v>
      </c>
      <c r="G19" s="14">
        <v>0.32</v>
      </c>
      <c r="H19" s="15" t="s">
        <v>127</v>
      </c>
      <c r="I19" s="60">
        <f t="shared" si="0"/>
        <v>8.7792286385578785E-3</v>
      </c>
      <c r="J19" s="60">
        <f t="shared" si="1"/>
        <v>7.8280566480808122E-4</v>
      </c>
      <c r="K19" s="60">
        <f t="shared" si="2"/>
        <v>1.4350425702318362E-3</v>
      </c>
      <c r="L19" s="60">
        <f t="shared" si="3"/>
        <v>1.05490197018228E-3</v>
      </c>
      <c r="M19" s="60">
        <f t="shared" si="4"/>
        <v>2.8093531643385212E-3</v>
      </c>
    </row>
    <row r="20" spans="1:13" s="38" customFormat="1" ht="15.5">
      <c r="A20" s="8" t="s">
        <v>135</v>
      </c>
      <c r="B20" s="120">
        <v>12351.024843746696</v>
      </c>
      <c r="C20" s="9" t="s">
        <v>48</v>
      </c>
      <c r="D20" s="21">
        <v>4.4582827093148182E-2</v>
      </c>
      <c r="E20" s="10">
        <v>0.10337942232813085</v>
      </c>
      <c r="F20" s="14">
        <v>6.0079422328130849E-2</v>
      </c>
      <c r="G20" s="14">
        <v>0.32</v>
      </c>
      <c r="H20" s="15" t="s">
        <v>127</v>
      </c>
      <c r="I20" s="60">
        <f t="shared" si="0"/>
        <v>5.2574344397169227E-3</v>
      </c>
      <c r="J20" s="60">
        <f t="shared" si="1"/>
        <v>2.3439129057946194E-4</v>
      </c>
      <c r="K20" s="60">
        <f t="shared" si="2"/>
        <v>5.4351053530595579E-4</v>
      </c>
      <c r="L20" s="60">
        <f t="shared" si="3"/>
        <v>3.1586362406621298E-4</v>
      </c>
      <c r="M20" s="60">
        <f t="shared" si="4"/>
        <v>1.6823790207094152E-3</v>
      </c>
    </row>
    <row r="21" spans="1:13" s="38" customFormat="1" ht="15.5">
      <c r="A21" s="8" t="s">
        <v>316</v>
      </c>
      <c r="B21" s="120">
        <v>16819.170420565319</v>
      </c>
      <c r="C21" s="9" t="s">
        <v>62</v>
      </c>
      <c r="D21" s="21">
        <v>9.9060015290519873E-2</v>
      </c>
      <c r="E21" s="10">
        <v>0.17679239791446311</v>
      </c>
      <c r="F21" s="14">
        <v>0.1334923979144631</v>
      </c>
      <c r="G21" s="14">
        <v>0.26860000000000001</v>
      </c>
      <c r="H21" s="15" t="s">
        <v>127</v>
      </c>
      <c r="I21" s="60">
        <f>B21/$B$32</f>
        <v>7.1593804510334249E-3</v>
      </c>
      <c r="J21" s="60">
        <f>I21*D21</f>
        <v>7.0920833695002009E-4</v>
      </c>
      <c r="K21" s="60">
        <f>I21*E21</f>
        <v>1.2657240375201296E-3</v>
      </c>
      <c r="L21" s="60">
        <f>I21*F21</f>
        <v>9.5572286399038227E-4</v>
      </c>
      <c r="M21" s="60">
        <f>I21*G21</f>
        <v>1.923009589147578E-3</v>
      </c>
    </row>
    <row r="22" spans="1:13" s="38" customFormat="1" ht="15.5">
      <c r="A22" s="8" t="s">
        <v>185</v>
      </c>
      <c r="B22" s="120">
        <v>362814.95169607276</v>
      </c>
      <c r="C22" s="9" t="s">
        <v>99</v>
      </c>
      <c r="D22" s="21">
        <v>7.4265910405818647E-2</v>
      </c>
      <c r="E22" s="10">
        <v>0.14338008210273495</v>
      </c>
      <c r="F22" s="14">
        <v>0.10008008210273495</v>
      </c>
      <c r="G22" s="14">
        <v>0.3</v>
      </c>
      <c r="H22" s="15" t="s">
        <v>127</v>
      </c>
      <c r="I22" s="60">
        <f t="shared" si="0"/>
        <v>0.15443866775613496</v>
      </c>
      <c r="J22" s="60">
        <f t="shared" si="1"/>
        <v>1.1469528262771112E-2</v>
      </c>
      <c r="K22" s="60">
        <f t="shared" si="2"/>
        <v>2.2143428862711634E-2</v>
      </c>
      <c r="L22" s="60">
        <f t="shared" si="3"/>
        <v>1.5456234548870991E-2</v>
      </c>
      <c r="M22" s="60">
        <f t="shared" si="4"/>
        <v>4.6331600326840486E-2</v>
      </c>
    </row>
    <row r="23" spans="1:13" s="38" customFormat="1" ht="15.5">
      <c r="A23" s="8" t="s">
        <v>224</v>
      </c>
      <c r="B23" s="120">
        <v>14097.76864766952</v>
      </c>
      <c r="C23" s="9" t="s">
        <v>49</v>
      </c>
      <c r="D23" s="21">
        <v>5.4477188197371677E-2</v>
      </c>
      <c r="E23" s="10">
        <v>0.11671297558633223</v>
      </c>
      <c r="F23" s="14">
        <v>7.3412975586332224E-2</v>
      </c>
      <c r="G23" s="14">
        <v>0.3</v>
      </c>
      <c r="H23" s="15" t="s">
        <v>127</v>
      </c>
      <c r="I23" s="60">
        <f t="shared" si="0"/>
        <v>6.0009671544742358E-3</v>
      </c>
      <c r="J23" s="60">
        <f t="shared" si="1"/>
        <v>3.2691581704053895E-4</v>
      </c>
      <c r="K23" s="60">
        <f t="shared" si="2"/>
        <v>7.0039073299453308E-4</v>
      </c>
      <c r="L23" s="60">
        <f t="shared" si="3"/>
        <v>4.4054885520579862E-4</v>
      </c>
      <c r="M23" s="60">
        <f t="shared" si="4"/>
        <v>1.8002901463422707E-3</v>
      </c>
    </row>
    <row r="24" spans="1:13" s="38" customFormat="1" ht="15.5">
      <c r="A24" s="8" t="s">
        <v>134</v>
      </c>
      <c r="B24" s="120">
        <v>31013.986429186058</v>
      </c>
      <c r="C24" s="9" t="s">
        <v>48</v>
      </c>
      <c r="D24" s="21">
        <v>4.4582827093148182E-2</v>
      </c>
      <c r="E24" s="10">
        <v>0.10337942232813085</v>
      </c>
      <c r="F24" s="14">
        <v>6.0079422328130849E-2</v>
      </c>
      <c r="G24" s="14">
        <v>0.3</v>
      </c>
      <c r="H24" s="15" t="s">
        <v>127</v>
      </c>
      <c r="I24" s="60">
        <f t="shared" si="0"/>
        <v>1.3201657548949877E-2</v>
      </c>
      <c r="J24" s="60">
        <f t="shared" si="1"/>
        <v>5.8856721584778682E-4</v>
      </c>
      <c r="K24" s="60">
        <f t="shared" si="2"/>
        <v>1.3647797311842462E-3</v>
      </c>
      <c r="L24" s="60">
        <f t="shared" si="3"/>
        <v>7.9314795931471644E-4</v>
      </c>
      <c r="M24" s="60">
        <f t="shared" si="4"/>
        <v>3.9604972646849626E-3</v>
      </c>
    </row>
    <row r="25" spans="1:13" s="38" customFormat="1" ht="15.5">
      <c r="A25" s="8" t="s">
        <v>75</v>
      </c>
      <c r="B25" s="120">
        <v>377781.60098587308</v>
      </c>
      <c r="C25" s="9" t="s">
        <v>79</v>
      </c>
      <c r="D25" s="21">
        <v>2.9799487560955448E-2</v>
      </c>
      <c r="E25" s="10">
        <v>8.3457525107053523E-2</v>
      </c>
      <c r="F25" s="14">
        <v>4.0157525107053525E-2</v>
      </c>
      <c r="G25" s="14">
        <v>0.27</v>
      </c>
      <c r="H25" s="15" t="s">
        <v>127</v>
      </c>
      <c r="I25" s="60">
        <f t="shared" si="0"/>
        <v>0.16080948948298135</v>
      </c>
      <c r="J25" s="60">
        <f t="shared" si="1"/>
        <v>4.7920403815316986E-3</v>
      </c>
      <c r="K25" s="60">
        <f t="shared" si="2"/>
        <v>1.3420762005978375E-2</v>
      </c>
      <c r="L25" s="60">
        <f t="shared" si="3"/>
        <v>6.457711111365283E-3</v>
      </c>
      <c r="M25" s="60">
        <f t="shared" si="4"/>
        <v>4.3418562160404968E-2</v>
      </c>
    </row>
    <row r="26" spans="1:13" ht="15.5">
      <c r="A26" s="8" t="s">
        <v>382</v>
      </c>
      <c r="B26" s="120">
        <v>4597.8558450427581</v>
      </c>
      <c r="C26" s="9" t="s">
        <v>49</v>
      </c>
      <c r="D26" s="21">
        <v>5.4477188197371677E-2</v>
      </c>
      <c r="E26" s="10">
        <v>0.11671297558633223</v>
      </c>
      <c r="F26" s="14">
        <v>7.3412975586332224E-2</v>
      </c>
      <c r="G26" s="14">
        <v>0.27500000000000002</v>
      </c>
      <c r="H26" s="15" t="s">
        <v>127</v>
      </c>
      <c r="I26" s="60">
        <f>B26/$B$32</f>
        <v>1.9571595049313064E-3</v>
      </c>
      <c r="J26" s="60">
        <f>I26*D26</f>
        <v>1.0662054668241756E-4</v>
      </c>
      <c r="K26" s="60">
        <f>I26*E26</f>
        <v>2.2842590951760563E-4</v>
      </c>
      <c r="L26" s="60">
        <f>I26*F26</f>
        <v>1.4368090295408006E-4</v>
      </c>
      <c r="M26" s="60">
        <f>I26*G26</f>
        <v>5.3821886385610929E-4</v>
      </c>
    </row>
    <row r="27" spans="1:13" s="38" customFormat="1" ht="15.5">
      <c r="A27" s="8" t="s">
        <v>327</v>
      </c>
      <c r="B27" s="120">
        <v>79158.286333523982</v>
      </c>
      <c r="C27" s="9" t="s">
        <v>48</v>
      </c>
      <c r="D27" s="21">
        <v>4.4582827093148182E-2</v>
      </c>
      <c r="E27" s="10">
        <v>0.10337942232813085</v>
      </c>
      <c r="F27" s="14">
        <v>6.0079422328130849E-2</v>
      </c>
      <c r="G27" s="14">
        <v>0.3</v>
      </c>
      <c r="H27" s="15" t="s">
        <v>127</v>
      </c>
      <c r="I27" s="60">
        <f t="shared" si="0"/>
        <v>3.36951391502988E-2</v>
      </c>
      <c r="J27" s="60">
        <f t="shared" si="1"/>
        <v>1.5022245626173394E-3</v>
      </c>
      <c r="K27" s="60">
        <f t="shared" si="2"/>
        <v>3.4833840206238758E-3</v>
      </c>
      <c r="L27" s="60">
        <f t="shared" si="3"/>
        <v>2.0243844954159376E-3</v>
      </c>
      <c r="M27" s="60">
        <f t="shared" si="4"/>
        <v>1.010854174508964E-2</v>
      </c>
    </row>
    <row r="28" spans="1:13" s="38" customFormat="1" ht="15.5">
      <c r="A28" s="8" t="s">
        <v>319</v>
      </c>
      <c r="B28" s="120">
        <v>9171.2618350626417</v>
      </c>
      <c r="C28" s="9" t="s">
        <v>77</v>
      </c>
      <c r="D28" s="21">
        <v>6.4371549301595152E-2</v>
      </c>
      <c r="E28" s="10">
        <v>0.13004652884453358</v>
      </c>
      <c r="F28" s="14">
        <v>8.6746528844533571E-2</v>
      </c>
      <c r="G28" s="14">
        <v>0.26860000000000001</v>
      </c>
      <c r="H28" s="15" t="s">
        <v>127</v>
      </c>
      <c r="I28" s="60">
        <f>B28/$B$32</f>
        <v>3.903911492148937E-3</v>
      </c>
      <c r="J28" s="60">
        <f>I28*D28</f>
        <v>2.5130083108592917E-4</v>
      </c>
      <c r="K28" s="60">
        <f>I28*E28</f>
        <v>5.0769013847025283E-4</v>
      </c>
      <c r="L28" s="60">
        <f>I28*F28</f>
        <v>3.3865077086020387E-4</v>
      </c>
      <c r="M28" s="60">
        <f>I28*G28</f>
        <v>1.0485906267912045E-3</v>
      </c>
    </row>
    <row r="29" spans="1:13" s="38" customFormat="1" ht="15.5">
      <c r="A29" s="8" t="s">
        <v>76</v>
      </c>
      <c r="B29" s="120">
        <v>48529.595416653261</v>
      </c>
      <c r="C29" s="9" t="s">
        <v>58</v>
      </c>
      <c r="D29" s="21">
        <v>8.9165654186296364E-2</v>
      </c>
      <c r="E29" s="10">
        <v>0.1634588446562617</v>
      </c>
      <c r="F29" s="14">
        <v>0.1201588446562617</v>
      </c>
      <c r="G29" s="14">
        <v>0.15</v>
      </c>
      <c r="H29" s="15" t="s">
        <v>127</v>
      </c>
      <c r="I29" s="60">
        <f t="shared" si="0"/>
        <v>2.0657489521464199E-2</v>
      </c>
      <c r="J29" s="60">
        <f t="shared" si="1"/>
        <v>1.8419385670279175E-3</v>
      </c>
      <c r="K29" s="60">
        <f t="shared" si="2"/>
        <v>3.3766493706773705E-3</v>
      </c>
      <c r="L29" s="60">
        <f t="shared" si="3"/>
        <v>2.4821800743979705E-3</v>
      </c>
      <c r="M29" s="60">
        <f t="shared" si="4"/>
        <v>3.0986234282196299E-3</v>
      </c>
    </row>
    <row r="30" spans="1:13" s="38" customFormat="1" ht="15.5">
      <c r="A30" s="8" t="s">
        <v>225</v>
      </c>
      <c r="B30" s="120">
        <v>49272.882213623001</v>
      </c>
      <c r="C30" s="9" t="s">
        <v>77</v>
      </c>
      <c r="D30" s="21">
        <v>6.4371549301595152E-2</v>
      </c>
      <c r="E30" s="10">
        <v>0.13004652884453358</v>
      </c>
      <c r="F30" s="14">
        <v>8.6746528844533571E-2</v>
      </c>
      <c r="G30" s="14">
        <v>0.3</v>
      </c>
      <c r="H30" s="15" t="s">
        <v>127</v>
      </c>
      <c r="I30" s="60">
        <f>B30/$B$32</f>
        <v>2.0973882829259553E-2</v>
      </c>
      <c r="J30" s="60">
        <f>I30*D30</f>
        <v>1.3501213325895613E-3</v>
      </c>
      <c r="K30" s="60">
        <f>I30*E30</f>
        <v>2.7275806583371698E-3</v>
      </c>
      <c r="L30" s="60">
        <f>I30*F30</f>
        <v>1.8194115318302313E-3</v>
      </c>
      <c r="M30" s="60">
        <f>I30*G30</f>
        <v>6.292164848777866E-3</v>
      </c>
    </row>
    <row r="31" spans="1:13" s="38" customFormat="1" ht="15.5">
      <c r="A31" s="8" t="s">
        <v>189</v>
      </c>
      <c r="B31" s="120">
        <v>28162.630953928499</v>
      </c>
      <c r="C31" s="9" t="s">
        <v>58</v>
      </c>
      <c r="D31" s="21">
        <v>8.9165654186296364E-2</v>
      </c>
      <c r="E31" s="10">
        <v>0.1634588446562617</v>
      </c>
      <c r="F31" s="14">
        <v>0.1201588446562617</v>
      </c>
      <c r="G31" s="14">
        <v>0.35</v>
      </c>
      <c r="H31" s="15" t="s">
        <v>127</v>
      </c>
      <c r="I31" s="60">
        <f>B31/$B$32</f>
        <v>1.1987927136684992E-2</v>
      </c>
      <c r="J31" s="60">
        <f>I31*D31</f>
        <v>1.068911365480172E-3</v>
      </c>
      <c r="K31" s="60">
        <f>I31*E31</f>
        <v>1.9595327195859762E-3</v>
      </c>
      <c r="L31" s="60">
        <f>I31*F31</f>
        <v>1.4404554745675161E-3</v>
      </c>
      <c r="M31" s="60">
        <f>I31*G31</f>
        <v>4.1957744978397471E-3</v>
      </c>
    </row>
    <row r="32" spans="1:13" s="32" customFormat="1" ht="15.5">
      <c r="A32" s="58" t="s">
        <v>127</v>
      </c>
      <c r="B32" s="141">
        <f>SUM(B2:B31)</f>
        <v>2349249.4267625553</v>
      </c>
      <c r="C32" s="53"/>
      <c r="D32" s="54">
        <f>SUM(J2:J31)</f>
        <v>6.163973704915901E-2</v>
      </c>
      <c r="E32" s="54">
        <f>SUM(K2:K31)</f>
        <v>0.12636516288511693</v>
      </c>
      <c r="F32" s="54">
        <f>SUM(L2:L31)</f>
        <v>8.3065162885116936E-2</v>
      </c>
      <c r="G32" s="54">
        <f>SUM(M2:M31)</f>
        <v>0.27421914500863898</v>
      </c>
      <c r="H32" s="58"/>
      <c r="I32" s="61">
        <f>SUM(I2:I31)</f>
        <v>0.99999999999999989</v>
      </c>
    </row>
    <row r="33" spans="1:13" s="32" customFormat="1" ht="15.5">
      <c r="A33" s="8" t="s">
        <v>131</v>
      </c>
      <c r="B33" s="120">
        <v>437415.33104099432</v>
      </c>
      <c r="C33" s="9" t="s">
        <v>49</v>
      </c>
      <c r="D33" s="21">
        <v>5.4477188197371677E-2</v>
      </c>
      <c r="E33" s="10">
        <v>0.11671297558633223</v>
      </c>
      <c r="F33" s="14">
        <v>7.3412975586332224E-2</v>
      </c>
      <c r="G33" s="14">
        <v>0.3</v>
      </c>
      <c r="H33" s="15" t="s">
        <v>128</v>
      </c>
      <c r="I33" s="60">
        <f t="shared" ref="I33:I51" si="5">B33/$B$57</f>
        <v>1.3191683335629556E-2</v>
      </c>
      <c r="J33" s="60">
        <f t="shared" ref="J33" si="6">I33*D33</f>
        <v>7.1864581571522309E-4</v>
      </c>
      <c r="K33" s="60">
        <f t="shared" ref="K33" si="7">I33*E33</f>
        <v>1.5396406150939581E-3</v>
      </c>
      <c r="L33" s="60">
        <f t="shared" ref="L33" si="8">I33*F33</f>
        <v>9.6844072666119822E-4</v>
      </c>
      <c r="M33" s="60">
        <f t="shared" ref="M33" si="9">I33*G33</f>
        <v>3.9575050006888665E-3</v>
      </c>
    </row>
    <row r="34" spans="1:13" s="38" customFormat="1" ht="15.5">
      <c r="A34" s="8" t="s">
        <v>6</v>
      </c>
      <c r="B34" s="120">
        <v>31772.759998857127</v>
      </c>
      <c r="C34" s="9" t="s">
        <v>49</v>
      </c>
      <c r="D34" s="21">
        <v>5.4477188197371677E-2</v>
      </c>
      <c r="E34" s="10">
        <v>0.11671297558633223</v>
      </c>
      <c r="F34" s="14">
        <v>7.3412975586332224E-2</v>
      </c>
      <c r="G34" s="14">
        <v>0.2</v>
      </c>
      <c r="H34" s="15" t="s">
        <v>128</v>
      </c>
      <c r="I34" s="60">
        <f t="shared" si="5"/>
        <v>9.5821101561847119E-4</v>
      </c>
      <c r="J34" s="60">
        <f t="shared" ref="J34:J56" si="10">I34*D34</f>
        <v>5.2200641830642109E-5</v>
      </c>
      <c r="K34" s="60">
        <f t="shared" ref="K34:K56" si="11">I34*E34</f>
        <v>1.1183565887243323E-4</v>
      </c>
      <c r="L34" s="60">
        <f t="shared" ref="L34:L56" si="12">I34*F34</f>
        <v>7.0345121896153427E-5</v>
      </c>
      <c r="M34" s="60">
        <f t="shared" si="4"/>
        <v>1.9164220312369425E-4</v>
      </c>
    </row>
    <row r="35" spans="1:13" s="38" customFormat="1" ht="15.5">
      <c r="A35" s="8" t="s">
        <v>96</v>
      </c>
      <c r="B35" s="120">
        <v>17794781.986104459</v>
      </c>
      <c r="C35" s="9" t="s">
        <v>41</v>
      </c>
      <c r="D35" s="21">
        <v>6.9842548970989338E-3</v>
      </c>
      <c r="E35" s="10">
        <v>5.2711919946965669E-2</v>
      </c>
      <c r="F35" s="14">
        <v>9.4119199469656703E-3</v>
      </c>
      <c r="G35" s="14">
        <v>0.25</v>
      </c>
      <c r="H35" s="15" t="s">
        <v>128</v>
      </c>
      <c r="I35" s="60">
        <f t="shared" si="5"/>
        <v>0.53665958261818492</v>
      </c>
      <c r="J35" s="60">
        <f t="shared" si="10"/>
        <v>3.7481673179761278E-3</v>
      </c>
      <c r="K35" s="60">
        <f t="shared" si="11"/>
        <v>2.8288356957741772E-2</v>
      </c>
      <c r="L35" s="60">
        <f t="shared" si="12"/>
        <v>5.050997030374366E-3</v>
      </c>
      <c r="M35" s="60">
        <f t="shared" si="4"/>
        <v>0.13416489565454623</v>
      </c>
    </row>
    <row r="36" spans="1:13" s="38" customFormat="1" ht="15.5">
      <c r="A36" s="8" t="s">
        <v>216</v>
      </c>
      <c r="B36" s="120">
        <v>5494.7975407336471</v>
      </c>
      <c r="C36" s="9" t="s">
        <v>48</v>
      </c>
      <c r="D36" s="21">
        <v>4.4582827093148182E-2</v>
      </c>
      <c r="E36" s="10">
        <v>0.10337942232813085</v>
      </c>
      <c r="F36" s="14">
        <v>6.0079422328130849E-2</v>
      </c>
      <c r="G36" s="14">
        <v>0.2</v>
      </c>
      <c r="H36" s="15" t="s">
        <v>128</v>
      </c>
      <c r="I36" s="60">
        <f t="shared" si="5"/>
        <v>1.6571350843658703E-4</v>
      </c>
      <c r="J36" s="60">
        <f t="shared" si="10"/>
        <v>7.3879766936273121E-6</v>
      </c>
      <c r="K36" s="60">
        <f t="shared" si="11"/>
        <v>1.7131366774142205E-5</v>
      </c>
      <c r="L36" s="60">
        <f t="shared" si="12"/>
        <v>9.955971858837986E-6</v>
      </c>
      <c r="M36" s="60">
        <f t="shared" si="4"/>
        <v>3.3142701687317404E-5</v>
      </c>
    </row>
    <row r="37" spans="1:13" s="38" customFormat="1" ht="15.5">
      <c r="A37" s="8" t="s">
        <v>59</v>
      </c>
      <c r="B37" s="120">
        <v>382054.57429852907</v>
      </c>
      <c r="C37" s="9" t="s">
        <v>46</v>
      </c>
      <c r="D37" s="21">
        <v>5.9366166625340932E-3</v>
      </c>
      <c r="E37" s="10">
        <v>5.1300131954920822E-2</v>
      </c>
      <c r="F37" s="14">
        <v>8.0001319549208201E-3</v>
      </c>
      <c r="G37" s="14">
        <v>0.16500000000000001</v>
      </c>
      <c r="H37" s="15" t="s">
        <v>128</v>
      </c>
      <c r="I37" s="60">
        <f t="shared" si="5"/>
        <v>1.1522099486272029E-2</v>
      </c>
      <c r="J37" s="60">
        <f t="shared" si="10"/>
        <v>6.8402287797578046E-5</v>
      </c>
      <c r="K37" s="60">
        <f t="shared" si="11"/>
        <v>5.9108522404348047E-4</v>
      </c>
      <c r="L37" s="60">
        <f t="shared" si="12"/>
        <v>9.2178316287901628E-5</v>
      </c>
      <c r="M37" s="60">
        <f t="shared" si="4"/>
        <v>1.9011464152348849E-3</v>
      </c>
    </row>
    <row r="38" spans="1:13" s="38" customFormat="1" ht="15.5">
      <c r="A38" s="8" t="s">
        <v>110</v>
      </c>
      <c r="B38" s="120">
        <v>3549918.9187775319</v>
      </c>
      <c r="C38" s="9" t="s">
        <v>123</v>
      </c>
      <c r="D38" s="21">
        <v>2.1767594429291676E-2</v>
      </c>
      <c r="E38" s="10">
        <v>7.2633817168042999E-2</v>
      </c>
      <c r="F38" s="14">
        <v>2.9333817168043005E-2</v>
      </c>
      <c r="G38" s="14">
        <v>0.3</v>
      </c>
      <c r="H38" s="15" t="s">
        <v>128</v>
      </c>
      <c r="I38" s="60">
        <f t="shared" si="5"/>
        <v>0.10705936193920199</v>
      </c>
      <c r="J38" s="60">
        <f t="shared" si="10"/>
        <v>2.3304247705512944E-3</v>
      </c>
      <c r="K38" s="60">
        <f t="shared" si="11"/>
        <v>7.7761301212193384E-3</v>
      </c>
      <c r="L38" s="60">
        <f t="shared" si="12"/>
        <v>3.1404597492518931E-3</v>
      </c>
      <c r="M38" s="60">
        <f t="shared" si="4"/>
        <v>3.2117808581760596E-2</v>
      </c>
    </row>
    <row r="39" spans="1:13" s="38" customFormat="1" ht="15.5">
      <c r="A39" s="8" t="s">
        <v>111</v>
      </c>
      <c r="B39" s="120">
        <v>1371171.152331155</v>
      </c>
      <c r="C39" s="9" t="s">
        <v>82</v>
      </c>
      <c r="D39" s="21">
        <v>1.885748822216712E-2</v>
      </c>
      <c r="E39" s="10">
        <v>6.8712183856807302E-2</v>
      </c>
      <c r="F39" s="14">
        <v>2.5412183856807311E-2</v>
      </c>
      <c r="G39" s="14">
        <v>0.22</v>
      </c>
      <c r="H39" s="15" t="s">
        <v>128</v>
      </c>
      <c r="I39" s="60">
        <f t="shared" si="5"/>
        <v>4.1352130016694987E-2</v>
      </c>
      <c r="J39" s="60">
        <f t="shared" si="10"/>
        <v>7.797973047513492E-4</v>
      </c>
      <c r="K39" s="60">
        <f t="shared" si="11"/>
        <v>2.841395160577746E-3</v>
      </c>
      <c r="L39" s="60">
        <f t="shared" si="12"/>
        <v>1.0508479308548534E-3</v>
      </c>
      <c r="M39" s="60">
        <f t="shared" si="4"/>
        <v>9.0974686036728973E-3</v>
      </c>
    </row>
    <row r="40" spans="1:13" s="38" customFormat="1" ht="15.5">
      <c r="A40" s="8" t="s">
        <v>115</v>
      </c>
      <c r="B40" s="120">
        <v>4212945.1597814029</v>
      </c>
      <c r="C40" s="9" t="s">
        <v>41</v>
      </c>
      <c r="D40" s="21">
        <v>6.9842548970989338E-3</v>
      </c>
      <c r="E40" s="10">
        <v>5.2711919946965669E-2</v>
      </c>
      <c r="F40" s="14">
        <v>9.4119199469656703E-3</v>
      </c>
      <c r="G40" s="14">
        <v>0.30620000000000003</v>
      </c>
      <c r="H40" s="15" t="s">
        <v>128</v>
      </c>
      <c r="I40" s="60">
        <f t="shared" si="5"/>
        <v>0.1270550767526733</v>
      </c>
      <c r="J40" s="60">
        <f t="shared" si="10"/>
        <v>8.8738504201113944E-4</v>
      </c>
      <c r="K40" s="60">
        <f t="shared" si="11"/>
        <v>6.6973170346424941E-3</v>
      </c>
      <c r="L40" s="60">
        <f t="shared" si="12"/>
        <v>1.19583221125174E-3</v>
      </c>
      <c r="M40" s="60">
        <f t="shared" si="4"/>
        <v>3.8904264501668569E-2</v>
      </c>
    </row>
    <row r="41" spans="1:13" s="38" customFormat="1" ht="15.5">
      <c r="A41" s="8" t="s">
        <v>118</v>
      </c>
      <c r="B41" s="120">
        <v>1712792.8542023688</v>
      </c>
      <c r="C41" s="9" t="s">
        <v>45</v>
      </c>
      <c r="D41" s="21">
        <v>4.8889784279692525E-3</v>
      </c>
      <c r="E41" s="10">
        <v>4.9888343962875968E-2</v>
      </c>
      <c r="F41" s="14">
        <v>6.5883439628759682E-3</v>
      </c>
      <c r="G41" s="14">
        <v>0.25</v>
      </c>
      <c r="H41" s="15" t="s">
        <v>128</v>
      </c>
      <c r="I41" s="60">
        <f t="shared" si="5"/>
        <v>5.1654844603627341E-2</v>
      </c>
      <c r="J41" s="60">
        <f t="shared" si="10"/>
        <v>2.5253942096723804E-4</v>
      </c>
      <c r="K41" s="60">
        <f t="shared" si="11"/>
        <v>2.5769746549346682E-3</v>
      </c>
      <c r="L41" s="60">
        <f t="shared" si="12"/>
        <v>3.4031988359760449E-4</v>
      </c>
      <c r="M41" s="60">
        <f t="shared" si="4"/>
        <v>1.2913711150906835E-2</v>
      </c>
    </row>
    <row r="42" spans="1:13" s="38" customFormat="1" ht="15.5">
      <c r="A42" s="8" t="s">
        <v>337</v>
      </c>
      <c r="B42" s="120">
        <v>15843.155731255179</v>
      </c>
      <c r="C42" s="9" t="s">
        <v>62</v>
      </c>
      <c r="D42" s="21">
        <v>9.9060015290519873E-2</v>
      </c>
      <c r="E42" s="10">
        <v>0.17679239791446311</v>
      </c>
      <c r="F42" s="14">
        <v>0.1334923979144631</v>
      </c>
      <c r="G42" s="14">
        <v>0.26860000000000001</v>
      </c>
      <c r="H42" s="15" t="s">
        <v>128</v>
      </c>
      <c r="I42" s="60">
        <f t="shared" si="5"/>
        <v>4.7780193928364091E-4</v>
      </c>
      <c r="J42" s="60">
        <f t="shared" si="10"/>
        <v>4.733106741127752E-5</v>
      </c>
      <c r="K42" s="60">
        <f t="shared" si="11"/>
        <v>8.4471750574135584E-5</v>
      </c>
      <c r="L42" s="60">
        <f t="shared" si="12"/>
        <v>6.3782926603153927E-5</v>
      </c>
      <c r="M42" s="60">
        <f t="shared" si="4"/>
        <v>1.2833760089158596E-4</v>
      </c>
    </row>
    <row r="43" spans="1:13" s="38" customFormat="1" ht="15.5">
      <c r="A43" s="8" t="s">
        <v>32</v>
      </c>
      <c r="B43" s="120">
        <v>47061.843715856485</v>
      </c>
      <c r="C43" s="9" t="s">
        <v>46</v>
      </c>
      <c r="D43" s="21">
        <v>5.9366166625340932E-3</v>
      </c>
      <c r="E43" s="10">
        <v>5.1300131954920822E-2</v>
      </c>
      <c r="F43" s="14">
        <v>8.0001319549208201E-3</v>
      </c>
      <c r="G43" s="14">
        <v>0.26860000000000001</v>
      </c>
      <c r="H43" s="15" t="s">
        <v>128</v>
      </c>
      <c r="I43" s="60">
        <f t="shared" si="5"/>
        <v>1.4193031095023124E-3</v>
      </c>
      <c r="J43" s="60">
        <f>I43*D43</f>
        <v>8.4258584890578792E-6</v>
      </c>
      <c r="K43" s="60">
        <f>I43*E43</f>
        <v>7.2810436801498064E-5</v>
      </c>
      <c r="L43" s="60">
        <f>I43*F43</f>
        <v>1.1354612160047933E-5</v>
      </c>
      <c r="M43" s="60">
        <f>I43*G43</f>
        <v>3.8122481521232109E-4</v>
      </c>
    </row>
    <row r="44" spans="1:13" s="38" customFormat="1" ht="15.5">
      <c r="A44" s="8" t="s">
        <v>14</v>
      </c>
      <c r="B44" s="120">
        <v>399648.82854650426</v>
      </c>
      <c r="C44" s="9" t="s">
        <v>43</v>
      </c>
      <c r="D44" s="21">
        <v>1.1873233325068186E-2</v>
      </c>
      <c r="E44" s="10">
        <v>5.9300263909841638E-2</v>
      </c>
      <c r="F44" s="14">
        <v>1.600026390984164E-2</v>
      </c>
      <c r="G44" s="14">
        <v>0.24</v>
      </c>
      <c r="H44" s="15" t="s">
        <v>128</v>
      </c>
      <c r="I44" s="60">
        <f t="shared" si="5"/>
        <v>1.205271150211857E-2</v>
      </c>
      <c r="J44" s="60">
        <f t="shared" si="10"/>
        <v>1.4310465586438685E-4</v>
      </c>
      <c r="K44" s="60">
        <f t="shared" si="11"/>
        <v>7.1472897290481507E-4</v>
      </c>
      <c r="L44" s="60">
        <f t="shared" si="12"/>
        <v>1.9284656486308097E-4</v>
      </c>
      <c r="M44" s="60">
        <f t="shared" si="4"/>
        <v>2.8926507605084566E-3</v>
      </c>
    </row>
    <row r="45" spans="1:13" s="38" customFormat="1" ht="15.5">
      <c r="A45" s="8" t="s">
        <v>383</v>
      </c>
      <c r="B45" s="120">
        <v>6600</v>
      </c>
      <c r="C45" s="9" t="s">
        <v>58</v>
      </c>
      <c r="D45" s="21">
        <v>8.9165654186296364E-2</v>
      </c>
      <c r="E45" s="10">
        <v>0.1634588446562617</v>
      </c>
      <c r="F45" s="14">
        <v>0.1201588446562617</v>
      </c>
      <c r="G45" s="14">
        <v>0.26860000000000001</v>
      </c>
      <c r="H45" s="15" t="s">
        <v>128</v>
      </c>
      <c r="I45" s="60">
        <f t="shared" si="5"/>
        <v>1.9904448663916486E-4</v>
      </c>
      <c r="J45" s="60">
        <f t="shared" si="10"/>
        <v>1.7747931863356663E-5</v>
      </c>
      <c r="K45" s="60">
        <f t="shared" si="11"/>
        <v>3.2535581821236608E-5</v>
      </c>
      <c r="L45" s="60">
        <f t="shared" si="12"/>
        <v>2.391695554976077E-5</v>
      </c>
      <c r="M45" s="60">
        <f t="shared" si="4"/>
        <v>5.3463349111279686E-5</v>
      </c>
    </row>
    <row r="46" spans="1:13" s="38" customFormat="1" ht="15.5">
      <c r="A46" s="8" t="s">
        <v>63</v>
      </c>
      <c r="B46" s="120">
        <v>19872.180369627498</v>
      </c>
      <c r="C46" s="9" t="s">
        <v>49</v>
      </c>
      <c r="D46" s="21">
        <v>5.4477188197371677E-2</v>
      </c>
      <c r="E46" s="10">
        <v>0.11671297558633223</v>
      </c>
      <c r="F46" s="14">
        <v>7.3412975586332224E-2</v>
      </c>
      <c r="G46" s="14">
        <v>0.25</v>
      </c>
      <c r="H46" s="15" t="s">
        <v>128</v>
      </c>
      <c r="I46" s="60">
        <f t="shared" si="5"/>
        <v>5.9931029395051435E-4</v>
      </c>
      <c r="J46" s="60">
        <f>I46*D46</f>
        <v>3.2648739672164308E-5</v>
      </c>
      <c r="K46" s="60">
        <f>I46*E46</f>
        <v>6.9947287706483976E-5</v>
      </c>
      <c r="L46" s="60">
        <f>I46*F46</f>
        <v>4.3997151978426696E-5</v>
      </c>
      <c r="M46" s="60">
        <f>I46*G46</f>
        <v>1.4982757348762859E-4</v>
      </c>
    </row>
    <row r="47" spans="1:13" s="38" customFormat="1" ht="15.5">
      <c r="A47" s="8" t="s">
        <v>373</v>
      </c>
      <c r="B47" s="120">
        <v>40908.073366845521</v>
      </c>
      <c r="C47" s="9" t="s">
        <v>80</v>
      </c>
      <c r="D47" s="21">
        <v>3.5619699975204554E-2</v>
      </c>
      <c r="E47" s="10">
        <v>9.1300791729524905E-2</v>
      </c>
      <c r="F47" s="14">
        <v>4.8000791729524907E-2</v>
      </c>
      <c r="G47" s="14">
        <v>0.25</v>
      </c>
      <c r="H47" s="15" t="s">
        <v>128</v>
      </c>
      <c r="I47" s="60">
        <f t="shared" si="5"/>
        <v>1.2337161307122819E-3</v>
      </c>
      <c r="J47" s="60">
        <f t="shared" si="10"/>
        <v>4.3944598430541725E-5</v>
      </c>
      <c r="K47" s="60">
        <f t="shared" si="11"/>
        <v>1.1263925950351737E-4</v>
      </c>
      <c r="L47" s="60">
        <f t="shared" si="12"/>
        <v>5.921935104367557E-5</v>
      </c>
      <c r="M47" s="60">
        <f t="shared" si="4"/>
        <v>3.0842903267807047E-4</v>
      </c>
    </row>
    <row r="48" spans="1:13" s="38" customFormat="1" ht="15.5">
      <c r="A48" s="8" t="s">
        <v>25</v>
      </c>
      <c r="B48" s="120">
        <v>338368.45531787578</v>
      </c>
      <c r="C48" s="9" t="s">
        <v>58</v>
      </c>
      <c r="D48" s="21">
        <v>8.9165654186296364E-2</v>
      </c>
      <c r="E48" s="10">
        <v>0.1634588446562617</v>
      </c>
      <c r="F48" s="14">
        <v>0.1201588446562617</v>
      </c>
      <c r="G48" s="14">
        <v>0.28999999999999998</v>
      </c>
      <c r="H48" s="15" t="s">
        <v>128</v>
      </c>
      <c r="I48" s="60">
        <f t="shared" si="5"/>
        <v>1.0204602346005119E-2</v>
      </c>
      <c r="J48" s="60">
        <f t="shared" si="10"/>
        <v>9.0990004389256097E-4</v>
      </c>
      <c r="K48" s="60">
        <f t="shared" si="11"/>
        <v>1.6680325096545745E-3</v>
      </c>
      <c r="L48" s="60">
        <f t="shared" si="12"/>
        <v>1.2261732280725527E-3</v>
      </c>
      <c r="M48" s="60">
        <f t="shared" si="4"/>
        <v>2.9593346803414842E-3</v>
      </c>
    </row>
    <row r="49" spans="1:13" s="38" customFormat="1" ht="15.5">
      <c r="A49" s="8" t="s">
        <v>9</v>
      </c>
      <c r="B49" s="120">
        <v>30932.496249791653</v>
      </c>
      <c r="C49" s="9" t="s">
        <v>49</v>
      </c>
      <c r="D49" s="21">
        <v>5.4477188197371677E-2</v>
      </c>
      <c r="E49" s="10">
        <v>0.11671297558633223</v>
      </c>
      <c r="F49" s="14">
        <v>7.3412975586332224E-2</v>
      </c>
      <c r="G49" s="14">
        <v>0.3</v>
      </c>
      <c r="H49" s="15" t="s">
        <v>128</v>
      </c>
      <c r="I49" s="60">
        <f t="shared" si="5"/>
        <v>9.3287012674358669E-4</v>
      </c>
      <c r="J49" s="60">
        <f t="shared" si="10"/>
        <v>5.0820141458316338E-5</v>
      </c>
      <c r="K49" s="60">
        <f t="shared" si="11"/>
        <v>1.0887804832784289E-4</v>
      </c>
      <c r="L49" s="60">
        <f t="shared" si="12"/>
        <v>6.8484771839845581E-5</v>
      </c>
      <c r="M49" s="60">
        <f t="shared" si="4"/>
        <v>2.7986103802307602E-4</v>
      </c>
    </row>
    <row r="50" spans="1:13" s="38" customFormat="1" ht="15.5">
      <c r="A50" s="8" t="s">
        <v>29</v>
      </c>
      <c r="B50" s="120">
        <v>437146.37272994244</v>
      </c>
      <c r="C50" s="9" t="s">
        <v>82</v>
      </c>
      <c r="D50" s="21">
        <v>1.885748822216712E-2</v>
      </c>
      <c r="E50" s="10">
        <v>6.8712183856807302E-2</v>
      </c>
      <c r="F50" s="14">
        <v>2.5412183856807311E-2</v>
      </c>
      <c r="G50" s="14">
        <v>0.25</v>
      </c>
      <c r="H50" s="15" t="s">
        <v>128</v>
      </c>
      <c r="I50" s="60">
        <f t="shared" si="5"/>
        <v>1.3183572022152184E-2</v>
      </c>
      <c r="J50" s="60">
        <f t="shared" si="10"/>
        <v>2.4860905413382677E-4</v>
      </c>
      <c r="K50" s="60">
        <f t="shared" si="11"/>
        <v>9.0587202467558173E-4</v>
      </c>
      <c r="L50" s="60">
        <f t="shared" si="12"/>
        <v>3.3502335611639223E-4</v>
      </c>
      <c r="M50" s="60">
        <f t="shared" si="4"/>
        <v>3.295893005538046E-3</v>
      </c>
    </row>
    <row r="51" spans="1:13" s="38" customFormat="1" ht="15.5">
      <c r="A51" s="8" t="s">
        <v>3</v>
      </c>
      <c r="B51" s="120">
        <v>501427.50008005853</v>
      </c>
      <c r="C51" s="9" t="s">
        <v>47</v>
      </c>
      <c r="D51" s="21">
        <v>0</v>
      </c>
      <c r="E51" s="10">
        <v>4.3299999999999998E-2</v>
      </c>
      <c r="F51" s="14">
        <v>0</v>
      </c>
      <c r="G51" s="14">
        <v>0.17</v>
      </c>
      <c r="H51" s="15" t="s">
        <v>128</v>
      </c>
      <c r="I51" s="60">
        <f t="shared" si="5"/>
        <v>1.5122178687908341E-2</v>
      </c>
      <c r="J51" s="60">
        <f t="shared" si="10"/>
        <v>0</v>
      </c>
      <c r="K51" s="60">
        <f t="shared" si="11"/>
        <v>6.5479033718643116E-4</v>
      </c>
      <c r="L51" s="60">
        <f t="shared" si="12"/>
        <v>0</v>
      </c>
      <c r="M51" s="60">
        <f t="shared" si="4"/>
        <v>2.5707703769444184E-3</v>
      </c>
    </row>
    <row r="52" spans="1:13" s="38" customFormat="1" ht="15.5">
      <c r="A52" s="8" t="s">
        <v>395</v>
      </c>
      <c r="B52" s="120">
        <v>1631.2867011151561</v>
      </c>
      <c r="C52" s="9" t="s">
        <v>99</v>
      </c>
      <c r="D52" s="21">
        <v>7.4265910405818647E-2</v>
      </c>
      <c r="E52" s="10">
        <v>0.14338008210273495</v>
      </c>
      <c r="F52" s="14">
        <v>0.10008008210273495</v>
      </c>
      <c r="G52" s="14">
        <v>0.3</v>
      </c>
      <c r="H52" s="15" t="s">
        <v>128</v>
      </c>
      <c r="I52" s="60">
        <f>B52/$B$57</f>
        <v>4.9196761209812578E-5</v>
      </c>
      <c r="J52" s="60">
        <f>I52*D52</f>
        <v>3.653642260264395E-6</v>
      </c>
      <c r="K52" s="60">
        <f>I52*E52</f>
        <v>7.0538356614515734E-6</v>
      </c>
      <c r="L52" s="60">
        <f>I52*F52</f>
        <v>4.9236159010666883E-6</v>
      </c>
      <c r="M52" s="60">
        <f>I52*G52</f>
        <v>1.4759028362943772E-5</v>
      </c>
    </row>
    <row r="53" spans="1:13" s="38" customFormat="1" ht="15.5">
      <c r="A53" s="8" t="s">
        <v>133</v>
      </c>
      <c r="B53" s="120">
        <v>84356.860421129953</v>
      </c>
      <c r="C53" s="9" t="s">
        <v>338</v>
      </c>
      <c r="D53" s="21">
        <v>0.11884873749896685</v>
      </c>
      <c r="E53" s="10">
        <v>0.20345950443086583</v>
      </c>
      <c r="F53" s="14">
        <v>0.16015950443086582</v>
      </c>
      <c r="G53" s="14">
        <v>0.24</v>
      </c>
      <c r="H53" s="15" t="s">
        <v>128</v>
      </c>
      <c r="I53" s="60">
        <f>B53/$B$57</f>
        <v>2.5440557540932569E-3</v>
      </c>
      <c r="J53" s="60">
        <f t="shared" si="10"/>
        <v>3.0235781450096565E-4</v>
      </c>
      <c r="K53" s="60">
        <f t="shared" si="11"/>
        <v>5.1761232297230675E-4</v>
      </c>
      <c r="L53" s="60">
        <f t="shared" si="12"/>
        <v>4.0745470882006869E-4</v>
      </c>
      <c r="M53" s="60">
        <f t="shared" si="4"/>
        <v>6.105733809823816E-4</v>
      </c>
    </row>
    <row r="54" spans="1:13" s="38" customFormat="1" ht="15.5">
      <c r="A54" s="8" t="s">
        <v>64</v>
      </c>
      <c r="B54" s="120">
        <v>791610</v>
      </c>
      <c r="C54" s="9" t="s">
        <v>46</v>
      </c>
      <c r="D54" s="21">
        <v>5.9366166625340932E-3</v>
      </c>
      <c r="E54" s="10">
        <v>5.1300131954920822E-2</v>
      </c>
      <c r="F54" s="14">
        <v>8.0001319549208201E-3</v>
      </c>
      <c r="G54" s="14">
        <v>0.2</v>
      </c>
      <c r="H54" s="15" t="s">
        <v>128</v>
      </c>
      <c r="I54" s="60">
        <f>B54/$B$57</f>
        <v>2.3873576677034745E-2</v>
      </c>
      <c r="J54" s="60">
        <f t="shared" si="10"/>
        <v>1.4172827309516978E-4</v>
      </c>
      <c r="K54" s="60">
        <f t="shared" si="11"/>
        <v>1.2247176337678025E-3</v>
      </c>
      <c r="L54" s="60">
        <f t="shared" si="12"/>
        <v>1.9099176365219806E-4</v>
      </c>
      <c r="M54" s="60">
        <f t="shared" si="4"/>
        <v>4.7747153354069493E-3</v>
      </c>
    </row>
    <row r="55" spans="1:13" s="38" customFormat="1" ht="15.5">
      <c r="A55" s="8" t="s">
        <v>65</v>
      </c>
      <c r="B55" s="120">
        <v>514944.99383357755</v>
      </c>
      <c r="C55" s="9" t="s">
        <v>81</v>
      </c>
      <c r="D55" s="21">
        <v>1.5830977766757577E-2</v>
      </c>
      <c r="E55" s="10">
        <v>6.4633685213122183E-2</v>
      </c>
      <c r="F55" s="14">
        <v>2.1333685213122178E-2</v>
      </c>
      <c r="G55" s="14">
        <v>0.2</v>
      </c>
      <c r="H55" s="15" t="s">
        <v>128</v>
      </c>
      <c r="I55" s="60">
        <f>B55/$B$57</f>
        <v>1.5529842718941268E-2</v>
      </c>
      <c r="J55" s="60">
        <f t="shared" si="10"/>
        <v>2.4585259480480124E-4</v>
      </c>
      <c r="K55" s="60">
        <f t="shared" si="11"/>
        <v>1.0037509657053474E-3</v>
      </c>
      <c r="L55" s="60">
        <f t="shared" si="12"/>
        <v>3.3130877597519046E-4</v>
      </c>
      <c r="M55" s="60">
        <f t="shared" si="4"/>
        <v>3.1059685437882538E-3</v>
      </c>
    </row>
    <row r="56" spans="1:13" s="38" customFormat="1" ht="15.5">
      <c r="A56" s="8" t="s">
        <v>71</v>
      </c>
      <c r="B56" s="120">
        <v>429716.96904959279</v>
      </c>
      <c r="C56" s="9" t="s">
        <v>79</v>
      </c>
      <c r="D56" s="21">
        <v>2.9799487560955448E-2</v>
      </c>
      <c r="E56" s="10">
        <v>8.3457525107053523E-2</v>
      </c>
      <c r="F56" s="14">
        <v>4.0157525107053525E-2</v>
      </c>
      <c r="G56" s="14">
        <v>0.2</v>
      </c>
      <c r="H56" s="15" t="s">
        <v>128</v>
      </c>
      <c r="I56" s="60">
        <f>B56/$B$57</f>
        <v>1.2959514167365772E-2</v>
      </c>
      <c r="J56" s="60">
        <f t="shared" si="10"/>
        <v>3.8618688122644225E-4</v>
      </c>
      <c r="K56" s="60">
        <f t="shared" si="11"/>
        <v>1.0815689789981447E-3</v>
      </c>
      <c r="L56" s="60">
        <f t="shared" si="12"/>
        <v>5.204220155512069E-4</v>
      </c>
      <c r="M56" s="60">
        <f t="shared" si="4"/>
        <v>2.5919028334731547E-3</v>
      </c>
    </row>
    <row r="57" spans="1:13" s="32" customFormat="1" ht="15.5">
      <c r="A57" s="58" t="s">
        <v>128</v>
      </c>
      <c r="B57" s="141">
        <f>SUM(B33:B56)</f>
        <v>33158416.550189212</v>
      </c>
      <c r="C57" s="53"/>
      <c r="D57" s="54">
        <f>SUM(J33:J56)</f>
        <v>1.1427261875397351E-2</v>
      </c>
      <c r="E57" s="54">
        <f>SUM(K33:K56)</f>
        <v>5.8699276740161205E-2</v>
      </c>
      <c r="F57" s="55">
        <f>SUM(L33:L56)</f>
        <v>1.5399276740161219E-2</v>
      </c>
      <c r="G57" s="55">
        <f>SUM(M33:M56)</f>
        <v>0.25739929616803997</v>
      </c>
      <c r="H57" s="58"/>
      <c r="I57" s="61">
        <f>SUM(I33:I56)</f>
        <v>0.99999999999999978</v>
      </c>
    </row>
    <row r="58" spans="1:13" s="38" customFormat="1" ht="15.5">
      <c r="A58" s="8" t="s">
        <v>84</v>
      </c>
      <c r="B58" s="120">
        <v>1723827.2153347062</v>
      </c>
      <c r="C58" s="9" t="s">
        <v>47</v>
      </c>
      <c r="D58" s="21">
        <v>0</v>
      </c>
      <c r="E58" s="21">
        <v>4.3299999999999998E-2</v>
      </c>
      <c r="F58" s="14">
        <v>0</v>
      </c>
      <c r="G58" s="14">
        <v>0.3</v>
      </c>
      <c r="H58" s="15" t="s">
        <v>53</v>
      </c>
      <c r="I58" s="60">
        <f>B58/$B$61</f>
        <v>0.8711887542108806</v>
      </c>
      <c r="J58" s="60">
        <f>I58*D58</f>
        <v>0</v>
      </c>
      <c r="K58" s="60">
        <f>I58*E58</f>
        <v>3.7722473057331125E-2</v>
      </c>
      <c r="L58" s="60">
        <f>I58*F58</f>
        <v>0</v>
      </c>
      <c r="M58" s="60">
        <f t="shared" si="4"/>
        <v>0.26135662626326417</v>
      </c>
    </row>
    <row r="59" spans="1:13" s="38" customFormat="1" ht="15.5">
      <c r="A59" s="8" t="s">
        <v>211</v>
      </c>
      <c r="B59" s="120">
        <v>1414</v>
      </c>
      <c r="C59" s="9" t="s">
        <v>48</v>
      </c>
      <c r="D59" s="21">
        <v>4.4582827093148182E-2</v>
      </c>
      <c r="E59" s="21">
        <v>0.10337942232813085</v>
      </c>
      <c r="F59" s="14">
        <v>6.0079422328130849E-2</v>
      </c>
      <c r="G59" s="14">
        <v>0.2974</v>
      </c>
      <c r="H59" s="15" t="s">
        <v>53</v>
      </c>
      <c r="I59" s="60">
        <f>B59/$B$61</f>
        <v>7.1460810427859578E-4</v>
      </c>
      <c r="J59" s="60">
        <f>I59*D59</f>
        <v>3.1859249552415043E-5</v>
      </c>
      <c r="K59" s="60">
        <f>I59*E59</f>
        <v>7.3875773011321925E-5</v>
      </c>
      <c r="L59" s="60">
        <f>I59*F59</f>
        <v>4.2933242096058726E-5</v>
      </c>
      <c r="M59" s="60">
        <f t="shared" si="4"/>
        <v>2.1252445021245438E-4</v>
      </c>
    </row>
    <row r="60" spans="1:13" s="38" customFormat="1" ht="15.5">
      <c r="A60" s="8" t="s">
        <v>21</v>
      </c>
      <c r="B60" s="120">
        <v>253465.70323214593</v>
      </c>
      <c r="C60" s="9" t="s">
        <v>47</v>
      </c>
      <c r="D60" s="21">
        <v>0</v>
      </c>
      <c r="E60" s="21">
        <v>4.3299999999999998E-2</v>
      </c>
      <c r="F60" s="14">
        <v>0</v>
      </c>
      <c r="G60" s="14">
        <v>0.28000000000000003</v>
      </c>
      <c r="H60" s="15" t="s">
        <v>53</v>
      </c>
      <c r="I60" s="60">
        <f>B60/$B$61</f>
        <v>0.12809663768484084</v>
      </c>
      <c r="J60" s="60">
        <f>I60*D60</f>
        <v>0</v>
      </c>
      <c r="K60" s="60">
        <f>I60*E60</f>
        <v>5.546584411753608E-3</v>
      </c>
      <c r="L60" s="60">
        <f>I60*F60</f>
        <v>0</v>
      </c>
      <c r="M60" s="60">
        <f t="shared" si="4"/>
        <v>3.586705855175544E-2</v>
      </c>
    </row>
    <row r="61" spans="1:13" s="32" customFormat="1" ht="15.5">
      <c r="A61" s="58" t="s">
        <v>53</v>
      </c>
      <c r="B61" s="53">
        <f>SUM(B58:B60)</f>
        <v>1978706.9185668521</v>
      </c>
      <c r="C61" s="53"/>
      <c r="D61" s="54">
        <f>SUM(J58:J60)</f>
        <v>3.1859249552415043E-5</v>
      </c>
      <c r="E61" s="54">
        <f>SUM(K58:K60)</f>
        <v>4.3342933242096059E-2</v>
      </c>
      <c r="F61" s="54">
        <f>SUM(L58:L60)</f>
        <v>4.2933242096058726E-5</v>
      </c>
      <c r="G61" s="54">
        <f>SUM(M58:M60)</f>
        <v>0.29743620926523207</v>
      </c>
      <c r="H61" s="58"/>
      <c r="I61" s="61">
        <f>SUM(I58:I60)</f>
        <v>1</v>
      </c>
    </row>
    <row r="62" spans="1:13" s="38" customFormat="1" ht="15.5">
      <c r="A62" s="8" t="s">
        <v>198</v>
      </c>
      <c r="B62" s="120">
        <v>3544.7077880566426</v>
      </c>
      <c r="C62" s="9" t="s">
        <v>123</v>
      </c>
      <c r="D62" s="21">
        <v>2.1767594429291676E-2</v>
      </c>
      <c r="E62" s="21">
        <v>7.2633817168042999E-2</v>
      </c>
      <c r="F62" s="14">
        <v>2.9333817168043005E-2</v>
      </c>
      <c r="G62" s="14">
        <v>0.25</v>
      </c>
      <c r="H62" s="15" t="s">
        <v>54</v>
      </c>
      <c r="I62" s="60">
        <f t="shared" ref="I62:I74" si="13">B62/$B$76</f>
        <v>1.0052755328285716E-2</v>
      </c>
      <c r="J62" s="60">
        <f t="shared" ref="J62:J74" si="14">I62*D62</f>
        <v>2.1882430088302436E-4</v>
      </c>
      <c r="K62" s="60">
        <f t="shared" ref="K62:K74" si="15">I62*E62</f>
        <v>7.3016999254977481E-4</v>
      </c>
      <c r="L62" s="60">
        <f t="shared" ref="L62:L74" si="16">I62*F62</f>
        <v>2.9488568683500336E-4</v>
      </c>
      <c r="M62" s="60">
        <f t="shared" si="4"/>
        <v>2.5131888320714291E-3</v>
      </c>
    </row>
    <row r="63" spans="1:13" s="38" customFormat="1" ht="15.5">
      <c r="A63" s="8" t="s">
        <v>85</v>
      </c>
      <c r="B63" s="120">
        <v>11210</v>
      </c>
      <c r="C63" s="9" t="s">
        <v>48</v>
      </c>
      <c r="D63" s="21">
        <v>4.4582827093148182E-2</v>
      </c>
      <c r="E63" s="21">
        <v>0.10337942232813085</v>
      </c>
      <c r="F63" s="14">
        <v>6.0079422328130849E-2</v>
      </c>
      <c r="G63" s="14">
        <v>0</v>
      </c>
      <c r="H63" s="15" t="s">
        <v>54</v>
      </c>
      <c r="I63" s="60">
        <f t="shared" si="13"/>
        <v>3.1791446282195532E-2</v>
      </c>
      <c r="J63" s="60">
        <f t="shared" si="14"/>
        <v>1.4173525526402319E-3</v>
      </c>
      <c r="K63" s="60">
        <f t="shared" si="15"/>
        <v>3.2865813516291774E-3</v>
      </c>
      <c r="L63" s="60">
        <f t="shared" si="16"/>
        <v>1.9100117276101107E-3</v>
      </c>
      <c r="M63" s="60">
        <f t="shared" si="4"/>
        <v>0</v>
      </c>
    </row>
    <row r="64" spans="1:13" s="38" customFormat="1" ht="15.5">
      <c r="A64" s="8" t="s">
        <v>87</v>
      </c>
      <c r="B64" s="120">
        <v>6393.5641896134503</v>
      </c>
      <c r="C64" s="9" t="s">
        <v>77</v>
      </c>
      <c r="D64" s="21">
        <v>6.4371549301595152E-2</v>
      </c>
      <c r="E64" s="21">
        <v>0.13004652884453358</v>
      </c>
      <c r="F64" s="14">
        <v>8.6746528844533571E-2</v>
      </c>
      <c r="G64" s="14">
        <v>5.5E-2</v>
      </c>
      <c r="H64" s="15" t="s">
        <v>54</v>
      </c>
      <c r="I64" s="60">
        <f t="shared" si="13"/>
        <v>1.8132083183395629E-2</v>
      </c>
      <c r="J64" s="60">
        <f t="shared" si="14"/>
        <v>1.1671902865805761E-3</v>
      </c>
      <c r="K64" s="60">
        <f t="shared" si="15"/>
        <v>2.3580144787209417E-3</v>
      </c>
      <c r="L64" s="60">
        <f t="shared" si="16"/>
        <v>1.5728952768799111E-3</v>
      </c>
      <c r="M64" s="60">
        <f t="shared" si="4"/>
        <v>9.9726457508675956E-4</v>
      </c>
    </row>
    <row r="65" spans="1:13" s="38" customFormat="1" ht="15.5">
      <c r="A65" s="8" t="s">
        <v>89</v>
      </c>
      <c r="B65" s="120">
        <v>7827.98</v>
      </c>
      <c r="C65" s="9" t="s">
        <v>42</v>
      </c>
      <c r="D65" s="21">
        <v>8.3811058765187203E-3</v>
      </c>
      <c r="E65" s="21">
        <v>5.4594303936358807E-2</v>
      </c>
      <c r="F65" s="14">
        <v>1.1294303936358805E-2</v>
      </c>
      <c r="G65" s="14">
        <v>0</v>
      </c>
      <c r="H65" s="15" t="s">
        <v>54</v>
      </c>
      <c r="I65" s="60">
        <f t="shared" si="13"/>
        <v>2.2200071870481796E-2</v>
      </c>
      <c r="J65" s="60">
        <f t="shared" si="14"/>
        <v>1.8606115281283292E-4</v>
      </c>
      <c r="K65" s="60">
        <f t="shared" si="15"/>
        <v>1.2119974711060928E-3</v>
      </c>
      <c r="L65" s="60">
        <f t="shared" si="16"/>
        <v>2.5073435911423094E-4</v>
      </c>
      <c r="M65" s="60">
        <f t="shared" si="4"/>
        <v>0</v>
      </c>
    </row>
    <row r="66" spans="1:13" s="38" customFormat="1" ht="15.5">
      <c r="A66" s="8" t="s">
        <v>55</v>
      </c>
      <c r="B66" s="120">
        <v>6600.8440015372053</v>
      </c>
      <c r="C66" s="9" t="s">
        <v>46</v>
      </c>
      <c r="D66" s="21">
        <v>5.9366166625340932E-3</v>
      </c>
      <c r="E66" s="21">
        <v>5.1300131954920822E-2</v>
      </c>
      <c r="F66" s="14">
        <v>8.0001319549208201E-3</v>
      </c>
      <c r="G66" s="14">
        <v>0</v>
      </c>
      <c r="H66" s="15" t="s">
        <v>54</v>
      </c>
      <c r="I66" s="60">
        <f t="shared" si="13"/>
        <v>1.8719926627299075E-2</v>
      </c>
      <c r="J66" s="60">
        <f t="shared" si="14"/>
        <v>1.1113302833703933E-4</v>
      </c>
      <c r="K66" s="60">
        <f t="shared" si="15"/>
        <v>9.6033470616687842E-4</v>
      </c>
      <c r="L66" s="60">
        <f t="shared" si="16"/>
        <v>1.4976188320482846E-4</v>
      </c>
      <c r="M66" s="60">
        <f t="shared" si="4"/>
        <v>0</v>
      </c>
    </row>
    <row r="67" spans="1:13" s="38" customFormat="1" ht="15.5">
      <c r="A67" s="8" t="s">
        <v>98</v>
      </c>
      <c r="B67" s="120">
        <v>107351</v>
      </c>
      <c r="C67" s="9" t="s">
        <v>338</v>
      </c>
      <c r="D67" s="21">
        <v>0.11884873749896685</v>
      </c>
      <c r="E67" s="21">
        <v>0.20345950443086583</v>
      </c>
      <c r="F67" s="14">
        <v>0.16015950443086582</v>
      </c>
      <c r="G67" s="14">
        <v>0.2853</v>
      </c>
      <c r="H67" s="15" t="s">
        <v>54</v>
      </c>
      <c r="I67" s="60">
        <f t="shared" si="13"/>
        <v>0.30444634699732132</v>
      </c>
      <c r="J67" s="60">
        <f t="shared" si="14"/>
        <v>3.6183063976804014E-2</v>
      </c>
      <c r="K67" s="60">
        <f t="shared" si="15"/>
        <v>6.1942502885862415E-2</v>
      </c>
      <c r="L67" s="60">
        <f t="shared" si="16"/>
        <v>4.8759976060878396E-2</v>
      </c>
      <c r="M67" s="60">
        <f t="shared" si="4"/>
        <v>8.6858542798335769E-2</v>
      </c>
    </row>
    <row r="68" spans="1:13" s="38" customFormat="1" ht="15.5">
      <c r="A68" s="8" t="s">
        <v>214</v>
      </c>
      <c r="B68" s="120">
        <v>3073.8403254328496</v>
      </c>
      <c r="C68" s="9" t="s">
        <v>123</v>
      </c>
      <c r="D68" s="21">
        <v>2.1767594429291676E-2</v>
      </c>
      <c r="E68" s="21">
        <v>7.2633817168042999E-2</v>
      </c>
      <c r="F68" s="14">
        <v>2.9333817168043005E-2</v>
      </c>
      <c r="G68" s="14">
        <v>0.22</v>
      </c>
      <c r="H68" s="15" t="s">
        <v>54</v>
      </c>
      <c r="I68" s="60">
        <f t="shared" si="13"/>
        <v>8.717379980913903E-3</v>
      </c>
      <c r="J68" s="60">
        <f t="shared" si="14"/>
        <v>1.8975639191056026E-4</v>
      </c>
      <c r="K68" s="60">
        <f t="shared" si="15"/>
        <v>6.3317658371805864E-4</v>
      </c>
      <c r="L68" s="60">
        <f t="shared" si="16"/>
        <v>2.5571403054448663E-4</v>
      </c>
      <c r="M68" s="60">
        <f t="shared" si="4"/>
        <v>1.9178235958010586E-3</v>
      </c>
    </row>
    <row r="69" spans="1:13" s="38" customFormat="1" ht="15.5">
      <c r="A69" s="8" t="s">
        <v>102</v>
      </c>
      <c r="B69" s="120">
        <v>121444.27931393079</v>
      </c>
      <c r="C69" s="9" t="s">
        <v>80</v>
      </c>
      <c r="D69" s="21">
        <v>3.5619699975204554E-2</v>
      </c>
      <c r="E69" s="21">
        <v>9.1300791729524905E-2</v>
      </c>
      <c r="F69" s="14">
        <v>4.8000791729524907E-2</v>
      </c>
      <c r="G69" s="14">
        <v>0.27</v>
      </c>
      <c r="H69" s="15" t="s">
        <v>54</v>
      </c>
      <c r="I69" s="60">
        <f t="shared" si="13"/>
        <v>0.3444147441649224</v>
      </c>
      <c r="J69" s="60">
        <f t="shared" si="14"/>
        <v>1.2267949854191369E-2</v>
      </c>
      <c r="K69" s="60">
        <f t="shared" si="15"/>
        <v>3.1445338825579185E-2</v>
      </c>
      <c r="L69" s="60">
        <f t="shared" si="16"/>
        <v>1.6532180403238044E-2</v>
      </c>
      <c r="M69" s="60">
        <f t="shared" si="4"/>
        <v>9.2991980924529052E-2</v>
      </c>
    </row>
    <row r="70" spans="1:13" s="38" customFormat="1" ht="15.5">
      <c r="A70" s="8" t="s">
        <v>114</v>
      </c>
      <c r="B70" s="120">
        <v>19423.355367237178</v>
      </c>
      <c r="C70" s="9" t="s">
        <v>48</v>
      </c>
      <c r="D70" s="21">
        <v>4.4582827093148182E-2</v>
      </c>
      <c r="E70" s="21">
        <v>0.10337942232813085</v>
      </c>
      <c r="F70" s="14">
        <v>6.0079422328130849E-2</v>
      </c>
      <c r="G70" s="14">
        <v>0.25</v>
      </c>
      <c r="H70" s="15" t="s">
        <v>54</v>
      </c>
      <c r="I70" s="60">
        <f t="shared" si="13"/>
        <v>5.5084438784791703E-2</v>
      </c>
      <c r="J70" s="60">
        <f t="shared" si="14"/>
        <v>2.4558200098654739E-3</v>
      </c>
      <c r="K70" s="60">
        <f t="shared" si="15"/>
        <v>5.6945974608410528E-3</v>
      </c>
      <c r="L70" s="60">
        <f t="shared" si="16"/>
        <v>3.3094412614595716E-3</v>
      </c>
      <c r="M70" s="60">
        <f t="shared" si="4"/>
        <v>1.3771109696197926E-2</v>
      </c>
    </row>
    <row r="71" spans="1:13" s="38" customFormat="1" ht="15.5">
      <c r="A71" s="8" t="s">
        <v>222</v>
      </c>
      <c r="B71" s="120">
        <v>16199</v>
      </c>
      <c r="C71" s="9" t="s">
        <v>123</v>
      </c>
      <c r="D71" s="21">
        <v>2.1767594429291676E-2</v>
      </c>
      <c r="E71" s="21">
        <v>7.2633817168042999E-2</v>
      </c>
      <c r="F71" s="14">
        <v>2.9333817168043005E-2</v>
      </c>
      <c r="G71" s="14">
        <v>0.2853</v>
      </c>
      <c r="H71" s="15" t="s">
        <v>54</v>
      </c>
      <c r="I71" s="60">
        <f t="shared" si="13"/>
        <v>4.5940199672193163E-2</v>
      </c>
      <c r="J71" s="60">
        <f t="shared" si="14"/>
        <v>1.0000076344649793E-3</v>
      </c>
      <c r="K71" s="60">
        <f t="shared" si="15"/>
        <v>3.3368120636534672E-3</v>
      </c>
      <c r="L71" s="60">
        <f t="shared" si="16"/>
        <v>1.3476014178475035E-3</v>
      </c>
      <c r="M71" s="60">
        <f t="shared" si="4"/>
        <v>1.3106738966476709E-2</v>
      </c>
    </row>
    <row r="72" spans="1:13" s="38" customFormat="1" ht="15.5">
      <c r="A72" s="8" t="s">
        <v>188</v>
      </c>
      <c r="B72" s="120">
        <v>11900</v>
      </c>
      <c r="C72" s="9" t="s">
        <v>79</v>
      </c>
      <c r="D72" s="21">
        <v>2.9799487560955448E-2</v>
      </c>
      <c r="E72" s="21">
        <v>8.3457525107053523E-2</v>
      </c>
      <c r="F72" s="14">
        <v>4.0157525107053525E-2</v>
      </c>
      <c r="G72" s="14">
        <v>0.2853</v>
      </c>
      <c r="H72" s="15" t="s">
        <v>54</v>
      </c>
      <c r="I72" s="60">
        <f t="shared" si="13"/>
        <v>3.3748279282616131E-2</v>
      </c>
      <c r="J72" s="60">
        <f t="shared" si="14"/>
        <v>1.0056814286859698E-3</v>
      </c>
      <c r="K72" s="60">
        <f t="shared" si="15"/>
        <v>2.8165478655487902E-3</v>
      </c>
      <c r="L72" s="60">
        <f t="shared" si="16"/>
        <v>1.3552473726115117E-3</v>
      </c>
      <c r="M72" s="60">
        <f t="shared" si="4"/>
        <v>9.6283840793303828E-3</v>
      </c>
    </row>
    <row r="73" spans="1:13" s="38" customFormat="1" ht="15.5">
      <c r="A73" s="8" t="s">
        <v>10</v>
      </c>
      <c r="B73" s="120">
        <v>8100</v>
      </c>
      <c r="C73" s="9" t="s">
        <v>77</v>
      </c>
      <c r="D73" s="21">
        <v>6.4371549301595152E-2</v>
      </c>
      <c r="E73" s="21">
        <v>0.13004652884453358</v>
      </c>
      <c r="F73" s="14">
        <v>8.6746528844533571E-2</v>
      </c>
      <c r="G73" s="14">
        <v>0.2853</v>
      </c>
      <c r="H73" s="15" t="s">
        <v>54</v>
      </c>
      <c r="I73" s="60">
        <f t="shared" si="13"/>
        <v>2.2971517831024423E-2</v>
      </c>
      <c r="J73" s="60">
        <f t="shared" si="14"/>
        <v>1.4787121925922608E-3</v>
      </c>
      <c r="K73" s="60">
        <f t="shared" si="15"/>
        <v>2.9873661562150352E-3</v>
      </c>
      <c r="L73" s="60">
        <f t="shared" si="16"/>
        <v>1.9926994341316773E-3</v>
      </c>
      <c r="M73" s="60">
        <f t="shared" si="4"/>
        <v>6.5537740371912675E-3</v>
      </c>
    </row>
    <row r="74" spans="1:13" s="38" customFormat="1" ht="15.5">
      <c r="A74" s="8" t="s">
        <v>11</v>
      </c>
      <c r="B74" s="120">
        <v>28139.944790291105</v>
      </c>
      <c r="C74" s="9" t="s">
        <v>79</v>
      </c>
      <c r="D74" s="21">
        <v>2.9799487560955448E-2</v>
      </c>
      <c r="E74" s="21">
        <v>8.3457525107053523E-2</v>
      </c>
      <c r="F74" s="14">
        <v>4.0157525107053525E-2</v>
      </c>
      <c r="G74" s="14">
        <v>0.3</v>
      </c>
      <c r="H74" s="15" t="s">
        <v>54</v>
      </c>
      <c r="I74" s="60">
        <f t="shared" si="13"/>
        <v>7.9804597964717894E-2</v>
      </c>
      <c r="J74" s="60">
        <f t="shared" si="14"/>
        <v>2.3781361243566616E-3</v>
      </c>
      <c r="K74" s="60">
        <f t="shared" si="15"/>
        <v>6.6602942382987564E-3</v>
      </c>
      <c r="L74" s="60">
        <f t="shared" si="16"/>
        <v>3.2047551464264713E-3</v>
      </c>
      <c r="M74" s="60">
        <f t="shared" si="4"/>
        <v>2.3941379389415367E-2</v>
      </c>
    </row>
    <row r="75" spans="1:13" s="38" customFormat="1" ht="15.5">
      <c r="A75" s="8" t="s">
        <v>288</v>
      </c>
      <c r="B75" s="120">
        <v>1402.0543909473399</v>
      </c>
      <c r="C75" s="9" t="s">
        <v>81</v>
      </c>
      <c r="D75" s="21">
        <v>1.5830977766757577E-2</v>
      </c>
      <c r="E75" s="21">
        <v>6.4633685213122183E-2</v>
      </c>
      <c r="F75" s="14">
        <v>2.1333685213122178E-2</v>
      </c>
      <c r="G75" s="14">
        <v>0</v>
      </c>
      <c r="H75" s="15" t="s">
        <v>54</v>
      </c>
      <c r="I75" s="60">
        <f>B75/$B$76</f>
        <v>3.9762120298410999E-3</v>
      </c>
      <c r="J75" s="60">
        <f>I75*D75</f>
        <v>6.2947324240328467E-5</v>
      </c>
      <c r="K75" s="60">
        <f>I75*E75</f>
        <v>2.5699723667737921E-4</v>
      </c>
      <c r="L75" s="60">
        <f>I75*F75</f>
        <v>8.4827255785259597E-5</v>
      </c>
      <c r="M75" s="60">
        <f>I75*G75</f>
        <v>0</v>
      </c>
    </row>
    <row r="76" spans="1:13" s="32" customFormat="1" ht="15.5">
      <c r="A76" s="58" t="s">
        <v>54</v>
      </c>
      <c r="B76" s="53">
        <f>SUM(B62:B75)</f>
        <v>352610.57016704662</v>
      </c>
      <c r="C76" s="53"/>
      <c r="D76" s="54">
        <f>SUM(J62:J75)</f>
        <v>6.0122636258365322E-2</v>
      </c>
      <c r="E76" s="54">
        <f>SUM(K62:K75)</f>
        <v>0.124320731316567</v>
      </c>
      <c r="F76" s="54">
        <f>SUM(L62:L75)</f>
        <v>8.1020731316567021E-2</v>
      </c>
      <c r="G76" s="54">
        <f>SUM(M62:M75)</f>
        <v>0.25228018689443577</v>
      </c>
      <c r="H76" s="58"/>
      <c r="I76" s="61">
        <f>SUM(I62:I75)</f>
        <v>0.99999999999999989</v>
      </c>
      <c r="J76" s="61"/>
      <c r="K76" s="61"/>
      <c r="L76" s="61">
        <f>SUM(L62:L75)</f>
        <v>8.1020731316567021E-2</v>
      </c>
    </row>
    <row r="77" spans="1:13" s="38" customFormat="1" ht="15.5">
      <c r="A77" s="8" t="s">
        <v>83</v>
      </c>
      <c r="B77" s="120">
        <v>640591.41066388343</v>
      </c>
      <c r="C77" s="9" t="s">
        <v>338</v>
      </c>
      <c r="D77" s="21">
        <v>0.11884873749896685</v>
      </c>
      <c r="E77" s="21">
        <v>0.20345950443086583</v>
      </c>
      <c r="F77" s="14">
        <v>0.16015950443086582</v>
      </c>
      <c r="G77" s="14">
        <v>0.35</v>
      </c>
      <c r="H77" s="15" t="s">
        <v>51</v>
      </c>
      <c r="I77" s="60">
        <f t="shared" ref="I77:I95" si="17">B77/$B$96</f>
        <v>0.10138583010353312</v>
      </c>
      <c r="J77" s="60">
        <f t="shared" ref="J77:J95" si="18">I77*D77</f>
        <v>1.204957790808966E-2</v>
      </c>
      <c r="K77" s="60">
        <f t="shared" ref="K77:K95" si="19">I77*E77</f>
        <v>2.0627910749176807E-2</v>
      </c>
      <c r="L77" s="60">
        <f t="shared" ref="L77:L95" si="20">I77*F77</f>
        <v>1.6237904305693822E-2</v>
      </c>
      <c r="M77" s="60">
        <f t="shared" si="4"/>
        <v>3.5485040536236592E-2</v>
      </c>
    </row>
    <row r="78" spans="1:13" s="38" customFormat="1" ht="15.5">
      <c r="A78" s="8" t="s">
        <v>88</v>
      </c>
      <c r="B78" s="120">
        <v>3281.5</v>
      </c>
      <c r="C78" s="9" t="s">
        <v>99</v>
      </c>
      <c r="D78" s="21">
        <v>7.4265910405818647E-2</v>
      </c>
      <c r="E78" s="21">
        <v>0.14338008210273495</v>
      </c>
      <c r="F78" s="14">
        <v>0.10008008210273495</v>
      </c>
      <c r="G78" s="14">
        <v>0.2853</v>
      </c>
      <c r="H78" s="15" t="s">
        <v>51</v>
      </c>
      <c r="I78" s="60">
        <f t="shared" si="17"/>
        <v>5.1936007249917611E-4</v>
      </c>
      <c r="J78" s="60">
        <f t="shared" si="18"/>
        <v>3.8570748612583292E-5</v>
      </c>
      <c r="K78" s="60">
        <f t="shared" si="19"/>
        <v>7.4465889835814244E-5</v>
      </c>
      <c r="L78" s="60">
        <f t="shared" si="20"/>
        <v>5.1977598696599919E-5</v>
      </c>
      <c r="M78" s="60">
        <f t="shared" ref="M78:M144" si="21">I78*G78</f>
        <v>1.4817342868401494E-4</v>
      </c>
    </row>
    <row r="79" spans="1:13" s="38" customFormat="1" ht="15.5">
      <c r="A79" s="8" t="s">
        <v>90</v>
      </c>
      <c r="B79" s="120">
        <v>45849.832906413896</v>
      </c>
      <c r="C79" s="9" t="s">
        <v>62</v>
      </c>
      <c r="D79" s="21">
        <v>9.9060015290519873E-2</v>
      </c>
      <c r="E79" s="21">
        <v>0.17679239791446311</v>
      </c>
      <c r="F79" s="14">
        <v>0.1334923979144631</v>
      </c>
      <c r="G79" s="14">
        <v>0.25</v>
      </c>
      <c r="H79" s="15" t="s">
        <v>51</v>
      </c>
      <c r="I79" s="60">
        <f t="shared" si="17"/>
        <v>7.2566120805577419E-3</v>
      </c>
      <c r="J79" s="60">
        <f t="shared" si="18"/>
        <v>7.1884010365742118E-4</v>
      </c>
      <c r="K79" s="60">
        <f t="shared" si="19"/>
        <v>1.2829138504568643E-3</v>
      </c>
      <c r="L79" s="60">
        <f t="shared" si="20"/>
        <v>9.6870254736871404E-4</v>
      </c>
      <c r="M79" s="60">
        <f t="shared" si="21"/>
        <v>1.8141530201394355E-3</v>
      </c>
    </row>
    <row r="80" spans="1:13" s="38" customFormat="1" ht="15.5">
      <c r="A80" s="8" t="s">
        <v>91</v>
      </c>
      <c r="B80" s="120">
        <v>2173665.6559372735</v>
      </c>
      <c r="C80" s="9" t="s">
        <v>78</v>
      </c>
      <c r="D80" s="21">
        <v>2.4794104884701216E-2</v>
      </c>
      <c r="E80" s="21">
        <v>7.6712315811728132E-2</v>
      </c>
      <c r="F80" s="14">
        <v>3.3412315811728134E-2</v>
      </c>
      <c r="G80" s="14">
        <v>0.34</v>
      </c>
      <c r="H80" s="15" t="s">
        <v>51</v>
      </c>
      <c r="I80" s="60">
        <f t="shared" si="17"/>
        <v>0.34402412087659651</v>
      </c>
      <c r="J80" s="60">
        <f t="shared" si="18"/>
        <v>8.5297701358814631E-3</v>
      </c>
      <c r="K80" s="60">
        <f t="shared" si="19"/>
        <v>2.6390887007537604E-2</v>
      </c>
      <c r="L80" s="60">
        <f t="shared" si="20"/>
        <v>1.1494642573580975E-2</v>
      </c>
      <c r="M80" s="60">
        <f t="shared" si="21"/>
        <v>0.11696820109804282</v>
      </c>
    </row>
    <row r="81" spans="1:13" s="38" customFormat="1" ht="15.5">
      <c r="A81" s="8" t="s">
        <v>95</v>
      </c>
      <c r="B81" s="120">
        <v>335533.33166921913</v>
      </c>
      <c r="C81" s="9" t="s">
        <v>42</v>
      </c>
      <c r="D81" s="21">
        <v>8.3811058765187203E-3</v>
      </c>
      <c r="E81" s="21">
        <v>5.4594303936358807E-2</v>
      </c>
      <c r="F81" s="14">
        <v>1.1294303936358805E-2</v>
      </c>
      <c r="G81" s="14">
        <v>0.27</v>
      </c>
      <c r="H81" s="15" t="s">
        <v>51</v>
      </c>
      <c r="I81" s="60">
        <f t="shared" si="17"/>
        <v>5.3104560555116788E-2</v>
      </c>
      <c r="J81" s="60">
        <f t="shared" si="18"/>
        <v>4.4507494453843353E-4</v>
      </c>
      <c r="K81" s="60">
        <f t="shared" si="19"/>
        <v>2.8992065193528169E-3</v>
      </c>
      <c r="L81" s="60">
        <f t="shared" si="20"/>
        <v>5.9977904731626011E-4</v>
      </c>
      <c r="M81" s="60">
        <f t="shared" si="21"/>
        <v>1.4338231349881533E-2</v>
      </c>
    </row>
    <row r="82" spans="1:13" s="38" customFormat="1" ht="15.5">
      <c r="A82" s="8" t="s">
        <v>50</v>
      </c>
      <c r="B82" s="120">
        <v>363540.15623486834</v>
      </c>
      <c r="C82" s="9" t="s">
        <v>82</v>
      </c>
      <c r="D82" s="21">
        <v>1.885748822216712E-2</v>
      </c>
      <c r="E82" s="21">
        <v>6.8712183856807302E-2</v>
      </c>
      <c r="F82" s="14">
        <v>2.5412183856807311E-2</v>
      </c>
      <c r="G82" s="14">
        <v>0.35</v>
      </c>
      <c r="H82" s="15" t="s">
        <v>51</v>
      </c>
      <c r="I82" s="60">
        <f t="shared" si="17"/>
        <v>5.7537175650922749E-2</v>
      </c>
      <c r="J82" s="60">
        <f t="shared" si="18"/>
        <v>1.0850066121740366E-3</v>
      </c>
      <c r="K82" s="60">
        <f t="shared" si="19"/>
        <v>3.9535049919276199E-3</v>
      </c>
      <c r="L82" s="60">
        <f t="shared" si="20"/>
        <v>1.4621452862426658E-3</v>
      </c>
      <c r="M82" s="60">
        <f t="shared" si="21"/>
        <v>2.0138011477822963E-2</v>
      </c>
    </row>
    <row r="83" spans="1:13" s="38" customFormat="1" ht="15.5">
      <c r="A83" s="8" t="s">
        <v>56</v>
      </c>
      <c r="B83" s="120">
        <v>86497.941439017435</v>
      </c>
      <c r="C83" s="9" t="s">
        <v>80</v>
      </c>
      <c r="D83" s="21">
        <v>3.5619699975204554E-2</v>
      </c>
      <c r="E83" s="21">
        <v>9.1300791729524905E-2</v>
      </c>
      <c r="F83" s="14">
        <v>4.8000791729524907E-2</v>
      </c>
      <c r="G83" s="14">
        <v>0.3</v>
      </c>
      <c r="H83" s="15" t="s">
        <v>51</v>
      </c>
      <c r="I83" s="60">
        <f t="shared" si="17"/>
        <v>1.3689951892975036E-2</v>
      </c>
      <c r="J83" s="60">
        <f t="shared" si="18"/>
        <v>4.8763197910275442E-4</v>
      </c>
      <c r="K83" s="60">
        <f t="shared" si="19"/>
        <v>1.2499034465677291E-3</v>
      </c>
      <c r="L83" s="60">
        <f t="shared" si="20"/>
        <v>6.5712852960190995E-4</v>
      </c>
      <c r="M83" s="60">
        <f t="shared" si="21"/>
        <v>4.1069855678925104E-3</v>
      </c>
    </row>
    <row r="84" spans="1:13" s="38" customFormat="1" ht="15.5">
      <c r="A84" s="8" t="s">
        <v>103</v>
      </c>
      <c r="B84" s="120">
        <v>118844.826</v>
      </c>
      <c r="C84" s="9" t="s">
        <v>62</v>
      </c>
      <c r="D84" s="21">
        <v>9.9060015290519873E-2</v>
      </c>
      <c r="E84" s="21">
        <v>0.17679239791446311</v>
      </c>
      <c r="F84" s="14">
        <v>0.1334923979144631</v>
      </c>
      <c r="G84" s="14">
        <v>0.25</v>
      </c>
      <c r="H84" s="15" t="s">
        <v>51</v>
      </c>
      <c r="I84" s="60">
        <f t="shared" si="17"/>
        <v>1.8809464405763206E-2</v>
      </c>
      <c r="J84" s="60">
        <f t="shared" si="18"/>
        <v>1.8632658316413925E-3</v>
      </c>
      <c r="K84" s="60">
        <f t="shared" si="19"/>
        <v>3.325370315781619E-3</v>
      </c>
      <c r="L84" s="60">
        <f t="shared" si="20"/>
        <v>2.5109205070120719E-3</v>
      </c>
      <c r="M84" s="60">
        <f t="shared" si="21"/>
        <v>4.7023661014408014E-3</v>
      </c>
    </row>
    <row r="85" spans="1:13" s="38" customFormat="1" ht="15.5">
      <c r="A85" s="8" t="s">
        <v>31</v>
      </c>
      <c r="B85" s="120">
        <v>34015.620000000003</v>
      </c>
      <c r="C85" s="9" t="s">
        <v>77</v>
      </c>
      <c r="D85" s="21">
        <v>6.4371549301595152E-2</v>
      </c>
      <c r="E85" s="21">
        <v>0.13004652884453358</v>
      </c>
      <c r="F85" s="14">
        <v>8.6746528844533571E-2</v>
      </c>
      <c r="G85" s="14">
        <v>0.3</v>
      </c>
      <c r="H85" s="15" t="s">
        <v>51</v>
      </c>
      <c r="I85" s="60">
        <f t="shared" si="17"/>
        <v>5.383621779461961E-3</v>
      </c>
      <c r="J85" s="60">
        <f t="shared" si="18"/>
        <v>3.4655207479777705E-4</v>
      </c>
      <c r="K85" s="60">
        <f t="shared" si="19"/>
        <v>7.0012132503085905E-4</v>
      </c>
      <c r="L85" s="60">
        <f t="shared" si="20"/>
        <v>4.6701050198015613E-4</v>
      </c>
      <c r="M85" s="60">
        <f t="shared" si="21"/>
        <v>1.6150865338385883E-3</v>
      </c>
    </row>
    <row r="86" spans="1:13" s="38" customFormat="1" ht="15.5">
      <c r="A86" s="8" t="s">
        <v>106</v>
      </c>
      <c r="B86" s="120">
        <v>102050.47386363636</v>
      </c>
      <c r="C86" s="9" t="s">
        <v>78</v>
      </c>
      <c r="D86" s="21">
        <v>2.4794104884701216E-2</v>
      </c>
      <c r="E86" s="21">
        <v>7.6712315811728132E-2</v>
      </c>
      <c r="F86" s="14">
        <v>3.3412315811728134E-2</v>
      </c>
      <c r="G86" s="14">
        <v>0.25</v>
      </c>
      <c r="H86" s="15" t="s">
        <v>51</v>
      </c>
      <c r="I86" s="60">
        <f t="shared" si="17"/>
        <v>1.6151437301354092E-2</v>
      </c>
      <c r="J86" s="60">
        <f t="shared" si="18"/>
        <v>4.0046043048844892E-4</v>
      </c>
      <c r="K86" s="60">
        <f t="shared" si="19"/>
        <v>1.2390141590748012E-3</v>
      </c>
      <c r="L86" s="60">
        <f t="shared" si="20"/>
        <v>5.3965692392616887E-4</v>
      </c>
      <c r="M86" s="60">
        <f t="shared" si="21"/>
        <v>4.037859325338523E-3</v>
      </c>
    </row>
    <row r="87" spans="1:13" s="38" customFormat="1" ht="15.5">
      <c r="A87" s="8" t="s">
        <v>107</v>
      </c>
      <c r="B87" s="120">
        <v>34400.509852043651</v>
      </c>
      <c r="C87" s="9" t="s">
        <v>48</v>
      </c>
      <c r="D87" s="21">
        <v>4.4582827093148182E-2</v>
      </c>
      <c r="E87" s="21">
        <v>0.10337942232813085</v>
      </c>
      <c r="F87" s="14">
        <v>6.0079422328130849E-2</v>
      </c>
      <c r="G87" s="14">
        <v>0.25</v>
      </c>
      <c r="H87" s="15" t="s">
        <v>51</v>
      </c>
      <c r="I87" s="60">
        <f t="shared" si="17"/>
        <v>5.4445379523894591E-3</v>
      </c>
      <c r="J87" s="60">
        <f t="shared" si="18"/>
        <v>2.4273289413346232E-4</v>
      </c>
      <c r="K87" s="60">
        <f t="shared" si="19"/>
        <v>5.6285318836160668E-4</v>
      </c>
      <c r="L87" s="60">
        <f t="shared" si="20"/>
        <v>3.2710469502314309E-4</v>
      </c>
      <c r="M87" s="60">
        <f t="shared" si="21"/>
        <v>1.3611344880973648E-3</v>
      </c>
    </row>
    <row r="88" spans="1:13" s="38" customFormat="1" ht="15.5">
      <c r="A88" s="8" t="s">
        <v>16</v>
      </c>
      <c r="B88" s="120">
        <v>1788886.8210468132</v>
      </c>
      <c r="C88" s="9" t="s">
        <v>82</v>
      </c>
      <c r="D88" s="21">
        <v>1.885748822216712E-2</v>
      </c>
      <c r="E88" s="21">
        <v>6.8712183856807302E-2</v>
      </c>
      <c r="F88" s="14">
        <v>2.5412183856807311E-2</v>
      </c>
      <c r="G88" s="14">
        <v>0.3</v>
      </c>
      <c r="H88" s="15" t="s">
        <v>51</v>
      </c>
      <c r="I88" s="60">
        <f t="shared" si="17"/>
        <v>0.28312551853472301</v>
      </c>
      <c r="J88" s="60">
        <f t="shared" si="18"/>
        <v>5.3390361311634977E-3</v>
      </c>
      <c r="K88" s="60">
        <f t="shared" si="19"/>
        <v>1.945417268411179E-2</v>
      </c>
      <c r="L88" s="60">
        <f t="shared" si="20"/>
        <v>7.194837731558287E-3</v>
      </c>
      <c r="M88" s="60">
        <f t="shared" si="21"/>
        <v>8.4937655560416894E-2</v>
      </c>
    </row>
    <row r="89" spans="1:13" s="38" customFormat="1" ht="15.5">
      <c r="A89" s="8" t="s">
        <v>22</v>
      </c>
      <c r="B89" s="120">
        <v>17829.215283799655</v>
      </c>
      <c r="C89" s="9" t="s">
        <v>49</v>
      </c>
      <c r="D89" s="21">
        <v>5.4477188197371677E-2</v>
      </c>
      <c r="E89" s="21">
        <v>0.11671297558633223</v>
      </c>
      <c r="F89" s="14">
        <v>7.3412975586332224E-2</v>
      </c>
      <c r="G89" s="14">
        <v>0.3</v>
      </c>
      <c r="H89" s="15" t="s">
        <v>51</v>
      </c>
      <c r="I89" s="60">
        <f t="shared" si="17"/>
        <v>2.8218139699520361E-3</v>
      </c>
      <c r="J89" s="60">
        <f t="shared" si="18"/>
        <v>1.5372449069904958E-4</v>
      </c>
      <c r="K89" s="60">
        <f t="shared" si="19"/>
        <v>3.2934230498418319E-4</v>
      </c>
      <c r="L89" s="60">
        <f t="shared" si="20"/>
        <v>2.0715776008526003E-4</v>
      </c>
      <c r="M89" s="60">
        <f t="shared" si="21"/>
        <v>8.4654419098561075E-4</v>
      </c>
    </row>
    <row r="90" spans="1:13" s="38" customFormat="1" ht="15.5">
      <c r="A90" s="8" t="s">
        <v>26</v>
      </c>
      <c r="B90" s="120">
        <v>83382.399999999994</v>
      </c>
      <c r="C90" s="9" t="s">
        <v>123</v>
      </c>
      <c r="D90" s="21">
        <v>2.1767594429291676E-2</v>
      </c>
      <c r="E90" s="21">
        <v>7.2633817168042999E-2</v>
      </c>
      <c r="F90" s="14">
        <v>2.9333817168043005E-2</v>
      </c>
      <c r="G90" s="14">
        <v>0.25</v>
      </c>
      <c r="H90" s="15" t="s">
        <v>51</v>
      </c>
      <c r="I90" s="60">
        <f t="shared" si="17"/>
        <v>1.3196857933614291E-2</v>
      </c>
      <c r="J90" s="60">
        <f t="shared" si="18"/>
        <v>2.8726385123989612E-4</v>
      </c>
      <c r="K90" s="60">
        <f t="shared" si="19"/>
        <v>9.5853816634277819E-4</v>
      </c>
      <c r="L90" s="60">
        <f t="shared" si="20"/>
        <v>3.8711421781727944E-4</v>
      </c>
      <c r="M90" s="60">
        <f t="shared" si="21"/>
        <v>3.2992144834035728E-3</v>
      </c>
    </row>
    <row r="91" spans="1:13" s="38" customFormat="1" ht="15.5">
      <c r="A91" s="8" t="s">
        <v>27</v>
      </c>
      <c r="B91" s="120">
        <v>42956.263543948167</v>
      </c>
      <c r="C91" s="9" t="s">
        <v>123</v>
      </c>
      <c r="D91" s="21">
        <v>2.1767594429291676E-2</v>
      </c>
      <c r="E91" s="21">
        <v>7.2633817168042999E-2</v>
      </c>
      <c r="F91" s="14">
        <v>2.9333817168043005E-2</v>
      </c>
      <c r="G91" s="14">
        <v>0.1</v>
      </c>
      <c r="H91" s="15" t="s">
        <v>51</v>
      </c>
      <c r="I91" s="60">
        <f t="shared" si="17"/>
        <v>6.7986494433882778E-3</v>
      </c>
      <c r="J91" s="60">
        <f t="shared" si="18"/>
        <v>1.4799024375060563E-4</v>
      </c>
      <c r="K91" s="60">
        <f t="shared" si="19"/>
        <v>4.9381186066068143E-4</v>
      </c>
      <c r="L91" s="60">
        <f t="shared" si="20"/>
        <v>1.9943033976196908E-4</v>
      </c>
      <c r="M91" s="60">
        <f t="shared" si="21"/>
        <v>6.7986494433882781E-4</v>
      </c>
    </row>
    <row r="92" spans="1:13" s="38" customFormat="1" ht="15.5">
      <c r="A92" s="8" t="s">
        <v>28</v>
      </c>
      <c r="B92" s="120">
        <v>267603.24865525268</v>
      </c>
      <c r="C92" s="9" t="s">
        <v>81</v>
      </c>
      <c r="D92" s="21">
        <v>1.5830977766757577E-2</v>
      </c>
      <c r="E92" s="21">
        <v>6.4633685213122183E-2</v>
      </c>
      <c r="F92" s="14">
        <v>2.1333685213122178E-2</v>
      </c>
      <c r="G92" s="14">
        <v>0.29499999999999998</v>
      </c>
      <c r="H92" s="15" t="s">
        <v>51</v>
      </c>
      <c r="I92" s="60">
        <f t="shared" si="17"/>
        <v>4.2353327021973815E-2</v>
      </c>
      <c r="J92" s="60">
        <f t="shared" si="18"/>
        <v>6.704945784330804E-4</v>
      </c>
      <c r="K92" s="60">
        <f t="shared" si="19"/>
        <v>2.7374516064666769E-3</v>
      </c>
      <c r="L92" s="60">
        <f t="shared" si="20"/>
        <v>9.0355254641521078E-4</v>
      </c>
      <c r="M92" s="60">
        <f t="shared" si="21"/>
        <v>1.2494231471482275E-2</v>
      </c>
    </row>
    <row r="93" spans="1:13" s="38" customFormat="1" ht="15.5">
      <c r="A93" s="8" t="s">
        <v>33</v>
      </c>
      <c r="B93" s="120">
        <v>3782.4372960432288</v>
      </c>
      <c r="C93" s="9" t="s">
        <v>99</v>
      </c>
      <c r="D93" s="21">
        <v>7.4265910405818647E-2</v>
      </c>
      <c r="E93" s="21">
        <v>0.14338008210273495</v>
      </c>
      <c r="F93" s="14">
        <v>0.10008008210273495</v>
      </c>
      <c r="G93" s="14">
        <v>0.36</v>
      </c>
      <c r="H93" s="15" t="s">
        <v>51</v>
      </c>
      <c r="I93" s="60">
        <f t="shared" si="17"/>
        <v>5.9864297068310186E-4</v>
      </c>
      <c r="J93" s="60">
        <f t="shared" si="18"/>
        <v>4.4458765225824364E-5</v>
      </c>
      <c r="K93" s="60">
        <f t="shared" si="19"/>
        <v>8.5833478286768294E-5</v>
      </c>
      <c r="L93" s="60">
        <f t="shared" si="20"/>
        <v>5.991223765618998E-5</v>
      </c>
      <c r="M93" s="60">
        <f t="shared" si="21"/>
        <v>2.1551146944591667E-4</v>
      </c>
    </row>
    <row r="94" spans="1:13" s="38" customFormat="1" ht="15.5">
      <c r="A94" s="8" t="s">
        <v>69</v>
      </c>
      <c r="B94" s="120">
        <v>77240.831587166962</v>
      </c>
      <c r="C94" s="9" t="s">
        <v>81</v>
      </c>
      <c r="D94" s="21">
        <v>1.5830977766757577E-2</v>
      </c>
      <c r="E94" s="21">
        <v>6.4633685213122183E-2</v>
      </c>
      <c r="F94" s="14">
        <v>2.1333685213122178E-2</v>
      </c>
      <c r="G94" s="14">
        <v>0.25</v>
      </c>
      <c r="H94" s="15" t="s">
        <v>51</v>
      </c>
      <c r="I94" s="60">
        <f t="shared" si="17"/>
        <v>1.2224837389306013E-2</v>
      </c>
      <c r="J94" s="60">
        <f t="shared" si="18"/>
        <v>1.9353112891233023E-4</v>
      </c>
      <c r="K94" s="60">
        <f t="shared" si="19"/>
        <v>7.9013629160201129E-4</v>
      </c>
      <c r="L94" s="60">
        <f t="shared" si="20"/>
        <v>2.6080083264506081E-4</v>
      </c>
      <c r="M94" s="60">
        <f t="shared" si="21"/>
        <v>3.0562093473265033E-3</v>
      </c>
    </row>
    <row r="95" spans="1:13" s="38" customFormat="1" ht="15.5">
      <c r="A95" s="8" t="s">
        <v>70</v>
      </c>
      <c r="B95" s="120">
        <v>98400</v>
      </c>
      <c r="C95" s="9" t="s">
        <v>136</v>
      </c>
      <c r="D95" s="21">
        <v>0.17499999999999999</v>
      </c>
      <c r="E95" s="21">
        <v>0.27912844769928802</v>
      </c>
      <c r="F95" s="14">
        <v>0.23582844769928804</v>
      </c>
      <c r="G95" s="14">
        <v>0.34</v>
      </c>
      <c r="H95" s="15" t="s">
        <v>51</v>
      </c>
      <c r="I95" s="60">
        <f t="shared" si="17"/>
        <v>1.5573680065189372E-2</v>
      </c>
      <c r="J95" s="60">
        <f t="shared" si="18"/>
        <v>2.72539401140814E-3</v>
      </c>
      <c r="K95" s="60">
        <f t="shared" si="19"/>
        <v>4.3470571415616562E-3</v>
      </c>
      <c r="L95" s="60">
        <f t="shared" si="20"/>
        <v>3.6727167947389569E-3</v>
      </c>
      <c r="M95" s="60">
        <f t="shared" si="21"/>
        <v>5.295051222164387E-3</v>
      </c>
    </row>
    <row r="96" spans="1:13" s="32" customFormat="1" ht="15.5">
      <c r="A96" s="58" t="s">
        <v>51</v>
      </c>
      <c r="B96" s="53">
        <f>SUM(B77:B95)</f>
        <v>6318352.4759793812</v>
      </c>
      <c r="C96" s="53"/>
      <c r="D96" s="54">
        <f>SUM(J77:J95)</f>
        <v>3.5769376863949848E-2</v>
      </c>
      <c r="E96" s="54">
        <f>SUM(K77:K95)</f>
        <v>9.1502494977120694E-2</v>
      </c>
      <c r="F96" s="54">
        <f>SUM(L77:L95)</f>
        <v>4.8202494977120702E-2</v>
      </c>
      <c r="G96" s="54">
        <f>SUM(M77:M95)</f>
        <v>0.31553952561697912</v>
      </c>
      <c r="H96" s="58"/>
      <c r="I96" s="61">
        <f>SUM(I77:I95)</f>
        <v>0.99999999999999967</v>
      </c>
    </row>
    <row r="97" spans="1:13" s="38" customFormat="1" ht="15.5">
      <c r="A97" s="8" t="s">
        <v>4</v>
      </c>
      <c r="B97" s="120">
        <v>22977.677860797856</v>
      </c>
      <c r="C97" s="9" t="s">
        <v>80</v>
      </c>
      <c r="D97" s="21">
        <v>3.5619699975204554E-2</v>
      </c>
      <c r="E97" s="10">
        <v>9.1300791729524905E-2</v>
      </c>
      <c r="F97" s="14">
        <v>4.8000791729524907E-2</v>
      </c>
      <c r="G97" s="14">
        <v>0.15</v>
      </c>
      <c r="H97" s="15" t="s">
        <v>608</v>
      </c>
      <c r="I97" s="60">
        <f t="shared" ref="I97:I122" si="22">B97/$B$123</f>
        <v>7.2416882271827696E-3</v>
      </c>
      <c r="J97" s="60">
        <f t="shared" ref="J97:J121" si="23">I97*D97</f>
        <v>2.5794676196622118E-4</v>
      </c>
      <c r="K97" s="60">
        <f t="shared" ref="K97:K121" si="24">I97*E97</f>
        <v>6.6117186860016651E-4</v>
      </c>
      <c r="L97" s="60">
        <f t="shared" ref="L97:L121" si="25">I97*F97</f>
        <v>3.476067683631526E-4</v>
      </c>
      <c r="M97" s="60">
        <f t="shared" si="21"/>
        <v>1.0862532340774154E-3</v>
      </c>
    </row>
    <row r="98" spans="1:13" s="38" customFormat="1" ht="15.5">
      <c r="A98" s="8" t="s">
        <v>19</v>
      </c>
      <c r="B98" s="120">
        <v>24212.134631064004</v>
      </c>
      <c r="C98" s="9" t="s">
        <v>80</v>
      </c>
      <c r="D98" s="21">
        <v>3.5619699975204554E-2</v>
      </c>
      <c r="E98" s="10">
        <v>9.1300791729524905E-2</v>
      </c>
      <c r="F98" s="14">
        <v>4.8000791729524907E-2</v>
      </c>
      <c r="G98" s="14">
        <v>0.18</v>
      </c>
      <c r="H98" s="15" t="s">
        <v>608</v>
      </c>
      <c r="I98" s="60">
        <f t="shared" si="22"/>
        <v>7.6307419476831419E-3</v>
      </c>
      <c r="J98" s="60">
        <f t="shared" si="23"/>
        <v>2.7180473876468154E-4</v>
      </c>
      <c r="K98" s="60">
        <f t="shared" si="24"/>
        <v>6.9669278130716778E-4</v>
      </c>
      <c r="L98" s="60">
        <f t="shared" si="25"/>
        <v>3.6628165497248774E-4</v>
      </c>
      <c r="M98" s="60">
        <f t="shared" si="21"/>
        <v>1.3735335505829654E-3</v>
      </c>
    </row>
    <row r="99" spans="1:13" s="38" customFormat="1" ht="15.5">
      <c r="A99" s="8" t="s">
        <v>20</v>
      </c>
      <c r="B99" s="120">
        <v>72356.176470588238</v>
      </c>
      <c r="C99" s="9" t="s">
        <v>78</v>
      </c>
      <c r="D99" s="21">
        <v>2.4794104884701216E-2</v>
      </c>
      <c r="E99" s="10">
        <v>7.6712315811728132E-2</v>
      </c>
      <c r="F99" s="14">
        <v>3.3412315811728134E-2</v>
      </c>
      <c r="G99" s="14">
        <v>0.2</v>
      </c>
      <c r="H99" s="15" t="s">
        <v>608</v>
      </c>
      <c r="I99" s="60">
        <f t="shared" si="22"/>
        <v>2.280390884080501E-2</v>
      </c>
      <c r="J99" s="60">
        <f t="shared" si="23"/>
        <v>5.6540250758008474E-4</v>
      </c>
      <c r="K99" s="60">
        <f t="shared" si="24"/>
        <v>1.7493406567376931E-3</v>
      </c>
      <c r="L99" s="60">
        <f t="shared" si="25"/>
        <v>7.6193140393083624E-4</v>
      </c>
      <c r="M99" s="60">
        <f t="shared" si="21"/>
        <v>4.5607817681610026E-3</v>
      </c>
    </row>
    <row r="100" spans="1:13" s="38" customFormat="1" ht="15.5">
      <c r="A100" s="8" t="s">
        <v>5</v>
      </c>
      <c r="B100" s="120">
        <v>71857.382745606592</v>
      </c>
      <c r="C100" s="9" t="s">
        <v>136</v>
      </c>
      <c r="D100" s="21">
        <v>0.17499999999999999</v>
      </c>
      <c r="E100" s="10">
        <v>0.27912844769928802</v>
      </c>
      <c r="F100" s="14">
        <v>0.23582844769928804</v>
      </c>
      <c r="G100" s="14">
        <v>0.18</v>
      </c>
      <c r="H100" s="15" t="s">
        <v>608</v>
      </c>
      <c r="I100" s="60">
        <f t="shared" si="22"/>
        <v>2.2646708071089511E-2</v>
      </c>
      <c r="J100" s="60">
        <f t="shared" si="23"/>
        <v>3.9631739124406642E-3</v>
      </c>
      <c r="K100" s="60">
        <f t="shared" si="24"/>
        <v>6.321340469382152E-3</v>
      </c>
      <c r="L100" s="60">
        <f t="shared" si="25"/>
        <v>5.3407380099039772E-3</v>
      </c>
      <c r="M100" s="60">
        <f t="shared" si="21"/>
        <v>4.076407452796112E-3</v>
      </c>
    </row>
    <row r="101" spans="1:13" s="38" customFormat="1" ht="15.5">
      <c r="A101" s="8" t="s">
        <v>7</v>
      </c>
      <c r="B101" s="120">
        <v>27054.889362885206</v>
      </c>
      <c r="C101" s="9" t="s">
        <v>77</v>
      </c>
      <c r="D101" s="21">
        <v>6.4371549301595152E-2</v>
      </c>
      <c r="E101" s="10">
        <v>0.13004652884453358</v>
      </c>
      <c r="F101" s="14">
        <v>8.6746528844533571E-2</v>
      </c>
      <c r="G101" s="14">
        <v>0.1</v>
      </c>
      <c r="H101" s="15" t="s">
        <v>608</v>
      </c>
      <c r="I101" s="60">
        <f t="shared" si="22"/>
        <v>8.526669882564673E-3</v>
      </c>
      <c r="J101" s="60">
        <f t="shared" si="23"/>
        <v>5.4887495072393835E-4</v>
      </c>
      <c r="K101" s="60">
        <f t="shared" si="24"/>
        <v>1.1088638208307624E-3</v>
      </c>
      <c r="L101" s="60">
        <f t="shared" si="25"/>
        <v>7.3965901491571204E-4</v>
      </c>
      <c r="M101" s="60">
        <f t="shared" si="21"/>
        <v>8.526669882564673E-4</v>
      </c>
    </row>
    <row r="102" spans="1:13" s="38" customFormat="1" ht="15.5">
      <c r="A102" s="8" t="s">
        <v>93</v>
      </c>
      <c r="B102" s="120">
        <v>101584.38467278588</v>
      </c>
      <c r="C102" s="9" t="s">
        <v>81</v>
      </c>
      <c r="D102" s="21">
        <v>1.5830977766757577E-2</v>
      </c>
      <c r="E102" s="10">
        <v>6.4633685213122183E-2</v>
      </c>
      <c r="F102" s="14">
        <v>2.1333685213122178E-2</v>
      </c>
      <c r="G102" s="14">
        <v>0.1</v>
      </c>
      <c r="H102" s="15" t="s">
        <v>608</v>
      </c>
      <c r="I102" s="60">
        <f t="shared" si="22"/>
        <v>3.201552598165703E-2</v>
      </c>
      <c r="J102" s="60">
        <f t="shared" si="23"/>
        <v>5.0683708000666199E-4</v>
      </c>
      <c r="K102" s="60">
        <f t="shared" si="24"/>
        <v>2.0692814282309551E-3</v>
      </c>
      <c r="L102" s="60">
        <f t="shared" si="25"/>
        <v>6.8300915322520547E-4</v>
      </c>
      <c r="M102" s="60">
        <f t="shared" si="21"/>
        <v>3.201552598165703E-3</v>
      </c>
    </row>
    <row r="103" spans="1:13" s="38" customFormat="1" ht="15.5">
      <c r="A103" s="8" t="s">
        <v>97</v>
      </c>
      <c r="B103" s="120">
        <v>82688.842717392588</v>
      </c>
      <c r="C103" s="9" t="s">
        <v>43</v>
      </c>
      <c r="D103" s="21">
        <v>1.1873233325068186E-2</v>
      </c>
      <c r="E103" s="10">
        <v>5.9300263909841638E-2</v>
      </c>
      <c r="F103" s="14">
        <v>1.600026390984164E-2</v>
      </c>
      <c r="G103" s="14">
        <v>0.18</v>
      </c>
      <c r="H103" s="15" t="s">
        <v>608</v>
      </c>
      <c r="I103" s="60">
        <f t="shared" si="22"/>
        <v>2.6060371394079473E-2</v>
      </c>
      <c r="J103" s="60">
        <f t="shared" si="23"/>
        <v>3.0942087009983807E-4</v>
      </c>
      <c r="K103" s="60">
        <f t="shared" si="24"/>
        <v>1.5453869012574005E-3</v>
      </c>
      <c r="L103" s="60">
        <f t="shared" si="25"/>
        <v>4.1697281989375927E-4</v>
      </c>
      <c r="M103" s="60">
        <f t="shared" si="21"/>
        <v>4.6908668509343049E-3</v>
      </c>
    </row>
    <row r="104" spans="1:13" s="38" customFormat="1" ht="15.5">
      <c r="A104" s="8" t="s">
        <v>100</v>
      </c>
      <c r="B104" s="120">
        <v>330858.33987168607</v>
      </c>
      <c r="C104" s="9" t="s">
        <v>46</v>
      </c>
      <c r="D104" s="21">
        <v>5.9366166625340932E-3</v>
      </c>
      <c r="E104" s="10">
        <v>5.1300131954920822E-2</v>
      </c>
      <c r="F104" s="14">
        <v>8.0001319549208201E-3</v>
      </c>
      <c r="G104" s="14">
        <v>0.19</v>
      </c>
      <c r="H104" s="15" t="s">
        <v>608</v>
      </c>
      <c r="I104" s="60">
        <f t="shared" si="22"/>
        <v>0.10427393748094042</v>
      </c>
      <c r="J104" s="60">
        <f t="shared" si="23"/>
        <v>6.1903439471738917E-4</v>
      </c>
      <c r="K104" s="60">
        <f t="shared" si="24"/>
        <v>5.3492667522314075E-3</v>
      </c>
      <c r="L104" s="60">
        <f t="shared" si="25"/>
        <v>8.3420525930668731E-4</v>
      </c>
      <c r="M104" s="60">
        <f t="shared" si="21"/>
        <v>1.981204812137868E-2</v>
      </c>
    </row>
    <row r="105" spans="1:13" s="38" customFormat="1" ht="15.5">
      <c r="A105" s="8" t="s">
        <v>105</v>
      </c>
      <c r="B105" s="120">
        <v>40744.848827953661</v>
      </c>
      <c r="C105" s="9" t="s">
        <v>41</v>
      </c>
      <c r="D105" s="21">
        <v>6.9842548970989338E-3</v>
      </c>
      <c r="E105" s="10">
        <v>5.2711919946965669E-2</v>
      </c>
      <c r="F105" s="14">
        <v>9.4119199469656703E-3</v>
      </c>
      <c r="G105" s="14">
        <v>0.2</v>
      </c>
      <c r="H105" s="15" t="s">
        <v>608</v>
      </c>
      <c r="I105" s="60">
        <f t="shared" si="22"/>
        <v>1.2841223289109523E-2</v>
      </c>
      <c r="J105" s="60">
        <f t="shared" si="23"/>
        <v>8.9686376641704067E-5</v>
      </c>
      <c r="K105" s="60">
        <f t="shared" si="24"/>
        <v>6.7688553403665236E-4</v>
      </c>
      <c r="L105" s="60">
        <f t="shared" si="25"/>
        <v>1.2086056561821003E-4</v>
      </c>
      <c r="M105" s="60">
        <f t="shared" si="21"/>
        <v>2.5682446578219049E-3</v>
      </c>
    </row>
    <row r="106" spans="1:13" s="38" customFormat="1" ht="15.5">
      <c r="A106" s="8" t="s">
        <v>132</v>
      </c>
      <c r="B106" s="120">
        <v>30535.530479022662</v>
      </c>
      <c r="C106" s="9" t="s">
        <v>79</v>
      </c>
      <c r="D106" s="21">
        <v>2.9799487560955448E-2</v>
      </c>
      <c r="E106" s="10">
        <v>8.3457525107053523E-2</v>
      </c>
      <c r="F106" s="14">
        <v>4.0157525107053525E-2</v>
      </c>
      <c r="G106" s="14">
        <v>0.15</v>
      </c>
      <c r="H106" s="15" t="s">
        <v>608</v>
      </c>
      <c r="I106" s="60">
        <f t="shared" si="22"/>
        <v>9.6236352916230141E-3</v>
      </c>
      <c r="J106" s="60">
        <f t="shared" si="23"/>
        <v>2.8677940016389185E-4</v>
      </c>
      <c r="K106" s="60">
        <f t="shared" si="24"/>
        <v>8.0316478397175403E-4</v>
      </c>
      <c r="L106" s="60">
        <f t="shared" si="25"/>
        <v>3.8646137584447755E-4</v>
      </c>
      <c r="M106" s="60">
        <f t="shared" si="21"/>
        <v>1.4435452937434522E-3</v>
      </c>
    </row>
    <row r="107" spans="1:13" s="38" customFormat="1" ht="15.5">
      <c r="A107" s="8" t="s">
        <v>108</v>
      </c>
      <c r="B107" s="120">
        <v>212388.90645872394</v>
      </c>
      <c r="C107" s="9" t="s">
        <v>82</v>
      </c>
      <c r="D107" s="21">
        <v>1.885748822216712E-2</v>
      </c>
      <c r="E107" s="10">
        <v>6.8712183856807302E-2</v>
      </c>
      <c r="F107" s="14">
        <v>2.5412183856807311E-2</v>
      </c>
      <c r="G107" s="14">
        <v>0.09</v>
      </c>
      <c r="H107" s="15" t="s">
        <v>608</v>
      </c>
      <c r="I107" s="60">
        <f t="shared" si="22"/>
        <v>6.6936887739662901E-2</v>
      </c>
      <c r="J107" s="60">
        <f t="shared" si="23"/>
        <v>1.2622615721792159E-3</v>
      </c>
      <c r="K107" s="60">
        <f t="shared" si="24"/>
        <v>4.5993797371701875E-3</v>
      </c>
      <c r="L107" s="60">
        <f t="shared" si="25"/>
        <v>1.7010124980427848E-3</v>
      </c>
      <c r="M107" s="60">
        <f t="shared" si="21"/>
        <v>6.0243198965696607E-3</v>
      </c>
    </row>
    <row r="108" spans="1:13" s="38" customFormat="1" ht="15.5">
      <c r="A108" s="8" t="s">
        <v>117</v>
      </c>
      <c r="B108" s="120">
        <v>261421.12108557209</v>
      </c>
      <c r="C108" s="9" t="s">
        <v>81</v>
      </c>
      <c r="D108" s="21">
        <v>1.5830977766757577E-2</v>
      </c>
      <c r="E108" s="10">
        <v>6.4633685213122183E-2</v>
      </c>
      <c r="F108" s="14">
        <v>2.1333685213122178E-2</v>
      </c>
      <c r="G108" s="14">
        <v>0.2</v>
      </c>
      <c r="H108" s="15" t="s">
        <v>608</v>
      </c>
      <c r="I108" s="60">
        <f t="shared" si="22"/>
        <v>8.2389972841083833E-2</v>
      </c>
      <c r="J108" s="60">
        <f t="shared" si="23"/>
        <v>1.3043138282509588E-3</v>
      </c>
      <c r="K108" s="60">
        <f t="shared" si="24"/>
        <v>5.3251675693282985E-3</v>
      </c>
      <c r="L108" s="60">
        <f t="shared" si="25"/>
        <v>1.7576817453093679E-3</v>
      </c>
      <c r="M108" s="60">
        <f t="shared" si="21"/>
        <v>1.6477994568216768E-2</v>
      </c>
    </row>
    <row r="109" spans="1:13" s="38" customFormat="1" ht="15.5">
      <c r="A109" s="8" t="s">
        <v>345</v>
      </c>
      <c r="B109" s="120">
        <v>13987.627908838138</v>
      </c>
      <c r="C109" s="9" t="s">
        <v>77</v>
      </c>
      <c r="D109" s="21">
        <v>6.4371549301595152E-2</v>
      </c>
      <c r="E109" s="10">
        <v>0.13004652884453358</v>
      </c>
      <c r="F109" s="14">
        <v>8.6746528844533571E-2</v>
      </c>
      <c r="G109" s="14">
        <v>0.1</v>
      </c>
      <c r="H109" s="15" t="s">
        <v>608</v>
      </c>
      <c r="I109" s="60">
        <f t="shared" si="22"/>
        <v>4.4083671538656102E-3</v>
      </c>
      <c r="J109" s="60">
        <f t="shared" si="23"/>
        <v>2.8377342358459283E-4</v>
      </c>
      <c r="K109" s="60">
        <f t="shared" si="24"/>
        <v>5.732928462324785E-4</v>
      </c>
      <c r="L109" s="60">
        <f t="shared" si="25"/>
        <v>3.8241054847009754E-4</v>
      </c>
      <c r="M109" s="60">
        <f t="shared" si="21"/>
        <v>4.4083671538656103E-4</v>
      </c>
    </row>
    <row r="110" spans="1:13" s="38" customFormat="1" ht="15.5">
      <c r="A110" s="8" t="s">
        <v>120</v>
      </c>
      <c r="B110" s="120">
        <v>43627.078481287048</v>
      </c>
      <c r="C110" s="9" t="s">
        <v>43</v>
      </c>
      <c r="D110" s="21">
        <v>1.1873233325068186E-2</v>
      </c>
      <c r="E110" s="10">
        <v>5.9300263909841638E-2</v>
      </c>
      <c r="F110" s="14">
        <v>1.600026390984164E-2</v>
      </c>
      <c r="G110" s="14">
        <v>0.2</v>
      </c>
      <c r="H110" s="15" t="s">
        <v>608</v>
      </c>
      <c r="I110" s="60">
        <f t="shared" si="22"/>
        <v>1.3749592214595744E-2</v>
      </c>
      <c r="J110" s="60">
        <f t="shared" si="23"/>
        <v>1.6325211648843626E-4</v>
      </c>
      <c r="K110" s="60">
        <f t="shared" si="24"/>
        <v>8.1535444697823157E-4</v>
      </c>
      <c r="L110" s="60">
        <f t="shared" si="25"/>
        <v>2.1999710408623587E-4</v>
      </c>
      <c r="M110" s="60">
        <f t="shared" si="21"/>
        <v>2.7499184429191489E-3</v>
      </c>
    </row>
    <row r="111" spans="1:13" s="38" customFormat="1" ht="15.5">
      <c r="A111" s="8" t="s">
        <v>13</v>
      </c>
      <c r="B111" s="120">
        <v>77836.396962771963</v>
      </c>
      <c r="C111" s="9" t="s">
        <v>42</v>
      </c>
      <c r="D111" s="21">
        <v>8.3811058765187203E-3</v>
      </c>
      <c r="E111" s="10">
        <v>5.4594303936358807E-2</v>
      </c>
      <c r="F111" s="14">
        <v>1.1294303936358805E-2</v>
      </c>
      <c r="G111" s="14">
        <v>0.15</v>
      </c>
      <c r="H111" s="15" t="s">
        <v>608</v>
      </c>
      <c r="I111" s="60">
        <f t="shared" si="22"/>
        <v>2.4531065451713935E-2</v>
      </c>
      <c r="J111" s="60">
        <f t="shared" si="23"/>
        <v>2.0559745681462502E-4</v>
      </c>
      <c r="K111" s="60">
        <f t="shared" si="24"/>
        <v>1.3392564431535816E-3</v>
      </c>
      <c r="L111" s="60">
        <f t="shared" si="25"/>
        <v>2.7706130909436821E-4</v>
      </c>
      <c r="M111" s="60">
        <f t="shared" si="21"/>
        <v>3.67965981775709E-3</v>
      </c>
    </row>
    <row r="112" spans="1:13" s="38" customFormat="1" ht="15.5">
      <c r="A112" s="8" t="s">
        <v>144</v>
      </c>
      <c r="B112" s="120">
        <v>14761.237042205697</v>
      </c>
      <c r="C112" s="9" t="s">
        <v>80</v>
      </c>
      <c r="D112" s="21">
        <v>3.5619699975204554E-2</v>
      </c>
      <c r="E112" s="10">
        <v>9.1300791729524905E-2</v>
      </c>
      <c r="F112" s="14">
        <v>4.8000791729524907E-2</v>
      </c>
      <c r="G112" s="14">
        <v>0.1</v>
      </c>
      <c r="H112" s="15" t="s">
        <v>608</v>
      </c>
      <c r="I112" s="60">
        <f t="shared" si="22"/>
        <v>4.6521792652324812E-3</v>
      </c>
      <c r="J112" s="60">
        <f t="shared" si="23"/>
        <v>1.6570922965844856E-4</v>
      </c>
      <c r="K112" s="60">
        <f t="shared" si="24"/>
        <v>4.2474765018340495E-4</v>
      </c>
      <c r="L112" s="60">
        <f t="shared" si="25"/>
        <v>2.2330828799883853E-4</v>
      </c>
      <c r="M112" s="60">
        <f t="shared" si="21"/>
        <v>4.6521792652324813E-4</v>
      </c>
    </row>
    <row r="113" spans="1:13" s="38" customFormat="1" ht="15.5">
      <c r="A113" s="8" t="s">
        <v>17</v>
      </c>
      <c r="B113" s="120">
        <v>16539.436547294972</v>
      </c>
      <c r="C113" s="9" t="s">
        <v>77</v>
      </c>
      <c r="D113" s="21">
        <v>6.4371549301595152E-2</v>
      </c>
      <c r="E113" s="10">
        <v>0.13004652884453358</v>
      </c>
      <c r="F113" s="14">
        <v>8.6746528844533571E-2</v>
      </c>
      <c r="G113" s="14">
        <v>0.12</v>
      </c>
      <c r="H113" s="15" t="s">
        <v>608</v>
      </c>
      <c r="I113" s="60">
        <f t="shared" si="22"/>
        <v>5.212599970039946E-3</v>
      </c>
      <c r="J113" s="60">
        <f t="shared" si="23"/>
        <v>3.3554313596091982E-4</v>
      </c>
      <c r="K113" s="60">
        <f t="shared" si="24"/>
        <v>6.7788053235881465E-4</v>
      </c>
      <c r="L113" s="60">
        <f t="shared" si="25"/>
        <v>4.5217495365608499E-4</v>
      </c>
      <c r="M113" s="60">
        <f t="shared" si="21"/>
        <v>6.2551199640479345E-4</v>
      </c>
    </row>
    <row r="114" spans="1:13" s="38" customFormat="1" ht="15.5">
      <c r="A114" s="8" t="s">
        <v>8</v>
      </c>
      <c r="B114" s="120">
        <v>7404.5419645077918</v>
      </c>
      <c r="C114" s="9" t="s">
        <v>48</v>
      </c>
      <c r="D114" s="21">
        <v>4.4582827093148182E-2</v>
      </c>
      <c r="E114" s="10">
        <v>0.10337942232813085</v>
      </c>
      <c r="F114" s="14">
        <v>6.0079422328130849E-2</v>
      </c>
      <c r="G114" s="14">
        <v>0.15</v>
      </c>
      <c r="H114" s="15" t="s">
        <v>608</v>
      </c>
      <c r="I114" s="60">
        <f t="shared" si="22"/>
        <v>2.3336293900934231E-3</v>
      </c>
      <c r="J114" s="60">
        <f t="shared" si="23"/>
        <v>1.0403979559802393E-4</v>
      </c>
      <c r="K114" s="60">
        <f t="shared" si="24"/>
        <v>2.4124925827580642E-4</v>
      </c>
      <c r="L114" s="60">
        <f t="shared" si="25"/>
        <v>1.4020310568476117E-4</v>
      </c>
      <c r="M114" s="60">
        <f t="shared" si="21"/>
        <v>3.5004440851401345E-4</v>
      </c>
    </row>
    <row r="115" spans="1:13" s="38" customFormat="1" ht="15.5">
      <c r="A115" s="8" t="s">
        <v>30</v>
      </c>
      <c r="B115" s="120">
        <v>811229.10068756633</v>
      </c>
      <c r="C115" s="9" t="s">
        <v>42</v>
      </c>
      <c r="D115" s="21">
        <v>8.3811058765187203E-3</v>
      </c>
      <c r="E115" s="10">
        <v>5.4594303936358807E-2</v>
      </c>
      <c r="F115" s="14">
        <v>1.1294303936358805E-2</v>
      </c>
      <c r="G115" s="14">
        <v>0.19</v>
      </c>
      <c r="H115" s="15" t="s">
        <v>608</v>
      </c>
      <c r="I115" s="60">
        <f t="shared" si="22"/>
        <v>0.25566849111502116</v>
      </c>
      <c r="J115" s="60">
        <f t="shared" si="23"/>
        <v>2.1427846933247782E-3</v>
      </c>
      <c r="K115" s="60">
        <f t="shared" si="24"/>
        <v>1.3958043310883716E-2</v>
      </c>
      <c r="L115" s="60">
        <f t="shared" si="25"/>
        <v>2.8875976456032995E-3</v>
      </c>
      <c r="M115" s="60">
        <f t="shared" si="21"/>
        <v>4.8577013311854017E-2</v>
      </c>
    </row>
    <row r="116" spans="1:13" s="38" customFormat="1" ht="15.5">
      <c r="A116" s="8" t="s">
        <v>0</v>
      </c>
      <c r="B116" s="120">
        <v>351002.57962967013</v>
      </c>
      <c r="C116" s="9" t="s">
        <v>123</v>
      </c>
      <c r="D116" s="21">
        <v>2.1767594429291676E-2</v>
      </c>
      <c r="E116" s="10">
        <v>7.2633817168042999E-2</v>
      </c>
      <c r="F116" s="14">
        <v>2.9333817168043005E-2</v>
      </c>
      <c r="G116" s="14">
        <v>0.16</v>
      </c>
      <c r="H116" s="15" t="s">
        <v>608</v>
      </c>
      <c r="I116" s="60">
        <f t="shared" si="22"/>
        <v>0.11062263401958512</v>
      </c>
      <c r="J116" s="60">
        <f t="shared" si="23"/>
        <v>2.407988632038293E-3</v>
      </c>
      <c r="K116" s="60">
        <f t="shared" si="24"/>
        <v>8.0349441740258792E-3</v>
      </c>
      <c r="L116" s="60">
        <f t="shared" si="25"/>
        <v>3.2449841209778443E-3</v>
      </c>
      <c r="M116" s="60">
        <f t="shared" si="21"/>
        <v>1.7699621443133619E-2</v>
      </c>
    </row>
    <row r="117" spans="1:13" s="38" customFormat="1" ht="15.5">
      <c r="A117" s="8" t="s">
        <v>145</v>
      </c>
      <c r="B117" s="120">
        <v>75187.125426737548</v>
      </c>
      <c r="C117" s="9" t="s">
        <v>79</v>
      </c>
      <c r="D117" s="21">
        <v>2.9799487560955448E-2</v>
      </c>
      <c r="E117" s="10">
        <v>8.3457525107053523E-2</v>
      </c>
      <c r="F117" s="14">
        <v>4.0157525107053525E-2</v>
      </c>
      <c r="G117" s="14">
        <v>0.15</v>
      </c>
      <c r="H117" s="15" t="s">
        <v>608</v>
      </c>
      <c r="I117" s="60">
        <f t="shared" si="22"/>
        <v>2.3696116045192634E-2</v>
      </c>
      <c r="J117" s="60">
        <f t="shared" si="23"/>
        <v>7.0613211533167471E-4</v>
      </c>
      <c r="K117" s="60">
        <f t="shared" si="24"/>
        <v>1.9776191997813181E-3</v>
      </c>
      <c r="L117" s="60">
        <f t="shared" si="25"/>
        <v>9.5157737502447708E-4</v>
      </c>
      <c r="M117" s="60">
        <f t="shared" si="21"/>
        <v>3.5544174067788951E-3</v>
      </c>
    </row>
    <row r="118" spans="1:13" s="38" customFormat="1" ht="15.5">
      <c r="A118" s="8" t="s">
        <v>61</v>
      </c>
      <c r="B118" s="120">
        <v>132793.62228307096</v>
      </c>
      <c r="C118" s="9" t="s">
        <v>43</v>
      </c>
      <c r="D118" s="21">
        <v>1.1873233325068186E-2</v>
      </c>
      <c r="E118" s="10">
        <v>5.9300263909841638E-2</v>
      </c>
      <c r="F118" s="14">
        <v>1.600026390984164E-2</v>
      </c>
      <c r="G118" s="14">
        <v>0.21</v>
      </c>
      <c r="H118" s="15" t="s">
        <v>608</v>
      </c>
      <c r="I118" s="60">
        <f t="shared" si="22"/>
        <v>4.1851488081523613E-2</v>
      </c>
      <c r="J118" s="60">
        <f t="shared" si="23"/>
        <v>4.969124829932402E-4</v>
      </c>
      <c r="K118" s="60">
        <f t="shared" si="24"/>
        <v>2.4818042882539422E-3</v>
      </c>
      <c r="L118" s="60">
        <f t="shared" si="25"/>
        <v>6.6963485432396986E-4</v>
      </c>
      <c r="M118" s="60">
        <f t="shared" si="21"/>
        <v>8.7888124971199581E-3</v>
      </c>
    </row>
    <row r="119" spans="1:13" s="38" customFormat="1" ht="15.5">
      <c r="A119" s="8" t="s">
        <v>187</v>
      </c>
      <c r="B119" s="120">
        <v>68216.781410522774</v>
      </c>
      <c r="C119" s="9" t="s">
        <v>43</v>
      </c>
      <c r="D119" s="21">
        <v>1.1873233325068186E-2</v>
      </c>
      <c r="E119" s="10">
        <v>5.9300263909841638E-2</v>
      </c>
      <c r="F119" s="14">
        <v>1.600026390984164E-2</v>
      </c>
      <c r="G119" s="14">
        <v>0.19</v>
      </c>
      <c r="H119" s="15" t="s">
        <v>608</v>
      </c>
      <c r="I119" s="60">
        <f t="shared" si="22"/>
        <v>2.1499329298183913E-2</v>
      </c>
      <c r="J119" s="60">
        <f>I119*D119</f>
        <v>2.5526655308981205E-4</v>
      </c>
      <c r="K119" s="60">
        <f>I119*E119</f>
        <v>1.2749159012668963E-3</v>
      </c>
      <c r="L119" s="60">
        <f>I119*F119</f>
        <v>3.4399494265553303E-4</v>
      </c>
      <c r="M119" s="60">
        <f>I119*G119</f>
        <v>4.0848725666549433E-3</v>
      </c>
    </row>
    <row r="120" spans="1:13" s="38" customFormat="1" ht="15.5">
      <c r="A120" s="8" t="s">
        <v>379</v>
      </c>
      <c r="B120" s="120">
        <v>12060.602008847782</v>
      </c>
      <c r="C120" s="9" t="s">
        <v>77</v>
      </c>
      <c r="D120" s="21">
        <v>6.4371549301595152E-2</v>
      </c>
      <c r="E120" s="10">
        <v>0.13004652884453358</v>
      </c>
      <c r="F120" s="14">
        <v>8.6746528844533571E-2</v>
      </c>
      <c r="G120" s="14">
        <v>0.18</v>
      </c>
      <c r="H120" s="15" t="s">
        <v>608</v>
      </c>
      <c r="I120" s="60">
        <f t="shared" si="22"/>
        <v>3.8010420421647063E-3</v>
      </c>
      <c r="J120" s="60">
        <f>I120*D120</f>
        <v>2.446789652146413E-4</v>
      </c>
      <c r="K120" s="60">
        <f>I120*E120</f>
        <v>4.9431232357565727E-4</v>
      </c>
      <c r="L120" s="60">
        <f>I120*F120</f>
        <v>3.2972720314992547E-4</v>
      </c>
      <c r="M120" s="60">
        <f>I120*G120</f>
        <v>6.841875675896471E-4</v>
      </c>
    </row>
    <row r="121" spans="1:13" s="38" customFormat="1" ht="15.5">
      <c r="A121" s="8" t="s">
        <v>68</v>
      </c>
      <c r="B121" s="120">
        <v>178757.02138680895</v>
      </c>
      <c r="C121" s="9" t="s">
        <v>338</v>
      </c>
      <c r="D121" s="21">
        <v>0.11884873749896685</v>
      </c>
      <c r="E121" s="10">
        <v>0.20345950443086583</v>
      </c>
      <c r="F121" s="14">
        <v>0.16015950443086582</v>
      </c>
      <c r="G121" s="14">
        <v>0.18</v>
      </c>
      <c r="H121" s="15" t="s">
        <v>608</v>
      </c>
      <c r="I121" s="60">
        <f t="shared" si="22"/>
        <v>5.6337399503352766E-2</v>
      </c>
      <c r="J121" s="60">
        <f t="shared" si="23"/>
        <v>6.6956288049483982E-3</v>
      </c>
      <c r="K121" s="60">
        <f t="shared" si="24"/>
        <v>1.146237938387586E-2</v>
      </c>
      <c r="L121" s="60">
        <f t="shared" si="25"/>
        <v>9.0229699853806855E-3</v>
      </c>
      <c r="M121" s="60">
        <f t="shared" si="21"/>
        <v>1.0140731910603497E-2</v>
      </c>
    </row>
    <row r="122" spans="1:13" s="38" customFormat="1" ht="15.5">
      <c r="A122" s="8" t="s">
        <v>371</v>
      </c>
      <c r="B122" s="120">
        <v>90889.149306731269</v>
      </c>
      <c r="C122" s="9" t="s">
        <v>80</v>
      </c>
      <c r="D122" s="21">
        <v>3.5619699975204554E-2</v>
      </c>
      <c r="E122" s="10">
        <v>9.1300791729524905E-2</v>
      </c>
      <c r="F122" s="14">
        <v>4.8000791729524907E-2</v>
      </c>
      <c r="G122" s="14">
        <v>0.15</v>
      </c>
      <c r="H122" s="15" t="s">
        <v>608</v>
      </c>
      <c r="I122" s="60">
        <f t="shared" si="22"/>
        <v>2.8644795461953546E-2</v>
      </c>
      <c r="J122" s="60">
        <f>I122*D122</f>
        <v>1.0203190202058862E-3</v>
      </c>
      <c r="K122" s="60">
        <f>I122*E122</f>
        <v>2.6152925046066607E-3</v>
      </c>
      <c r="L122" s="60">
        <f>I122*F122</f>
        <v>1.3749728611040723E-3</v>
      </c>
      <c r="M122" s="60">
        <f>I122*G122</f>
        <v>4.2967193192930313E-3</v>
      </c>
    </row>
    <row r="123" spans="1:13" s="32" customFormat="1" ht="15.5">
      <c r="A123" s="58" t="s">
        <v>608</v>
      </c>
      <c r="B123" s="141">
        <f>SUM(B97:B122)</f>
        <v>3172972.5362309404</v>
      </c>
      <c r="C123" s="53"/>
      <c r="D123" s="54">
        <f>SUM(J97:J122)</f>
        <v>2.5213162818787022E-2</v>
      </c>
      <c r="E123" s="54">
        <f>SUM(K97:K122)</f>
        <v>7.7277034566536854E-2</v>
      </c>
      <c r="F123" s="54">
        <f>SUM(L97:L122)</f>
        <v>3.3977034566536855E-2</v>
      </c>
      <c r="G123" s="54">
        <f>SUM(M97:M122)</f>
        <v>0.17230578031123689</v>
      </c>
      <c r="H123" s="58"/>
      <c r="I123" s="61">
        <f>SUM(I97:I122)</f>
        <v>1</v>
      </c>
    </row>
    <row r="124" spans="1:13" s="38" customFormat="1" ht="15.5">
      <c r="A124" s="8" t="s">
        <v>269</v>
      </c>
      <c r="B124" s="120">
        <v>310000</v>
      </c>
      <c r="C124" s="9" t="s">
        <v>45</v>
      </c>
      <c r="D124" s="21">
        <v>4.8889784279692525E-3</v>
      </c>
      <c r="E124" s="21">
        <v>4.9888343962875968E-2</v>
      </c>
      <c r="F124" s="14">
        <v>6.5883439628759682E-3</v>
      </c>
      <c r="G124" s="14">
        <v>0.15</v>
      </c>
      <c r="H124" s="15" t="s">
        <v>126</v>
      </c>
      <c r="I124" s="60">
        <f t="shared" ref="I124:I136" si="26">B124/$B$137</f>
        <v>9.856228083246249E-2</v>
      </c>
      <c r="J124" s="60">
        <f t="shared" ref="J124:J136" si="27">I124*D124</f>
        <v>4.8186886480135644E-4</v>
      </c>
      <c r="K124" s="60">
        <f t="shared" ref="K124:K136" si="28">I124*E124</f>
        <v>4.917108967935466E-3</v>
      </c>
      <c r="L124" s="60">
        <f t="shared" ref="L124:L136" si="29">I124*F124</f>
        <v>6.4936220788984001E-4</v>
      </c>
      <c r="M124" s="60">
        <f t="shared" si="21"/>
        <v>1.4784342124869372E-2</v>
      </c>
    </row>
    <row r="125" spans="1:13" s="38" customFormat="1" ht="15.5">
      <c r="A125" s="8" t="s">
        <v>86</v>
      </c>
      <c r="B125" s="120">
        <v>43205</v>
      </c>
      <c r="C125" s="9" t="s">
        <v>49</v>
      </c>
      <c r="D125" s="21">
        <v>5.4477188197371677E-2</v>
      </c>
      <c r="E125" s="21">
        <v>0.11671297558633223</v>
      </c>
      <c r="F125" s="14">
        <v>7.3412975586332224E-2</v>
      </c>
      <c r="G125" s="14">
        <v>0</v>
      </c>
      <c r="H125" s="15" t="s">
        <v>126</v>
      </c>
      <c r="I125" s="60">
        <f t="shared" si="26"/>
        <v>1.3736720462472717E-2</v>
      </c>
      <c r="J125" s="60">
        <f t="shared" si="27"/>
        <v>7.483379058488127E-4</v>
      </c>
      <c r="K125" s="60">
        <f t="shared" si="28"/>
        <v>1.6032535199728486E-3</v>
      </c>
      <c r="L125" s="60">
        <f t="shared" si="29"/>
        <v>1.00845352394778E-3</v>
      </c>
      <c r="M125" s="60">
        <f t="shared" si="21"/>
        <v>0</v>
      </c>
    </row>
    <row r="126" spans="1:13" s="38" customFormat="1" ht="15.5">
      <c r="A126" s="8" t="s">
        <v>326</v>
      </c>
      <c r="B126" s="120">
        <v>250842.78213946417</v>
      </c>
      <c r="C126" s="9" t="s">
        <v>99</v>
      </c>
      <c r="D126" s="21">
        <v>7.4265910405818647E-2</v>
      </c>
      <c r="E126" s="21">
        <v>0.14338008210273495</v>
      </c>
      <c r="F126" s="14">
        <v>0.10008008210273495</v>
      </c>
      <c r="G126" s="14">
        <v>0.15</v>
      </c>
      <c r="H126" s="15" t="s">
        <v>126</v>
      </c>
      <c r="I126" s="60">
        <f>B126/$B$137</f>
        <v>7.9753666896858311E-2</v>
      </c>
      <c r="J126" s="60">
        <f>I126*D126</f>
        <v>5.9229786802975836E-3</v>
      </c>
      <c r="K126" s="60">
        <f>I126*E126</f>
        <v>1.1435087307665719E-2</v>
      </c>
      <c r="L126" s="60">
        <f>I126*F126</f>
        <v>7.9817535310317544E-3</v>
      </c>
      <c r="M126" s="60">
        <f>I126*G126</f>
        <v>1.1963050034528746E-2</v>
      </c>
    </row>
    <row r="127" spans="1:13" s="38" customFormat="1" ht="15.5">
      <c r="A127" s="8" t="s">
        <v>113</v>
      </c>
      <c r="B127" s="120">
        <v>509901.49570210325</v>
      </c>
      <c r="C127" s="9" t="s">
        <v>81</v>
      </c>
      <c r="D127" s="21">
        <v>1.5830977766757577E-2</v>
      </c>
      <c r="E127" s="21">
        <v>6.4633685213122183E-2</v>
      </c>
      <c r="F127" s="14">
        <v>2.1333685213122178E-2</v>
      </c>
      <c r="G127" s="14">
        <v>0.23</v>
      </c>
      <c r="H127" s="15" t="s">
        <v>126</v>
      </c>
      <c r="I127" s="60">
        <f t="shared" si="26"/>
        <v>0.16211953037510765</v>
      </c>
      <c r="J127" s="60">
        <f t="shared" si="27"/>
        <v>2.5665106809255088E-3</v>
      </c>
      <c r="K127" s="60">
        <f t="shared" si="28"/>
        <v>1.0478382693163908E-2</v>
      </c>
      <c r="L127" s="60">
        <f t="shared" si="29"/>
        <v>3.4586070279217459E-3</v>
      </c>
      <c r="M127" s="60">
        <f t="shared" si="21"/>
        <v>3.7287491986274762E-2</v>
      </c>
    </row>
    <row r="128" spans="1:13" s="38" customFormat="1" ht="15.5">
      <c r="A128" s="8" t="s">
        <v>116</v>
      </c>
      <c r="B128" s="120">
        <v>50813.642348674643</v>
      </c>
      <c r="C128" s="9" t="s">
        <v>80</v>
      </c>
      <c r="D128" s="21">
        <v>3.5619699975204554E-2</v>
      </c>
      <c r="E128" s="21">
        <v>9.1300791729524905E-2</v>
      </c>
      <c r="F128" s="14">
        <v>4.8000791729524907E-2</v>
      </c>
      <c r="G128" s="14">
        <v>0.2</v>
      </c>
      <c r="H128" s="15" t="s">
        <v>126</v>
      </c>
      <c r="I128" s="60">
        <f t="shared" si="26"/>
        <v>1.6155833829968966E-2</v>
      </c>
      <c r="J128" s="60">
        <f t="shared" si="27"/>
        <v>5.7546595387275449E-4</v>
      </c>
      <c r="K128" s="60">
        <f t="shared" si="28"/>
        <v>1.4750404197268092E-3</v>
      </c>
      <c r="L128" s="60">
        <f t="shared" si="29"/>
        <v>7.7549281488915303E-4</v>
      </c>
      <c r="M128" s="60">
        <f t="shared" si="21"/>
        <v>3.2311667659937933E-3</v>
      </c>
    </row>
    <row r="129" spans="1:13" s="38" customFormat="1" ht="15.5">
      <c r="A129" s="8" t="s">
        <v>119</v>
      </c>
      <c r="B129" s="120">
        <v>11000</v>
      </c>
      <c r="C129" s="9" t="s">
        <v>41</v>
      </c>
      <c r="D129" s="21">
        <v>6.9842548970989338E-3</v>
      </c>
      <c r="E129" s="21">
        <v>5.2711919946965669E-2</v>
      </c>
      <c r="F129" s="14">
        <v>9.4119199469656703E-3</v>
      </c>
      <c r="G129" s="14">
        <v>0.15</v>
      </c>
      <c r="H129" s="15" t="s">
        <v>126</v>
      </c>
      <c r="I129" s="60">
        <f t="shared" si="26"/>
        <v>3.4973712553454436E-3</v>
      </c>
      <c r="J129" s="60">
        <f t="shared" si="27"/>
        <v>2.4426532317119461E-5</v>
      </c>
      <c r="K129" s="60">
        <f t="shared" si="28"/>
        <v>1.8435315363658786E-4</v>
      </c>
      <c r="L129" s="60">
        <f t="shared" si="29"/>
        <v>3.291697828013015E-5</v>
      </c>
      <c r="M129" s="60">
        <f t="shared" si="21"/>
        <v>5.2460568830181651E-4</v>
      </c>
    </row>
    <row r="130" spans="1:13" s="38" customFormat="1" ht="15.5">
      <c r="A130" s="8" t="s">
        <v>121</v>
      </c>
      <c r="B130" s="120">
        <v>17937.256175140981</v>
      </c>
      <c r="C130" s="9" t="s">
        <v>136</v>
      </c>
      <c r="D130" s="21">
        <v>0.17499999999999999</v>
      </c>
      <c r="E130" s="21">
        <v>0.27912844769928802</v>
      </c>
      <c r="F130" s="14">
        <v>0.23582844769928804</v>
      </c>
      <c r="G130" s="14">
        <v>0.17</v>
      </c>
      <c r="H130" s="15" t="s">
        <v>126</v>
      </c>
      <c r="I130" s="60">
        <f t="shared" si="26"/>
        <v>5.7030221951550565E-3</v>
      </c>
      <c r="J130" s="60">
        <f t="shared" si="27"/>
        <v>9.9802888415213473E-4</v>
      </c>
      <c r="K130" s="60">
        <f t="shared" si="28"/>
        <v>1.5918757325282169E-3</v>
      </c>
      <c r="L130" s="60">
        <f t="shared" si="29"/>
        <v>1.3449348714780031E-3</v>
      </c>
      <c r="M130" s="60">
        <f t="shared" si="21"/>
        <v>9.6951377317635971E-4</v>
      </c>
    </row>
    <row r="131" spans="1:13" s="38" customFormat="1" ht="15.5">
      <c r="A131" s="8" t="s">
        <v>24</v>
      </c>
      <c r="B131" s="120">
        <v>108192.45773732119</v>
      </c>
      <c r="C131" s="9" t="s">
        <v>78</v>
      </c>
      <c r="D131" s="21">
        <v>2.4794104884701216E-2</v>
      </c>
      <c r="E131" s="21">
        <v>7.6712315811728132E-2</v>
      </c>
      <c r="F131" s="14">
        <v>3.3412315811728134E-2</v>
      </c>
      <c r="G131" s="14">
        <v>0.15</v>
      </c>
      <c r="H131" s="15" t="s">
        <v>126</v>
      </c>
      <c r="I131" s="60">
        <f t="shared" si="26"/>
        <v>3.4399017430516717E-2</v>
      </c>
      <c r="J131" s="60">
        <f t="shared" si="27"/>
        <v>8.5289284610289679E-4</v>
      </c>
      <c r="K131" s="60">
        <f t="shared" si="28"/>
        <v>2.638828288742939E-3</v>
      </c>
      <c r="L131" s="60">
        <f t="shared" si="29"/>
        <v>1.1493508340015654E-3</v>
      </c>
      <c r="M131" s="60">
        <f t="shared" si="21"/>
        <v>5.1598526145775073E-3</v>
      </c>
    </row>
    <row r="132" spans="1:13" s="38" customFormat="1" ht="15.5">
      <c r="A132" s="8" t="s">
        <v>73</v>
      </c>
      <c r="B132" s="120">
        <v>235770.4037349</v>
      </c>
      <c r="C132" s="9" t="s">
        <v>45</v>
      </c>
      <c r="D132" s="21">
        <v>4.8889784279692525E-3</v>
      </c>
      <c r="E132" s="21">
        <v>4.9888343962875968E-2</v>
      </c>
      <c r="F132" s="14">
        <v>6.5883439628759682E-3</v>
      </c>
      <c r="G132" s="14">
        <v>0.1</v>
      </c>
      <c r="H132" s="15" t="s">
        <v>126</v>
      </c>
      <c r="I132" s="60">
        <f t="shared" si="26"/>
        <v>7.4961512080329931E-2</v>
      </c>
      <c r="J132" s="60">
        <f t="shared" si="27"/>
        <v>3.6648521548868955E-4</v>
      </c>
      <c r="K132" s="60">
        <f t="shared" si="28"/>
        <v>3.7397056986407818E-3</v>
      </c>
      <c r="L132" s="60">
        <f t="shared" si="29"/>
        <v>4.9387222556249567E-4</v>
      </c>
      <c r="M132" s="60">
        <f t="shared" si="21"/>
        <v>7.4961512080329931E-3</v>
      </c>
    </row>
    <row r="133" spans="1:13" s="38" customFormat="1" ht="15.5">
      <c r="A133" s="8" t="s">
        <v>287</v>
      </c>
      <c r="B133" s="120">
        <v>11000</v>
      </c>
      <c r="C133" s="9" t="s">
        <v>43</v>
      </c>
      <c r="D133" s="21">
        <v>1.1873233325068186E-2</v>
      </c>
      <c r="E133" s="21">
        <v>5.9300263909841638E-2</v>
      </c>
      <c r="F133" s="14">
        <v>1.600026390984164E-2</v>
      </c>
      <c r="G133" s="14">
        <v>0</v>
      </c>
      <c r="H133" s="15" t="s">
        <v>126</v>
      </c>
      <c r="I133" s="60">
        <f t="shared" si="26"/>
        <v>3.4973712553454436E-3</v>
      </c>
      <c r="J133" s="60">
        <f t="shared" si="27"/>
        <v>4.1525104939103075E-5</v>
      </c>
      <c r="K133" s="60">
        <f t="shared" si="28"/>
        <v>2.0739503843267894E-4</v>
      </c>
      <c r="L133" s="60">
        <f t="shared" si="29"/>
        <v>5.5958863076221252E-5</v>
      </c>
      <c r="M133" s="60">
        <f t="shared" si="21"/>
        <v>0</v>
      </c>
    </row>
    <row r="134" spans="1:13" s="38" customFormat="1" ht="15.5">
      <c r="A134" s="8" t="s">
        <v>2</v>
      </c>
      <c r="B134" s="120">
        <v>1067582.9333333333</v>
      </c>
      <c r="C134" s="9" t="s">
        <v>46</v>
      </c>
      <c r="D134" s="21">
        <v>5.9366166625340932E-3</v>
      </c>
      <c r="E134" s="21">
        <v>5.1300131954920822E-2</v>
      </c>
      <c r="F134" s="14">
        <v>8.0001319549208201E-3</v>
      </c>
      <c r="G134" s="14">
        <v>0.2</v>
      </c>
      <c r="H134" s="15" t="s">
        <v>126</v>
      </c>
      <c r="I134" s="60">
        <f t="shared" si="26"/>
        <v>0.3394303512488519</v>
      </c>
      <c r="J134" s="60">
        <f t="shared" si="27"/>
        <v>2.0150678789937343E-3</v>
      </c>
      <c r="K134" s="60">
        <f t="shared" si="28"/>
        <v>1.7412821808571226E-2</v>
      </c>
      <c r="L134" s="60">
        <f t="shared" si="29"/>
        <v>2.7154875994959381E-3</v>
      </c>
      <c r="M134" s="60">
        <f t="shared" si="21"/>
        <v>6.7886070249770378E-2</v>
      </c>
    </row>
    <row r="135" spans="1:13" s="38" customFormat="1" ht="15.5">
      <c r="A135" s="8" t="s">
        <v>281</v>
      </c>
      <c r="B135" s="120">
        <v>24800</v>
      </c>
      <c r="C135" s="9" t="s">
        <v>78</v>
      </c>
      <c r="D135" s="21">
        <v>2.4794104884701216E-2</v>
      </c>
      <c r="E135" s="21">
        <v>7.6712315811728132E-2</v>
      </c>
      <c r="F135" s="14">
        <v>3.3412315811728134E-2</v>
      </c>
      <c r="G135" s="14">
        <v>0</v>
      </c>
      <c r="H135" s="15" t="s">
        <v>126</v>
      </c>
      <c r="I135" s="60">
        <f t="shared" si="26"/>
        <v>7.8849824665969993E-3</v>
      </c>
      <c r="J135" s="60">
        <f t="shared" si="27"/>
        <v>1.9550108229083612E-4</v>
      </c>
      <c r="K135" s="60">
        <f t="shared" si="28"/>
        <v>6.0487526514752812E-4</v>
      </c>
      <c r="L135" s="60">
        <f t="shared" si="29"/>
        <v>2.63455524343878E-4</v>
      </c>
      <c r="M135" s="60">
        <f t="shared" si="21"/>
        <v>0</v>
      </c>
    </row>
    <row r="136" spans="1:13" s="38" customFormat="1" ht="15.5">
      <c r="A136" s="8" t="s">
        <v>60</v>
      </c>
      <c r="B136" s="120">
        <v>504173.45132743364</v>
      </c>
      <c r="C136" s="9" t="s">
        <v>45</v>
      </c>
      <c r="D136" s="21">
        <v>4.8889784279692525E-3</v>
      </c>
      <c r="E136" s="21">
        <v>4.9888343962875968E-2</v>
      </c>
      <c r="F136" s="14">
        <v>6.5883439628759682E-3</v>
      </c>
      <c r="G136" s="14">
        <v>0.25</v>
      </c>
      <c r="H136" s="15" t="s">
        <v>126</v>
      </c>
      <c r="I136" s="60">
        <f t="shared" si="26"/>
        <v>0.1602983396709883</v>
      </c>
      <c r="J136" s="60">
        <f t="shared" si="27"/>
        <v>7.8369512469074964E-4</v>
      </c>
      <c r="K136" s="60">
        <f t="shared" si="28"/>
        <v>7.9970187061841908E-3</v>
      </c>
      <c r="L136" s="60">
        <f t="shared" si="29"/>
        <v>1.0561005984303972E-3</v>
      </c>
      <c r="M136" s="60">
        <f t="shared" si="21"/>
        <v>4.0074584917747076E-2</v>
      </c>
    </row>
    <row r="137" spans="1:13" s="32" customFormat="1" ht="15.5">
      <c r="A137" s="58" t="s">
        <v>126</v>
      </c>
      <c r="B137" s="141">
        <f>SUM(B124:B136)</f>
        <v>3145219.4224983715</v>
      </c>
      <c r="C137" s="53"/>
      <c r="D137" s="54">
        <f>SUM(J124:J136)</f>
        <v>1.5572784754721281E-2</v>
      </c>
      <c r="E137" s="54">
        <f>SUM(K124:K136)</f>
        <v>6.42857466003489E-2</v>
      </c>
      <c r="F137" s="54">
        <f>SUM(L124:L136)</f>
        <v>2.0985746600348899E-2</v>
      </c>
      <c r="G137" s="55">
        <f>SUM(M124:M136)</f>
        <v>0.18937682936327277</v>
      </c>
      <c r="H137" s="58"/>
      <c r="I137" s="61">
        <f>SUM(I124:I136)</f>
        <v>0.99999999999999989</v>
      </c>
    </row>
    <row r="138" spans="1:13" s="38" customFormat="1" ht="15.5">
      <c r="A138" s="8" t="s">
        <v>94</v>
      </c>
      <c r="B138" s="120">
        <v>2140085.5677914512</v>
      </c>
      <c r="C138" s="9" t="s">
        <v>47</v>
      </c>
      <c r="D138" s="21">
        <v>0</v>
      </c>
      <c r="E138" s="21">
        <v>4.3299999999999998E-2</v>
      </c>
      <c r="F138" s="14">
        <v>0</v>
      </c>
      <c r="G138" s="14">
        <v>0.26500000000000001</v>
      </c>
      <c r="H138" s="15" t="s">
        <v>129</v>
      </c>
      <c r="I138" s="60">
        <f>B138/B140</f>
        <v>7.254276382993842E-2</v>
      </c>
      <c r="J138" s="60">
        <f>I138*D138</f>
        <v>0</v>
      </c>
      <c r="K138" s="60">
        <f>I138*E138</f>
        <v>3.1411016738363334E-3</v>
      </c>
      <c r="L138" s="60">
        <f>I138*F138</f>
        <v>0</v>
      </c>
      <c r="M138" s="60">
        <f t="shared" si="21"/>
        <v>1.9223832414933681E-2</v>
      </c>
    </row>
    <row r="139" spans="1:13" s="38" customFormat="1" ht="15.5">
      <c r="A139" s="8" t="s">
        <v>348</v>
      </c>
      <c r="B139" s="120">
        <v>27360935</v>
      </c>
      <c r="C139" s="9" t="s">
        <v>47</v>
      </c>
      <c r="D139" s="21">
        <v>0</v>
      </c>
      <c r="E139" s="21">
        <v>4.3299999999999998E-2</v>
      </c>
      <c r="F139" s="14">
        <v>0</v>
      </c>
      <c r="G139" s="14">
        <v>0.25</v>
      </c>
      <c r="H139" s="15" t="s">
        <v>129</v>
      </c>
      <c r="I139" s="60">
        <f>B139/B140</f>
        <v>0.92745723617006159</v>
      </c>
      <c r="J139" s="60">
        <f>I139*D139</f>
        <v>0</v>
      </c>
      <c r="K139" s="60">
        <f>I139*E139</f>
        <v>4.0158898326163664E-2</v>
      </c>
      <c r="L139" s="60">
        <f>I139*F139</f>
        <v>0</v>
      </c>
      <c r="M139" s="60">
        <f t="shared" si="21"/>
        <v>0.2318643090425154</v>
      </c>
    </row>
    <row r="140" spans="1:13" s="32" customFormat="1" ht="15.5">
      <c r="A140" s="58" t="s">
        <v>129</v>
      </c>
      <c r="B140" s="53">
        <f>SUM(B138:B139)</f>
        <v>29501020.567791451</v>
      </c>
      <c r="C140" s="53"/>
      <c r="D140" s="54">
        <f>SUM(J138:J139)</f>
        <v>0</v>
      </c>
      <c r="E140" s="54">
        <f>SUM(K138:K139)</f>
        <v>4.3299999999999998E-2</v>
      </c>
      <c r="F140" s="54">
        <f>SUM(L138:L139)</f>
        <v>0</v>
      </c>
      <c r="G140" s="55">
        <f>SUM(M138:M139)</f>
        <v>0.25108814145744907</v>
      </c>
      <c r="H140" s="58"/>
      <c r="I140" s="61">
        <f>SUM(I138:I139)</f>
        <v>1</v>
      </c>
    </row>
    <row r="141" spans="1:13" s="38" customFormat="1" ht="15.5">
      <c r="A141" s="8" t="s">
        <v>282</v>
      </c>
      <c r="B141" s="120">
        <v>3352</v>
      </c>
      <c r="C141" s="9" t="s">
        <v>81</v>
      </c>
      <c r="D141" s="21">
        <v>1.5830977766757577E-2</v>
      </c>
      <c r="E141" s="10">
        <v>6.4633685213122183E-2</v>
      </c>
      <c r="F141" s="14">
        <v>2.1333685213122178E-2</v>
      </c>
      <c r="G141" s="14">
        <v>0.1898</v>
      </c>
      <c r="H141" s="15" t="s">
        <v>125</v>
      </c>
      <c r="I141" s="60">
        <f>B141/$B$167</f>
        <v>1.526064281372957E-4</v>
      </c>
      <c r="J141" s="60">
        <f t="shared" ref="J141:J166" si="30">I141*D141</f>
        <v>2.4159089709058159E-6</v>
      </c>
      <c r="K141" s="60">
        <f t="shared" ref="K141:K166" si="31">I141*E141</f>
        <v>9.8635158377249215E-6</v>
      </c>
      <c r="L141" s="60">
        <f t="shared" ref="L141:L166" si="32">I141*F141</f>
        <v>3.2556574993800176E-6</v>
      </c>
      <c r="M141" s="60">
        <f t="shared" si="21"/>
        <v>2.8964700060458722E-5</v>
      </c>
    </row>
    <row r="142" spans="1:13" s="38" customFormat="1" ht="15.5">
      <c r="A142" s="8" t="s">
        <v>173</v>
      </c>
      <c r="B142" s="120">
        <v>516034.14411595033</v>
      </c>
      <c r="C142" s="9" t="s">
        <v>44</v>
      </c>
      <c r="D142" s="21">
        <v>3.9577444416893943E-3</v>
      </c>
      <c r="E142" s="10">
        <v>4.8633421303280543E-2</v>
      </c>
      <c r="F142" s="14">
        <v>5.3334213032805444E-3</v>
      </c>
      <c r="G142" s="14">
        <v>0.24</v>
      </c>
      <c r="H142" s="15" t="s">
        <v>125</v>
      </c>
      <c r="I142" s="60">
        <f t="shared" ref="I142:I166" si="33">B142/$B$167</f>
        <v>2.3493474800245127E-2</v>
      </c>
      <c r="J142" s="60">
        <f t="shared" si="30"/>
        <v>9.2981169306640007E-5</v>
      </c>
      <c r="K142" s="60">
        <f t="shared" si="31"/>
        <v>1.142568057838326E-3</v>
      </c>
      <c r="L142" s="60">
        <f t="shared" si="32"/>
        <v>1.2530059898771201E-4</v>
      </c>
      <c r="M142" s="60">
        <f t="shared" si="21"/>
        <v>5.6384339520588302E-3</v>
      </c>
    </row>
    <row r="143" spans="1:13" s="38" customFormat="1" ht="15.5">
      <c r="A143" s="8" t="s">
        <v>174</v>
      </c>
      <c r="B143" s="120">
        <v>632216.57707510924</v>
      </c>
      <c r="C143" s="9" t="s">
        <v>46</v>
      </c>
      <c r="D143" s="21">
        <v>5.9366166625340932E-3</v>
      </c>
      <c r="E143" s="10">
        <v>5.1300131954920822E-2</v>
      </c>
      <c r="F143" s="14">
        <v>8.0001319549208201E-3</v>
      </c>
      <c r="G143" s="14">
        <v>0.25</v>
      </c>
      <c r="H143" s="15" t="s">
        <v>125</v>
      </c>
      <c r="I143" s="60">
        <f t="shared" si="33"/>
        <v>2.8782909796127604E-2</v>
      </c>
      <c r="J143" s="60">
        <f t="shared" si="30"/>
        <v>1.708731018919069E-4</v>
      </c>
      <c r="K143" s="60">
        <f t="shared" si="31"/>
        <v>1.4765670705879292E-3</v>
      </c>
      <c r="L143" s="60">
        <f t="shared" si="32"/>
        <v>2.3026707641560394E-4</v>
      </c>
      <c r="M143" s="60">
        <f t="shared" si="21"/>
        <v>7.1957274490319009E-3</v>
      </c>
    </row>
    <row r="144" spans="1:13" s="38" customFormat="1" ht="15.5">
      <c r="A144" s="8" t="s">
        <v>175</v>
      </c>
      <c r="B144" s="120">
        <v>32229.622669195112</v>
      </c>
      <c r="C144" s="9" t="s">
        <v>43</v>
      </c>
      <c r="D144" s="21">
        <v>1.1873233325068186E-2</v>
      </c>
      <c r="E144" s="10">
        <v>5.9300263909841638E-2</v>
      </c>
      <c r="F144" s="14">
        <v>1.600026390984164E-2</v>
      </c>
      <c r="G144" s="14">
        <v>0.125</v>
      </c>
      <c r="H144" s="15" t="s">
        <v>125</v>
      </c>
      <c r="I144" s="60">
        <f t="shared" si="33"/>
        <v>1.4673173018373152E-3</v>
      </c>
      <c r="J144" s="60">
        <f t="shared" si="30"/>
        <v>1.7421800686623945E-5</v>
      </c>
      <c r="K144" s="60">
        <f t="shared" si="31"/>
        <v>8.7012303238429551E-5</v>
      </c>
      <c r="L144" s="60">
        <f t="shared" si="32"/>
        <v>2.3477464068873806E-5</v>
      </c>
      <c r="M144" s="60">
        <f t="shared" si="21"/>
        <v>1.834146627296644E-4</v>
      </c>
    </row>
    <row r="145" spans="1:13" s="38" customFormat="1" ht="15.5">
      <c r="A145" s="8" t="s">
        <v>101</v>
      </c>
      <c r="B145" s="120">
        <v>404198.75753797416</v>
      </c>
      <c r="C145" s="9" t="s">
        <v>47</v>
      </c>
      <c r="D145" s="21">
        <v>0</v>
      </c>
      <c r="E145" s="10">
        <v>4.3299999999999998E-2</v>
      </c>
      <c r="F145" s="14">
        <v>0</v>
      </c>
      <c r="G145" s="14">
        <v>0.22</v>
      </c>
      <c r="H145" s="15" t="s">
        <v>125</v>
      </c>
      <c r="I145" s="60">
        <f t="shared" si="33"/>
        <v>1.8401947686576093E-2</v>
      </c>
      <c r="J145" s="60">
        <f t="shared" si="30"/>
        <v>0</v>
      </c>
      <c r="K145" s="60">
        <f t="shared" si="31"/>
        <v>7.9680433482874483E-4</v>
      </c>
      <c r="L145" s="60">
        <f t="shared" si="32"/>
        <v>0</v>
      </c>
      <c r="M145" s="60">
        <f t="shared" ref="M145:M166" si="34">I145*G145</f>
        <v>4.0484284910467403E-3</v>
      </c>
    </row>
    <row r="146" spans="1:13" s="38" customFormat="1" ht="15.5">
      <c r="A146" s="8" t="s">
        <v>176</v>
      </c>
      <c r="B146" s="120">
        <v>300187.20269608375</v>
      </c>
      <c r="C146" s="9" t="s">
        <v>44</v>
      </c>
      <c r="D146" s="21">
        <v>3.9577444416893943E-3</v>
      </c>
      <c r="E146" s="10">
        <v>4.8633421303280543E-2</v>
      </c>
      <c r="F146" s="14">
        <v>5.3334213032805444E-3</v>
      </c>
      <c r="G146" s="14">
        <v>0.2</v>
      </c>
      <c r="H146" s="15" t="s">
        <v>125</v>
      </c>
      <c r="I146" s="60">
        <f t="shared" si="33"/>
        <v>1.3666615983286315E-2</v>
      </c>
      <c r="J146" s="60">
        <f t="shared" si="30"/>
        <v>5.408897344455485E-5</v>
      </c>
      <c r="K146" s="60">
        <f t="shared" si="31"/>
        <v>6.6465429290531099E-4</v>
      </c>
      <c r="L146" s="60">
        <f t="shared" si="32"/>
        <v>7.2889820829013618E-5</v>
      </c>
      <c r="M146" s="60">
        <f t="shared" si="34"/>
        <v>2.7333231966572631E-3</v>
      </c>
    </row>
    <row r="147" spans="1:13" s="38" customFormat="1" ht="15.5">
      <c r="A147" s="8" t="s">
        <v>177</v>
      </c>
      <c r="B147" s="120">
        <v>3030904.0896078963</v>
      </c>
      <c r="C147" s="9" t="s">
        <v>46</v>
      </c>
      <c r="D147" s="21">
        <v>5.9366166625340932E-3</v>
      </c>
      <c r="E147" s="10">
        <v>5.1300131954920822E-2</v>
      </c>
      <c r="F147" s="14">
        <v>8.0001319549208201E-3</v>
      </c>
      <c r="G147" s="14">
        <v>0.25</v>
      </c>
      <c r="H147" s="15" t="s">
        <v>125</v>
      </c>
      <c r="I147" s="60">
        <f t="shared" si="33"/>
        <v>0.13798790189194007</v>
      </c>
      <c r="J147" s="60">
        <f t="shared" si="30"/>
        <v>8.1918127759981118E-4</v>
      </c>
      <c r="K147" s="60">
        <f t="shared" si="31"/>
        <v>7.0787975752391943E-3</v>
      </c>
      <c r="L147" s="60">
        <f t="shared" si="32"/>
        <v>1.1039214233181888E-3</v>
      </c>
      <c r="M147" s="60">
        <f t="shared" si="34"/>
        <v>3.4496975472985018E-2</v>
      </c>
    </row>
    <row r="148" spans="1:13" s="38" customFormat="1" ht="15.5">
      <c r="A148" s="8" t="s">
        <v>178</v>
      </c>
      <c r="B148" s="120">
        <v>4456081.016705961</v>
      </c>
      <c r="C148" s="9" t="s">
        <v>47</v>
      </c>
      <c r="D148" s="21">
        <v>0</v>
      </c>
      <c r="E148" s="10">
        <v>4.3299999999999998E-2</v>
      </c>
      <c r="F148" s="14">
        <v>0</v>
      </c>
      <c r="G148" s="14">
        <v>0.3</v>
      </c>
      <c r="H148" s="15" t="s">
        <v>125</v>
      </c>
      <c r="I148" s="60">
        <f t="shared" si="33"/>
        <v>0.20287189959722729</v>
      </c>
      <c r="J148" s="60">
        <f t="shared" si="30"/>
        <v>0</v>
      </c>
      <c r="K148" s="60">
        <f t="shared" si="31"/>
        <v>8.7843532525599417E-3</v>
      </c>
      <c r="L148" s="60">
        <f t="shared" si="32"/>
        <v>0</v>
      </c>
      <c r="M148" s="60">
        <f t="shared" si="34"/>
        <v>6.0861569879168187E-2</v>
      </c>
    </row>
    <row r="149" spans="1:13" s="38" customFormat="1" ht="15.5">
      <c r="A149" s="8" t="s">
        <v>179</v>
      </c>
      <c r="B149" s="120">
        <v>238206.31263252773</v>
      </c>
      <c r="C149" s="9" t="s">
        <v>78</v>
      </c>
      <c r="D149" s="21">
        <v>2.4794104884701216E-2</v>
      </c>
      <c r="E149" s="10">
        <v>7.6712315811728132E-2</v>
      </c>
      <c r="F149" s="14">
        <v>3.3412315811728134E-2</v>
      </c>
      <c r="G149" s="14">
        <v>0.22</v>
      </c>
      <c r="H149" s="15" t="s">
        <v>125</v>
      </c>
      <c r="I149" s="60">
        <f t="shared" si="33"/>
        <v>1.0844813404118747E-2</v>
      </c>
      <c r="J149" s="60">
        <f t="shared" si="30"/>
        <v>2.6888744099673386E-4</v>
      </c>
      <c r="K149" s="60">
        <f t="shared" si="31"/>
        <v>8.3193075077601973E-4</v>
      </c>
      <c r="L149" s="60">
        <f t="shared" si="32"/>
        <v>3.6235033037767801E-4</v>
      </c>
      <c r="M149" s="60">
        <f t="shared" si="34"/>
        <v>2.3858589489061245E-3</v>
      </c>
    </row>
    <row r="150" spans="1:13" s="38" customFormat="1" ht="15.5">
      <c r="A150" s="8" t="s">
        <v>285</v>
      </c>
      <c r="B150" s="120">
        <v>3446</v>
      </c>
      <c r="C150" s="9" t="s">
        <v>41</v>
      </c>
      <c r="D150" s="21">
        <v>6.9842548970989338E-3</v>
      </c>
      <c r="E150" s="10">
        <v>5.2711919946965669E-2</v>
      </c>
      <c r="F150" s="14">
        <v>9.4119199469656703E-3</v>
      </c>
      <c r="G150" s="14">
        <v>0</v>
      </c>
      <c r="H150" s="15" t="s">
        <v>125</v>
      </c>
      <c r="I150" s="60">
        <f t="shared" si="33"/>
        <v>1.5688596400988098E-4</v>
      </c>
      <c r="J150" s="60">
        <f t="shared" si="30"/>
        <v>1.0957315624220984E-6</v>
      </c>
      <c r="K150" s="60">
        <f t="shared" si="31"/>
        <v>8.269760375691383E-6</v>
      </c>
      <c r="L150" s="60">
        <f t="shared" si="32"/>
        <v>1.476598134063537E-6</v>
      </c>
      <c r="M150" s="60">
        <f t="shared" si="34"/>
        <v>0</v>
      </c>
    </row>
    <row r="151" spans="1:13" s="38" customFormat="1" ht="15.5">
      <c r="A151" s="8" t="s">
        <v>109</v>
      </c>
      <c r="B151" s="120">
        <v>31020.032583197215</v>
      </c>
      <c r="C151" s="9" t="s">
        <v>41</v>
      </c>
      <c r="D151" s="21">
        <v>6.9842548970989338E-3</v>
      </c>
      <c r="E151" s="10">
        <v>5.2711919946965669E-2</v>
      </c>
      <c r="F151" s="14">
        <v>9.4119199469656703E-3</v>
      </c>
      <c r="G151" s="14">
        <v>0.2</v>
      </c>
      <c r="H151" s="15" t="s">
        <v>125</v>
      </c>
      <c r="I151" s="60">
        <f t="shared" si="33"/>
        <v>1.4122483213676186E-3</v>
      </c>
      <c r="J151" s="60">
        <f t="shared" si="30"/>
        <v>9.8635022544315383E-6</v>
      </c>
      <c r="K151" s="60">
        <f t="shared" si="31"/>
        <v>7.4442320461166558E-5</v>
      </c>
      <c r="L151" s="60">
        <f t="shared" si="32"/>
        <v>1.3291968145948673E-5</v>
      </c>
      <c r="M151" s="60">
        <f t="shared" si="34"/>
        <v>2.8244966427352371E-4</v>
      </c>
    </row>
    <row r="152" spans="1:13" s="38" customFormat="1" ht="15.5">
      <c r="A152" s="8" t="s">
        <v>180</v>
      </c>
      <c r="B152" s="120">
        <v>545629.45040373516</v>
      </c>
      <c r="C152" s="9" t="s">
        <v>46</v>
      </c>
      <c r="D152" s="21">
        <v>5.9366166625340932E-3</v>
      </c>
      <c r="E152" s="10">
        <v>5.1300131954920822E-2</v>
      </c>
      <c r="F152" s="14">
        <v>8.0001319549208201E-3</v>
      </c>
      <c r="G152" s="14">
        <v>0.125</v>
      </c>
      <c r="H152" s="15" t="s">
        <v>125</v>
      </c>
      <c r="I152" s="60">
        <f t="shared" si="33"/>
        <v>2.4840859639806014E-2</v>
      </c>
      <c r="J152" s="60">
        <f t="shared" si="30"/>
        <v>1.4747066124934304E-4</v>
      </c>
      <c r="K152" s="60">
        <f t="shared" si="31"/>
        <v>1.2743393773957154E-3</v>
      </c>
      <c r="L152" s="60">
        <f t="shared" si="32"/>
        <v>1.9873015499211497E-4</v>
      </c>
      <c r="M152" s="60">
        <f t="shared" si="34"/>
        <v>3.1051074549757517E-3</v>
      </c>
    </row>
    <row r="153" spans="1:13" s="38" customFormat="1" ht="15.5">
      <c r="A153" s="8" t="s">
        <v>112</v>
      </c>
      <c r="B153" s="120">
        <v>0</v>
      </c>
      <c r="C153" s="9" t="s">
        <v>46</v>
      </c>
      <c r="D153" s="21">
        <v>5.9366166625340932E-3</v>
      </c>
      <c r="E153" s="10">
        <v>5.1300131954920822E-2</v>
      </c>
      <c r="F153" s="14">
        <v>8.0001319549208201E-3</v>
      </c>
      <c r="G153" s="14">
        <v>0</v>
      </c>
      <c r="H153" s="15" t="s">
        <v>125</v>
      </c>
      <c r="I153" s="60">
        <f t="shared" si="33"/>
        <v>0</v>
      </c>
      <c r="J153" s="60">
        <f t="shared" si="30"/>
        <v>0</v>
      </c>
      <c r="K153" s="60">
        <f t="shared" si="31"/>
        <v>0</v>
      </c>
      <c r="L153" s="60">
        <f t="shared" si="32"/>
        <v>0</v>
      </c>
      <c r="M153" s="60">
        <f t="shared" si="34"/>
        <v>0</v>
      </c>
    </row>
    <row r="154" spans="1:13" s="38" customFormat="1" ht="15.5">
      <c r="A154" s="8" t="s">
        <v>143</v>
      </c>
      <c r="B154" s="120">
        <v>2254851.2127318047</v>
      </c>
      <c r="C154" s="9" t="s">
        <v>123</v>
      </c>
      <c r="D154" s="21">
        <v>2.1767594429291676E-2</v>
      </c>
      <c r="E154" s="10">
        <v>7.2633817168042999E-2</v>
      </c>
      <c r="F154" s="14">
        <v>2.9333817168043005E-2</v>
      </c>
      <c r="G154" s="14">
        <v>0.24</v>
      </c>
      <c r="H154" s="15" t="s">
        <v>125</v>
      </c>
      <c r="I154" s="60">
        <f t="shared" si="33"/>
        <v>0.10265656013008659</v>
      </c>
      <c r="J154" s="60">
        <f t="shared" si="30"/>
        <v>2.2345863664179188E-3</v>
      </c>
      <c r="K154" s="60">
        <f t="shared" si="31"/>
        <v>7.4563378195889214E-3</v>
      </c>
      <c r="L154" s="60">
        <f t="shared" si="32"/>
        <v>3.0113087659561729E-3</v>
      </c>
      <c r="M154" s="60">
        <f t="shared" si="34"/>
        <v>2.463757443122078E-2</v>
      </c>
    </row>
    <row r="155" spans="1:13" s="38" customFormat="1" ht="15.5">
      <c r="A155" s="8" t="s">
        <v>286</v>
      </c>
      <c r="B155" s="120">
        <v>4890</v>
      </c>
      <c r="C155" s="9" t="s">
        <v>45</v>
      </c>
      <c r="D155" s="21">
        <v>4.8889784279692525E-3</v>
      </c>
      <c r="E155" s="10">
        <v>4.9888343962875968E-2</v>
      </c>
      <c r="F155" s="14">
        <v>6.5883439628759682E-3</v>
      </c>
      <c r="G155" s="14">
        <v>0</v>
      </c>
      <c r="H155" s="15" t="s">
        <v>125</v>
      </c>
      <c r="I155" s="60">
        <f t="shared" si="33"/>
        <v>2.2262691932916945E-4</v>
      </c>
      <c r="J155" s="60">
        <f t="shared" si="30"/>
        <v>1.0884182060855605E-6</v>
      </c>
      <c r="K155" s="60">
        <f t="shared" si="31"/>
        <v>1.1106488326889045E-5</v>
      </c>
      <c r="L155" s="60">
        <f t="shared" si="32"/>
        <v>1.4667427199360088E-6</v>
      </c>
      <c r="M155" s="60">
        <f t="shared" si="34"/>
        <v>0</v>
      </c>
    </row>
    <row r="156" spans="1:13" s="38" customFormat="1" ht="15.5">
      <c r="A156" s="8" t="s">
        <v>220</v>
      </c>
      <c r="B156" s="120">
        <v>7364.6545151398359</v>
      </c>
      <c r="C156" s="9" t="s">
        <v>47</v>
      </c>
      <c r="D156" s="21">
        <v>0</v>
      </c>
      <c r="E156" s="10">
        <v>4.3299999999999998E-2</v>
      </c>
      <c r="F156" s="14">
        <v>0</v>
      </c>
      <c r="G156" s="14">
        <v>0.125</v>
      </c>
      <c r="H156" s="15" t="s">
        <v>125</v>
      </c>
      <c r="I156" s="60">
        <f t="shared" si="33"/>
        <v>3.3529045943338237E-4</v>
      </c>
      <c r="J156" s="60">
        <f t="shared" si="30"/>
        <v>0</v>
      </c>
      <c r="K156" s="60">
        <f t="shared" si="31"/>
        <v>1.4518076893465456E-5</v>
      </c>
      <c r="L156" s="60">
        <f t="shared" si="32"/>
        <v>0</v>
      </c>
      <c r="M156" s="60">
        <f t="shared" si="34"/>
        <v>4.1911307429172796E-5</v>
      </c>
    </row>
    <row r="157" spans="1:13" s="38" customFormat="1" ht="15.5">
      <c r="A157" s="8" t="s">
        <v>182</v>
      </c>
      <c r="B157" s="120">
        <v>85755.006123597588</v>
      </c>
      <c r="C157" s="9" t="s">
        <v>47</v>
      </c>
      <c r="D157" s="21">
        <v>0</v>
      </c>
      <c r="E157" s="10">
        <v>4.3299999999999998E-2</v>
      </c>
      <c r="F157" s="14">
        <v>0</v>
      </c>
      <c r="G157" s="14">
        <v>0.24940000000000001</v>
      </c>
      <c r="H157" s="15" t="s">
        <v>125</v>
      </c>
      <c r="I157" s="60">
        <f t="shared" si="33"/>
        <v>3.9041662229755813E-3</v>
      </c>
      <c r="J157" s="60">
        <f t="shared" si="30"/>
        <v>0</v>
      </c>
      <c r="K157" s="60">
        <f t="shared" si="31"/>
        <v>1.6905039745484265E-4</v>
      </c>
      <c r="L157" s="60">
        <f t="shared" si="32"/>
        <v>0</v>
      </c>
      <c r="M157" s="60">
        <f t="shared" si="34"/>
        <v>9.7369905601011003E-4</v>
      </c>
    </row>
    <row r="158" spans="1:13" s="38" customFormat="1" ht="15.5">
      <c r="A158" s="8" t="s">
        <v>183</v>
      </c>
      <c r="B158" s="120">
        <v>20956.999452431664</v>
      </c>
      <c r="C158" s="9" t="s">
        <v>42</v>
      </c>
      <c r="D158" s="21">
        <v>8.3811058765187203E-3</v>
      </c>
      <c r="E158" s="10">
        <v>5.4594303936358807E-2</v>
      </c>
      <c r="F158" s="14">
        <v>1.1294303936358805E-2</v>
      </c>
      <c r="G158" s="14">
        <v>0.35</v>
      </c>
      <c r="H158" s="15" t="s">
        <v>125</v>
      </c>
      <c r="I158" s="60">
        <f t="shared" si="33"/>
        <v>9.5410883977054245E-4</v>
      </c>
      <c r="J158" s="60">
        <f t="shared" si="30"/>
        <v>7.9964872038393511E-6</v>
      </c>
      <c r="K158" s="60">
        <f t="shared" si="31"/>
        <v>5.208890798679966E-5</v>
      </c>
      <c r="L158" s="60">
        <f t="shared" si="32"/>
        <v>1.0775995224735171E-5</v>
      </c>
      <c r="M158" s="60">
        <f t="shared" si="34"/>
        <v>3.3393809391968983E-4</v>
      </c>
    </row>
    <row r="159" spans="1:13" s="38" customFormat="1" ht="15.5">
      <c r="A159" s="8" t="s">
        <v>184</v>
      </c>
      <c r="B159" s="120">
        <v>1118124.7498862941</v>
      </c>
      <c r="C159" s="9" t="s">
        <v>47</v>
      </c>
      <c r="D159" s="21">
        <v>0</v>
      </c>
      <c r="E159" s="10">
        <v>4.3299999999999998E-2</v>
      </c>
      <c r="F159" s="14">
        <v>0</v>
      </c>
      <c r="G159" s="14">
        <v>0.25800000000000001</v>
      </c>
      <c r="H159" s="15" t="s">
        <v>125</v>
      </c>
      <c r="I159" s="60">
        <f t="shared" si="33"/>
        <v>5.0904840182593822E-2</v>
      </c>
      <c r="J159" s="60">
        <f t="shared" si="30"/>
        <v>0</v>
      </c>
      <c r="K159" s="60">
        <f t="shared" si="31"/>
        <v>2.2041795799063123E-3</v>
      </c>
      <c r="L159" s="60">
        <f t="shared" si="32"/>
        <v>0</v>
      </c>
      <c r="M159" s="60">
        <f t="shared" si="34"/>
        <v>1.3133448767109207E-2</v>
      </c>
    </row>
    <row r="160" spans="1:13" s="38" customFormat="1" ht="15.5">
      <c r="A160" s="8" t="s">
        <v>23</v>
      </c>
      <c r="B160" s="120">
        <v>485513.31650363043</v>
      </c>
      <c r="C160" s="9" t="s">
        <v>47</v>
      </c>
      <c r="D160" s="21">
        <v>0</v>
      </c>
      <c r="E160" s="10">
        <v>4.3299999999999998E-2</v>
      </c>
      <c r="F160" s="14">
        <v>0</v>
      </c>
      <c r="G160" s="14">
        <v>0.22</v>
      </c>
      <c r="H160" s="15" t="s">
        <v>125</v>
      </c>
      <c r="I160" s="60">
        <f t="shared" si="33"/>
        <v>2.21039537722886E-2</v>
      </c>
      <c r="J160" s="60">
        <f t="shared" si="30"/>
        <v>0</v>
      </c>
      <c r="K160" s="60">
        <f t="shared" si="31"/>
        <v>9.5710119834009632E-4</v>
      </c>
      <c r="L160" s="60">
        <f t="shared" si="32"/>
        <v>0</v>
      </c>
      <c r="M160" s="60">
        <f t="shared" si="34"/>
        <v>4.862869829903492E-3</v>
      </c>
    </row>
    <row r="161" spans="1:13" s="38" customFormat="1" ht="15.5">
      <c r="A161" s="8" t="s">
        <v>186</v>
      </c>
      <c r="B161" s="120">
        <v>287080.01357449719</v>
      </c>
      <c r="C161" s="9" t="s">
        <v>43</v>
      </c>
      <c r="D161" s="21">
        <v>1.1873233325068186E-2</v>
      </c>
      <c r="E161" s="10">
        <v>5.9300263909841638E-2</v>
      </c>
      <c r="F161" s="14">
        <v>1.600026390984164E-2</v>
      </c>
      <c r="G161" s="14">
        <v>0.21</v>
      </c>
      <c r="H161" s="15" t="s">
        <v>125</v>
      </c>
      <c r="I161" s="60">
        <f t="shared" si="33"/>
        <v>1.3069885280790687E-2</v>
      </c>
      <c r="J161" s="60">
        <f t="shared" si="30"/>
        <v>1.5518179747070216E-4</v>
      </c>
      <c r="K161" s="60">
        <f t="shared" si="31"/>
        <v>7.750476464222424E-4</v>
      </c>
      <c r="L161" s="60">
        <f t="shared" si="32"/>
        <v>2.091216137640057E-4</v>
      </c>
      <c r="M161" s="60">
        <f t="shared" si="34"/>
        <v>2.7446759089660442E-3</v>
      </c>
    </row>
    <row r="162" spans="1:13" s="38" customFormat="1" ht="15.5">
      <c r="A162" s="8" t="s">
        <v>137</v>
      </c>
      <c r="B162" s="120">
        <v>1580694.7125157141</v>
      </c>
      <c r="C162" s="9" t="s">
        <v>81</v>
      </c>
      <c r="D162" s="21">
        <v>1.5830977766757577E-2</v>
      </c>
      <c r="E162" s="10">
        <v>6.4633685213122183E-2</v>
      </c>
      <c r="F162" s="14">
        <v>2.1333685213122178E-2</v>
      </c>
      <c r="G162" s="14">
        <v>0.25</v>
      </c>
      <c r="H162" s="15" t="s">
        <v>125</v>
      </c>
      <c r="I162" s="60">
        <f t="shared" si="33"/>
        <v>7.1964252402306875E-2</v>
      </c>
      <c r="J162" s="60">
        <f t="shared" si="30"/>
        <v>1.1392644797822507E-3</v>
      </c>
      <c r="K162" s="60">
        <f t="shared" si="31"/>
        <v>4.651314836368374E-3</v>
      </c>
      <c r="L162" s="60">
        <f t="shared" si="32"/>
        <v>1.5352627073484863E-3</v>
      </c>
      <c r="M162" s="60">
        <f t="shared" si="34"/>
        <v>1.7991063100576719E-2</v>
      </c>
    </row>
    <row r="163" spans="1:13" s="38" customFormat="1" ht="15.5">
      <c r="A163" s="8" t="s">
        <v>34</v>
      </c>
      <c r="B163" s="120">
        <v>593267.70103340817</v>
      </c>
      <c r="C163" s="9" t="s">
        <v>47</v>
      </c>
      <c r="D163" s="21">
        <v>0</v>
      </c>
      <c r="E163" s="10">
        <v>4.3299999999999998E-2</v>
      </c>
      <c r="F163" s="14">
        <v>0</v>
      </c>
      <c r="G163" s="14">
        <v>0.20600000000000002</v>
      </c>
      <c r="H163" s="15" t="s">
        <v>125</v>
      </c>
      <c r="I163" s="60">
        <f t="shared" si="33"/>
        <v>2.7009685198070836E-2</v>
      </c>
      <c r="J163" s="60">
        <f t="shared" si="30"/>
        <v>0</v>
      </c>
      <c r="K163" s="60">
        <f t="shared" si="31"/>
        <v>1.1695193690764672E-3</v>
      </c>
      <c r="L163" s="60">
        <f t="shared" si="32"/>
        <v>0</v>
      </c>
      <c r="M163" s="60">
        <f t="shared" si="34"/>
        <v>5.563995150802593E-3</v>
      </c>
    </row>
    <row r="164" spans="1:13" s="38" customFormat="1" ht="15.5">
      <c r="A164" s="8" t="s">
        <v>35</v>
      </c>
      <c r="B164" s="120">
        <v>884940.40223040886</v>
      </c>
      <c r="C164" s="9" t="s">
        <v>47</v>
      </c>
      <c r="D164" s="21">
        <v>0</v>
      </c>
      <c r="E164" s="10">
        <v>4.3299999999999998E-2</v>
      </c>
      <c r="F164" s="14">
        <v>0</v>
      </c>
      <c r="G164" s="14">
        <v>0.14599999999999999</v>
      </c>
      <c r="H164" s="15" t="s">
        <v>125</v>
      </c>
      <c r="I164" s="60">
        <f t="shared" si="33"/>
        <v>4.0288661664309201E-2</v>
      </c>
      <c r="J164" s="60">
        <f t="shared" si="30"/>
        <v>0</v>
      </c>
      <c r="K164" s="60">
        <f t="shared" si="31"/>
        <v>1.7444990500645884E-3</v>
      </c>
      <c r="L164" s="60">
        <f t="shared" si="32"/>
        <v>0</v>
      </c>
      <c r="M164" s="60">
        <f t="shared" si="34"/>
        <v>5.8821446029891427E-3</v>
      </c>
    </row>
    <row r="165" spans="1:13" s="38" customFormat="1" ht="15.5">
      <c r="A165" s="8" t="s">
        <v>66</v>
      </c>
      <c r="B165" s="120">
        <v>1108022.3732595111</v>
      </c>
      <c r="C165" s="9" t="s">
        <v>48</v>
      </c>
      <c r="D165" s="21">
        <v>4.4582827093148182E-2</v>
      </c>
      <c r="E165" s="10">
        <v>0.10337942232813085</v>
      </c>
      <c r="F165" s="14">
        <v>6.0079422328130849E-2</v>
      </c>
      <c r="G165" s="14">
        <v>0.25</v>
      </c>
      <c r="H165" s="15" t="s">
        <v>125</v>
      </c>
      <c r="I165" s="60">
        <f t="shared" si="33"/>
        <v>5.0444909510543978E-2</v>
      </c>
      <c r="J165" s="60">
        <f t="shared" si="30"/>
        <v>2.2489766784380884E-3</v>
      </c>
      <c r="K165" s="60">
        <f t="shared" si="31"/>
        <v>5.2149656045948709E-3</v>
      </c>
      <c r="L165" s="60">
        <f t="shared" si="32"/>
        <v>3.0307010227883162E-3</v>
      </c>
      <c r="M165" s="60">
        <f t="shared" si="34"/>
        <v>1.2611227377635995E-2</v>
      </c>
    </row>
    <row r="166" spans="1:13" s="38" customFormat="1" ht="15.5">
      <c r="A166" s="8" t="s">
        <v>57</v>
      </c>
      <c r="B166" s="120">
        <v>3340032.3806680357</v>
      </c>
      <c r="C166" s="9" t="s">
        <v>46</v>
      </c>
      <c r="D166" s="21">
        <v>5.9366166625340932E-3</v>
      </c>
      <c r="E166" s="10">
        <v>5.1300131954920822E-2</v>
      </c>
      <c r="F166" s="14">
        <v>8.0001319549208201E-3</v>
      </c>
      <c r="G166" s="14">
        <v>0.25</v>
      </c>
      <c r="H166" s="15" t="s">
        <v>125</v>
      </c>
      <c r="I166" s="60">
        <f t="shared" si="33"/>
        <v>0.15206157860282138</v>
      </c>
      <c r="J166" s="60">
        <f t="shared" si="30"/>
        <v>9.0273130126474713E-4</v>
      </c>
      <c r="K166" s="60">
        <f t="shared" si="31"/>
        <v>7.800779047598301E-3</v>
      </c>
      <c r="L166" s="60">
        <f t="shared" si="32"/>
        <v>1.2165126940961353E-3</v>
      </c>
      <c r="M166" s="60">
        <f t="shared" si="34"/>
        <v>3.8015394650705345E-2</v>
      </c>
    </row>
    <row r="167" spans="1:13" s="32" customFormat="1" ht="15.5">
      <c r="A167" s="58" t="s">
        <v>125</v>
      </c>
      <c r="B167" s="53">
        <f>SUM(B141:B166)</f>
        <v>21964998.728522103</v>
      </c>
      <c r="C167" s="53"/>
      <c r="D167" s="62">
        <f>SUM(J141:J166)</f>
        <v>8.2741050967470049E-3</v>
      </c>
      <c r="E167" s="62">
        <f>SUM(K141:K166)</f>
        <v>5.4450110634666357E-2</v>
      </c>
      <c r="F167" s="62">
        <f>SUM(L141:L166)</f>
        <v>1.1150110634666366E-2</v>
      </c>
      <c r="G167" s="55">
        <f>SUM(M141:M166)</f>
        <v>0.24775219614916172</v>
      </c>
      <c r="H167" s="58"/>
      <c r="I167" s="61">
        <f>SUM(I141:I166)</f>
        <v>1</v>
      </c>
    </row>
    <row r="170" spans="1:13" ht="12">
      <c r="A170" s="64" t="s">
        <v>52</v>
      </c>
      <c r="B170" s="17" t="s">
        <v>475</v>
      </c>
      <c r="C170" s="17" t="s">
        <v>274</v>
      </c>
      <c r="D170" s="17" t="s">
        <v>277</v>
      </c>
      <c r="E170" s="17" t="s">
        <v>349</v>
      </c>
      <c r="F170" s="124" t="s">
        <v>294</v>
      </c>
      <c r="G170" s="124" t="s">
        <v>272</v>
      </c>
      <c r="H170" s="25" t="s">
        <v>295</v>
      </c>
      <c r="I170" s="25" t="s">
        <v>293</v>
      </c>
      <c r="J170" s="25" t="s">
        <v>296</v>
      </c>
      <c r="K170" s="25" t="s">
        <v>352</v>
      </c>
    </row>
    <row r="171" spans="1:13">
      <c r="A171" s="15" t="str">
        <f>A32</f>
        <v>Africa</v>
      </c>
      <c r="B171" s="65">
        <f>E32</f>
        <v>0.12636516288511693</v>
      </c>
      <c r="C171" s="65">
        <f>F32</f>
        <v>8.3065162885116936E-2</v>
      </c>
      <c r="D171" s="65">
        <f>D32</f>
        <v>6.163973704915901E-2</v>
      </c>
      <c r="E171" s="65">
        <f>G32</f>
        <v>0.27421914500863898</v>
      </c>
      <c r="F171" s="124">
        <f>B32</f>
        <v>2349249.4267625553</v>
      </c>
      <c r="G171" s="125">
        <f>F171/$F$180</f>
        <v>2.3045063483580534E-2</v>
      </c>
      <c r="H171" s="47">
        <f t="shared" ref="H171:H180" si="35">G171*B171</f>
        <v>2.9120932008005144E-3</v>
      </c>
      <c r="I171" s="47">
        <f t="shared" ref="I171:I180" si="36">G171*C171</f>
        <v>1.9142419519614774E-3</v>
      </c>
      <c r="J171" s="47">
        <f t="shared" ref="J171:J180" si="37">G171*D171</f>
        <v>1.4204916534090804E-3</v>
      </c>
      <c r="K171" s="47">
        <f>G171*E171</f>
        <v>6.3193976051372615E-3</v>
      </c>
    </row>
    <row r="172" spans="1:13">
      <c r="A172" s="15" t="str">
        <f>A57</f>
        <v>Asia</v>
      </c>
      <c r="B172" s="65">
        <f>E57</f>
        <v>5.8699276740161205E-2</v>
      </c>
      <c r="C172" s="65">
        <f>F57</f>
        <v>1.5399276740161219E-2</v>
      </c>
      <c r="D172" s="65">
        <f>D57</f>
        <v>1.1427261875397351E-2</v>
      </c>
      <c r="E172" s="65">
        <f>G57</f>
        <v>0.25739929616803997</v>
      </c>
      <c r="F172" s="124">
        <f>B57</f>
        <v>33158416.550189212</v>
      </c>
      <c r="G172" s="125">
        <f t="shared" ref="G172:G179" si="38">F172/$F$180</f>
        <v>0.32526891598188362</v>
      </c>
      <c r="H172" s="47">
        <f t="shared" si="35"/>
        <v>1.9093050114192829E-2</v>
      </c>
      <c r="I172" s="47">
        <f t="shared" si="36"/>
        <v>5.0089060521772743E-3</v>
      </c>
      <c r="J172" s="47">
        <f t="shared" si="37"/>
        <v>3.7169330828516027E-3</v>
      </c>
      <c r="K172" s="47">
        <f t="shared" ref="K172:K180" si="39">G172*E172</f>
        <v>8.3723990039078169E-2</v>
      </c>
    </row>
    <row r="173" spans="1:13">
      <c r="A173" s="15" t="str">
        <f>A61</f>
        <v>Australia &amp; New Zealand</v>
      </c>
      <c r="B173" s="65">
        <f>E61</f>
        <v>4.3342933242096059E-2</v>
      </c>
      <c r="C173" s="65">
        <f>F61</f>
        <v>4.2933242096058726E-5</v>
      </c>
      <c r="D173" s="65">
        <f>D61</f>
        <v>3.1859249552415043E-5</v>
      </c>
      <c r="E173" s="65">
        <f>G61</f>
        <v>0.29743620926523207</v>
      </c>
      <c r="F173" s="124">
        <f>B61</f>
        <v>1978706.9185668521</v>
      </c>
      <c r="G173" s="125">
        <f t="shared" si="38"/>
        <v>1.9410210782348732E-2</v>
      </c>
      <c r="H173" s="47">
        <f t="shared" si="35"/>
        <v>8.4129547015435418E-4</v>
      </c>
      <c r="I173" s="47">
        <f t="shared" si="36"/>
        <v>8.3334327865410754E-7</v>
      </c>
      <c r="J173" s="47">
        <f t="shared" si="37"/>
        <v>6.1839474917982551E-7</v>
      </c>
      <c r="K173" s="47">
        <f t="shared" si="39"/>
        <v>5.7732995161409407E-3</v>
      </c>
    </row>
    <row r="174" spans="1:13">
      <c r="A174" s="15" t="str">
        <f>A76</f>
        <v>Caribbean</v>
      </c>
      <c r="B174" s="65">
        <f>E76</f>
        <v>0.124320731316567</v>
      </c>
      <c r="C174" s="65">
        <f>F76</f>
        <v>8.1020731316567021E-2</v>
      </c>
      <c r="D174" s="65">
        <f>D76</f>
        <v>6.0122636258365322E-2</v>
      </c>
      <c r="E174" s="65">
        <f>G76</f>
        <v>0.25228018689443577</v>
      </c>
      <c r="F174" s="124">
        <f>B76</f>
        <v>352610.57016704662</v>
      </c>
      <c r="G174" s="125">
        <f t="shared" si="38"/>
        <v>3.4589485824326762E-3</v>
      </c>
      <c r="H174" s="47">
        <f t="shared" si="35"/>
        <v>4.3001901735443301E-4</v>
      </c>
      <c r="I174" s="47">
        <f t="shared" si="36"/>
        <v>2.8024654373509823E-4</v>
      </c>
      <c r="J174" s="47">
        <f t="shared" si="37"/>
        <v>2.0796110745798814E-4</v>
      </c>
      <c r="K174" s="47">
        <f t="shared" si="39"/>
        <v>8.7262419483435916E-4</v>
      </c>
    </row>
    <row r="175" spans="1:13">
      <c r="A175" s="15" t="str">
        <f>A96</f>
        <v>Central and South America</v>
      </c>
      <c r="B175" s="65">
        <f>E96</f>
        <v>9.1502494977120694E-2</v>
      </c>
      <c r="C175" s="65">
        <f>F96</f>
        <v>4.8202494977120702E-2</v>
      </c>
      <c r="D175" s="65">
        <f>D96</f>
        <v>3.5769376863949848E-2</v>
      </c>
      <c r="E175" s="65">
        <f>G96</f>
        <v>0.31553952561697912</v>
      </c>
      <c r="F175" s="124">
        <f>B96</f>
        <v>6318352.4759793812</v>
      </c>
      <c r="G175" s="125">
        <f t="shared" si="38"/>
        <v>6.1980150877908445E-2</v>
      </c>
      <c r="H175" s="47">
        <f t="shared" si="35"/>
        <v>5.671338444387E-3</v>
      </c>
      <c r="I175" s="47">
        <f t="shared" si="36"/>
        <v>2.987597911373565E-3</v>
      </c>
      <c r="J175" s="47">
        <f t="shared" si="37"/>
        <v>2.2169913748363791E-3</v>
      </c>
      <c r="K175" s="47">
        <f t="shared" si="39"/>
        <v>1.9557187405684021E-2</v>
      </c>
    </row>
    <row r="176" spans="1:13">
      <c r="A176" s="15" t="str">
        <f>A123</f>
        <v>Eastern Europe</v>
      </c>
      <c r="B176" s="65">
        <f>E123</f>
        <v>7.7277034566536854E-2</v>
      </c>
      <c r="C176" s="65">
        <f>F123</f>
        <v>3.3977034566536855E-2</v>
      </c>
      <c r="D176" s="65">
        <f>D123</f>
        <v>2.5213162818787022E-2</v>
      </c>
      <c r="E176" s="65">
        <f>G123</f>
        <v>0.17230578031123689</v>
      </c>
      <c r="F176" s="124">
        <f>B123</f>
        <v>3172972.5362309404</v>
      </c>
      <c r="G176" s="125">
        <f t="shared" si="38"/>
        <v>3.1125410821049495E-2</v>
      </c>
      <c r="H176" s="47">
        <f t="shared" si="35"/>
        <v>2.405279447915902E-3</v>
      </c>
      <c r="I176" s="47">
        <f t="shared" si="36"/>
        <v>1.057549159364459E-3</v>
      </c>
      <c r="J176" s="47">
        <f t="shared" si="37"/>
        <v>7.8477005083275636E-4</v>
      </c>
      <c r="K176" s="47">
        <f t="shared" si="39"/>
        <v>5.3630881990287494E-3</v>
      </c>
    </row>
    <row r="177" spans="1:11">
      <c r="A177" s="15" t="str">
        <f>A137</f>
        <v>Middle East</v>
      </c>
      <c r="B177" s="65">
        <f>E137</f>
        <v>6.42857466003489E-2</v>
      </c>
      <c r="C177" s="65">
        <f>F137</f>
        <v>2.0985746600348899E-2</v>
      </c>
      <c r="D177" s="65">
        <f>D137</f>
        <v>1.5572784754721281E-2</v>
      </c>
      <c r="E177" s="65">
        <f>G137</f>
        <v>0.18937682936327277</v>
      </c>
      <c r="F177" s="124">
        <f>B137</f>
        <v>3145219.4224983715</v>
      </c>
      <c r="G177" s="125">
        <f t="shared" si="38"/>
        <v>3.0853165455977528E-2</v>
      </c>
      <c r="H177" s="47">
        <f t="shared" si="35"/>
        <v>1.9834187763216097E-3</v>
      </c>
      <c r="I177" s="47">
        <f t="shared" si="36"/>
        <v>6.474767120777825E-4</v>
      </c>
      <c r="J177" s="47">
        <f t="shared" si="37"/>
        <v>4.8046970464774014E-4</v>
      </c>
      <c r="K177" s="47">
        <f t="shared" si="39"/>
        <v>5.8428746498734785E-3</v>
      </c>
    </row>
    <row r="178" spans="1:11">
      <c r="A178" s="15" t="str">
        <f>A140</f>
        <v>North America</v>
      </c>
      <c r="B178" s="65">
        <f>E140</f>
        <v>4.3299999999999998E-2</v>
      </c>
      <c r="C178" s="65">
        <f>F140</f>
        <v>0</v>
      </c>
      <c r="D178" s="65">
        <f>D140</f>
        <v>0</v>
      </c>
      <c r="E178" s="65">
        <f>G140</f>
        <v>0.25108814145744907</v>
      </c>
      <c r="F178" s="124">
        <f>B140</f>
        <v>29501020.567791451</v>
      </c>
      <c r="G178" s="125">
        <f t="shared" si="38"/>
        <v>0.28939153249131921</v>
      </c>
      <c r="H178" s="47">
        <f t="shared" si="35"/>
        <v>1.2530653356874122E-2</v>
      </c>
      <c r="I178" s="47">
        <f t="shared" si="36"/>
        <v>0</v>
      </c>
      <c r="J178" s="47">
        <f t="shared" si="37"/>
        <v>0</v>
      </c>
      <c r="K178" s="47">
        <f t="shared" si="39"/>
        <v>7.2662782046768321E-2</v>
      </c>
    </row>
    <row r="179" spans="1:11">
      <c r="A179" s="15" t="str">
        <f>A167</f>
        <v>Western Europe</v>
      </c>
      <c r="B179" s="65">
        <f>E167</f>
        <v>5.4450110634666357E-2</v>
      </c>
      <c r="C179" s="65">
        <f>F167</f>
        <v>1.1150110634666366E-2</v>
      </c>
      <c r="D179" s="65">
        <f>D167</f>
        <v>8.2741050967470049E-3</v>
      </c>
      <c r="E179" s="65">
        <f>G167</f>
        <v>0.24775219614916172</v>
      </c>
      <c r="F179" s="124">
        <f>B167</f>
        <v>21964998.728522103</v>
      </c>
      <c r="G179" s="125">
        <f t="shared" si="38"/>
        <v>0.2154666015234997</v>
      </c>
      <c r="H179" s="47">
        <f t="shared" si="35"/>
        <v>1.1732180291030129E-2</v>
      </c>
      <c r="I179" s="47">
        <f t="shared" si="36"/>
        <v>2.4024764450625942E-3</v>
      </c>
      <c r="J179" s="47">
        <f t="shared" si="37"/>
        <v>1.7827933058443448E-3</v>
      </c>
      <c r="K179" s="47">
        <f t="shared" si="39"/>
        <v>5.3382323724243362E-2</v>
      </c>
    </row>
    <row r="180" spans="1:11">
      <c r="A180" s="15" t="s">
        <v>278</v>
      </c>
      <c r="B180" s="65">
        <f>SUM(H171:H179)</f>
        <v>5.7599328119030901E-2</v>
      </c>
      <c r="C180" s="65">
        <f>SUM(I171:I179)</f>
        <v>1.4299328119030903E-2</v>
      </c>
      <c r="D180" s="65">
        <f>SUM(J171:J179)</f>
        <v>1.0611028674629071E-2</v>
      </c>
      <c r="E180" s="65">
        <f>SUM(K171:K179)</f>
        <v>0.25349756738078866</v>
      </c>
      <c r="F180" s="25">
        <f>SUM(F171:F179)</f>
        <v>101941547.19670792</v>
      </c>
      <c r="G180" s="63">
        <f>SUM(G171:G179)</f>
        <v>0.99999999999999989</v>
      </c>
      <c r="H180" s="47">
        <f t="shared" si="35"/>
        <v>5.7599328119030895E-2</v>
      </c>
      <c r="I180" s="47">
        <f t="shared" si="36"/>
        <v>1.4299328119030901E-2</v>
      </c>
      <c r="J180" s="47">
        <f t="shared" si="37"/>
        <v>1.0611028674629069E-2</v>
      </c>
      <c r="K180" s="47">
        <f t="shared" si="39"/>
        <v>0.2534975673807886</v>
      </c>
    </row>
    <row r="181" spans="1:11">
      <c r="A181" s="19"/>
      <c r="B181" s="63"/>
      <c r="C181" s="63"/>
    </row>
    <row r="182" spans="1:11" ht="12">
      <c r="A182" s="268" t="s">
        <v>304</v>
      </c>
      <c r="B182" s="268"/>
      <c r="C182" s="268"/>
    </row>
    <row r="183" spans="1:11" ht="12">
      <c r="A183" s="17"/>
      <c r="B183" s="17" t="s">
        <v>307</v>
      </c>
      <c r="C183" s="17" t="s">
        <v>308</v>
      </c>
      <c r="D183" s="4" t="s">
        <v>309</v>
      </c>
    </row>
    <row r="184" spans="1:11">
      <c r="A184" s="15" t="s">
        <v>300</v>
      </c>
      <c r="B184" s="72">
        <f>(B171*F171+B177*F177)/(F171+F177)</f>
        <v>9.0828809655545337E-2</v>
      </c>
      <c r="C184" s="72">
        <f>(D171*F171+D177*F177)/(F171+F177)</f>
        <v>3.5269458671611922E-2</v>
      </c>
      <c r="D184" s="65">
        <f>(E171*F171+E177*F177)/(F171+F177)</f>
        <v>0.22565253987565378</v>
      </c>
    </row>
    <row r="185" spans="1:11">
      <c r="A185" s="15" t="s">
        <v>306</v>
      </c>
      <c r="B185" s="72">
        <f>(B173*F173+E138*B138)/(F173+B138)</f>
        <v>4.3320625536113641E-2</v>
      </c>
      <c r="C185" s="72">
        <f>(D173*F173+D138*B138)/(F173+B138)</f>
        <v>1.5305485216481364E-5</v>
      </c>
      <c r="D185" s="65">
        <f>(E173*F173+G138*B138)/(F173+B138)</f>
        <v>0.28058266212676913</v>
      </c>
    </row>
    <row r="186" spans="1:11">
      <c r="A186" s="15" t="s">
        <v>301</v>
      </c>
      <c r="B186" s="72">
        <f>B175*(F175/(F175+F174))+B174*F174/(F174+F175)</f>
        <v>9.323718559787203E-2</v>
      </c>
      <c r="C186" s="72">
        <f>(B186-'ERPs by country'!E3)/'ERPs by country'!E5</f>
        <v>3.7059194817035325E-2</v>
      </c>
      <c r="D186" s="65">
        <f>(B96*G96+B76*G76)/(B76+B96)</f>
        <v>0.31219579378380224</v>
      </c>
    </row>
    <row r="187" spans="1:11">
      <c r="A187" s="15" t="s">
        <v>115</v>
      </c>
      <c r="B187" s="65">
        <f>E40</f>
        <v>5.2711919946965669E-2</v>
      </c>
      <c r="C187" s="65">
        <f>D40</f>
        <v>6.9842548970989338E-3</v>
      </c>
      <c r="D187" s="65">
        <f>G40</f>
        <v>0.30620000000000003</v>
      </c>
    </row>
    <row r="188" spans="1:11">
      <c r="A188" s="15" t="s">
        <v>190</v>
      </c>
      <c r="B188" s="65">
        <f>E139</f>
        <v>4.3299999999999998E-2</v>
      </c>
      <c r="C188" s="65">
        <f>F139</f>
        <v>0</v>
      </c>
      <c r="D188" s="65">
        <f>G139</f>
        <v>0.25</v>
      </c>
    </row>
    <row r="189" spans="1:11">
      <c r="A189" s="15" t="s">
        <v>302</v>
      </c>
      <c r="B189" s="65">
        <f>E167</f>
        <v>5.4450110634666357E-2</v>
      </c>
      <c r="C189" s="65">
        <f>D167</f>
        <v>8.2741050967470049E-3</v>
      </c>
      <c r="D189" s="65">
        <f>E179</f>
        <v>0.24775219614916172</v>
      </c>
    </row>
    <row r="190" spans="1:11">
      <c r="A190" s="15" t="s">
        <v>303</v>
      </c>
      <c r="B190" s="72">
        <f>(B171*F171+B172*F172+B174*F174+B175*F175+B176*F176+B177*F177-B187*B41)/(F171+F172+F174+F175+F176+F177-B41)</f>
        <v>6.8876631443902034E-2</v>
      </c>
      <c r="C190" s="72">
        <f>(D171*F171+D172*F172+D174*F174+D175*F175+D176*F176+D177*F177-D41*B41)/(F171+F172+F174+F175+F176+F177-B41)</f>
        <v>1.9056228391562936E-2</v>
      </c>
      <c r="D190" s="65">
        <f>(E172*G172+E171*G171+E174*G174+E175*G175+E176*G176+E177*G177-B41/F180*D187)/(G171+G172+G174+G175+G176+G177-B41/F180)</f>
        <v>0.25392650759058416</v>
      </c>
    </row>
    <row r="191" spans="1:11">
      <c r="A191" s="15" t="s">
        <v>305</v>
      </c>
      <c r="B191" s="72">
        <f>(B172*F172-B35*E35-B38*E38-B40*E40)/(F172-(B35+B38+B40))</f>
        <v>6.9527340302537294E-2</v>
      </c>
      <c r="C191" s="72">
        <f>(B191-'ERPs by country'!E3)/'ERPs by country'!E5</f>
        <v>1.946373433279408E-2</v>
      </c>
      <c r="D191" s="65">
        <f>(B57*G57-G36*B36-G39*B39-G41*B40)/(B57-B36-B39-B40)</f>
        <v>0.26040156852583179</v>
      </c>
    </row>
    <row r="192" spans="1:11">
      <c r="A192" s="15" t="s">
        <v>110</v>
      </c>
      <c r="B192" s="72">
        <f>E38</f>
        <v>7.2633817168042999E-2</v>
      </c>
      <c r="C192" s="72">
        <f>D38</f>
        <v>2.1767594429291676E-2</v>
      </c>
      <c r="D192" s="65">
        <f>G38</f>
        <v>0.3</v>
      </c>
    </row>
    <row r="193" spans="1:4">
      <c r="A193" s="15" t="s">
        <v>96</v>
      </c>
      <c r="B193" s="65">
        <f>E35</f>
        <v>5.2711919946965669E-2</v>
      </c>
      <c r="C193" s="65">
        <f>D35</f>
        <v>6.9842548970989338E-3</v>
      </c>
      <c r="D193" s="65">
        <f>G35</f>
        <v>0.25</v>
      </c>
    </row>
    <row r="194" spans="1:4">
      <c r="A194" s="15" t="s">
        <v>278</v>
      </c>
      <c r="B194" s="65">
        <f>B180</f>
        <v>5.7599328119030901E-2</v>
      </c>
      <c r="C194" s="65">
        <f>D180</f>
        <v>1.0611028674629071E-2</v>
      </c>
      <c r="D194" s="65">
        <f>E180</f>
        <v>0.25349756738078866</v>
      </c>
    </row>
    <row r="196" spans="1:4" ht="12">
      <c r="A196" s="268" t="s">
        <v>542</v>
      </c>
      <c r="B196" s="268"/>
      <c r="C196" s="268"/>
    </row>
    <row r="197" spans="1:4" ht="12">
      <c r="A197" s="17"/>
      <c r="B197" s="17" t="s">
        <v>307</v>
      </c>
      <c r="C197" s="17" t="s">
        <v>308</v>
      </c>
      <c r="D197" s="4" t="s">
        <v>309</v>
      </c>
    </row>
    <row r="198" spans="1:4" ht="12.5">
      <c r="A198" s="15" t="s">
        <v>541</v>
      </c>
      <c r="B198" s="72">
        <f>(B179*F179+B177*F177+B171*F171)/(F171+F177+F179)</f>
        <v>6.1729262278108245E-2</v>
      </c>
      <c r="C198" s="72">
        <f>(D179*F179+D177*F177+D171*F171)/(F171+F177+F179)</f>
        <v>1.3675707617689077E-2</v>
      </c>
      <c r="D198" s="233">
        <f>(E179*F179+E177*F177+E171*F171)/(F171+F177+F179)</f>
        <v>0.24333019223993782</v>
      </c>
    </row>
  </sheetData>
  <mergeCells count="2">
    <mergeCell ref="A182:C182"/>
    <mergeCell ref="A196:C196"/>
  </mergeCells>
  <phoneticPr fontId="11" type="noConversion"/>
  <pageMargins left="0.75" right="0.75" top="1" bottom="1" header="0.5" footer="0.5"/>
  <pageSetup scale="73" orientation="landscape" horizontalDpi="4294967292" verticalDpi="429496729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58"/>
  <sheetViews>
    <sheetView zoomScaleNormal="100" workbookViewId="0">
      <selection sqref="A1:I158"/>
    </sheetView>
  </sheetViews>
  <sheetFormatPr defaultColWidth="11.19921875" defaultRowHeight="11.5"/>
  <cols>
    <col min="1" max="1" width="23.296875" bestFit="1" customWidth="1"/>
    <col min="2" max="2" width="23.296875" style="121" customWidth="1"/>
    <col min="3" max="3" width="16.296875" style="25" bestFit="1" customWidth="1"/>
    <col min="4" max="4" width="16.296875" style="25" customWidth="1"/>
    <col min="5" max="5" width="17.5" bestFit="1" customWidth="1"/>
    <col min="6" max="6" width="17.296875" bestFit="1" customWidth="1"/>
    <col min="7" max="7" width="20.19921875" bestFit="1" customWidth="1"/>
    <col min="8" max="8" width="20.19921875" customWidth="1"/>
    <col min="9" max="9" width="20.796875" bestFit="1" customWidth="1"/>
  </cols>
  <sheetData>
    <row r="1" spans="1:9" s="1" customFormat="1" ht="15.5">
      <c r="A1" s="51" t="s">
        <v>74</v>
      </c>
      <c r="B1" s="120" t="str">
        <f>'Country GDP'!B1</f>
        <v>GDP (in millions) in 2023</v>
      </c>
      <c r="C1" s="9" t="str">
        <f>'Sovereign Ratings (Moody''s,S&amp;P)'!D1</f>
        <v>Moody's rating</v>
      </c>
      <c r="D1" s="9" t="s">
        <v>462</v>
      </c>
      <c r="E1" s="51" t="s">
        <v>36</v>
      </c>
      <c r="F1" s="51" t="s">
        <v>439</v>
      </c>
      <c r="G1" s="52" t="s">
        <v>37</v>
      </c>
      <c r="H1" s="52" t="s">
        <v>350</v>
      </c>
      <c r="I1" s="51" t="s">
        <v>52</v>
      </c>
    </row>
    <row r="2" spans="1:9" ht="15.5">
      <c r="A2" s="8" t="str">
        <f>'Sovereign Ratings (Moody''s,S&amp;P)'!A2</f>
        <v>Abu Dhabi</v>
      </c>
      <c r="B2" s="120">
        <f>VLOOKUP(A2,'Country GDP'!$A$2:$B$181,2,FALSE)</f>
        <v>310000</v>
      </c>
      <c r="C2" s="9" t="str">
        <f>VLOOKUP(A2,'Sovereign Ratings (Moody''s,S&amp;P)'!$A$2:$D$158,4,FALSE)</f>
        <v>Aa2</v>
      </c>
      <c r="D2" s="11">
        <f>VLOOKUP(A2,'10-year CDS Spreads'!$A$2:$C$158,3,FALSE)</f>
        <v>7.6E-3</v>
      </c>
      <c r="E2" s="21">
        <f>VLOOKUP(A2,'ERPs by country'!$A$8:$F$164,4,FALSE)</f>
        <v>4.8889784279692525E-3</v>
      </c>
      <c r="F2" s="10">
        <f>VLOOKUP(A2,'ERPs by country'!$A$8:$F$164,5,FALSE)</f>
        <v>4.8188978427969251E-2</v>
      </c>
      <c r="G2" s="14">
        <f>VLOOKUP(A2,'ERPs by country'!$A$8:$F$164,6,FALSE)</f>
        <v>4.8889784279692525E-3</v>
      </c>
      <c r="H2" s="14">
        <f>VLOOKUP(A2,'Country Tax Rates'!$A$2:$B$159,2,FALSE)</f>
        <v>0.15</v>
      </c>
      <c r="I2" s="15" t="str">
        <f>VLOOKUP(A2,'Regional lookup table'!$A$2:$B$162,2,FALSE)</f>
        <v>Middle East</v>
      </c>
    </row>
    <row r="3" spans="1:9" ht="15.5">
      <c r="A3" s="8" t="str">
        <f>'Sovereign Ratings (Moody''s,S&amp;P)'!A3</f>
        <v>Albania</v>
      </c>
      <c r="B3" s="120">
        <f>VLOOKUP(A3,'Country GDP'!$A$2:$B$181,2,FALSE)</f>
        <v>22977.677860797856</v>
      </c>
      <c r="C3" s="9" t="str">
        <f>VLOOKUP(A3,'Sovereign Ratings (Moody''s,S&amp;P)'!$A$2:$D$158,4,FALSE)</f>
        <v>Ba3</v>
      </c>
      <c r="D3" s="11" t="str">
        <f>VLOOKUP(A3,'10-year CDS Spreads'!$A$2:$C$158,3,FALSE)</f>
        <v>NA</v>
      </c>
      <c r="E3" s="21">
        <f>VLOOKUP(A3,'ERPs by country'!$A$8:$F$164,4,FALSE)</f>
        <v>3.5619699975204554E-2</v>
      </c>
      <c r="F3" s="10">
        <f>VLOOKUP(A3,'ERPs by country'!$A$8:$F$164,5,FALSE)</f>
        <v>7.8919699975204552E-2</v>
      </c>
      <c r="G3" s="14">
        <f>VLOOKUP(A3,'ERPs by country'!$A$8:$F$164,6,FALSE)</f>
        <v>3.5619699975204554E-2</v>
      </c>
      <c r="H3" s="14">
        <f>VLOOKUP(A3,'Country Tax Rates'!$A$2:$B$159,2,FALSE)</f>
        <v>0.15</v>
      </c>
      <c r="I3" s="15" t="str">
        <f>VLOOKUP(A3,'Regional lookup table'!$A$2:$B$162,2,FALSE)</f>
        <v>Eastern Europe &amp; Russia</v>
      </c>
    </row>
    <row r="4" spans="1:9" ht="15.5">
      <c r="A4" s="8" t="str">
        <f>'Sovereign Ratings (Moody''s,S&amp;P)'!A4</f>
        <v>Andorra (Principality of)</v>
      </c>
      <c r="B4" s="120">
        <f>VLOOKUP(A4,'Country GDP'!$A$2:$B$181,2,FALSE)</f>
        <v>3352</v>
      </c>
      <c r="C4" s="9" t="str">
        <f>VLOOKUP(A4,'Sovereign Ratings (Moody''s,S&amp;P)'!$A$2:$D$158,4,FALSE)</f>
        <v>Baa1</v>
      </c>
      <c r="D4" s="11" t="str">
        <f>VLOOKUP(A4,'10-year CDS Spreads'!$A$2:$C$158,3,FALSE)</f>
        <v>NA</v>
      </c>
      <c r="E4" s="21">
        <f>VLOOKUP(A4,'ERPs by country'!$A$8:$F$164,4,FALSE)</f>
        <v>1.5830977766757577E-2</v>
      </c>
      <c r="F4" s="10">
        <f>VLOOKUP(A4,'ERPs by country'!$A$8:$F$164,5,FALSE)</f>
        <v>5.9130977766757575E-2</v>
      </c>
      <c r="G4" s="14">
        <f>VLOOKUP(A4,'ERPs by country'!$A$8:$F$164,6,FALSE)</f>
        <v>1.5830977766757577E-2</v>
      </c>
      <c r="H4" s="14">
        <f>VLOOKUP(A4,'Country Tax Rates'!$A$2:$B$159,2,FALSE)</f>
        <v>0.1898</v>
      </c>
      <c r="I4" s="15" t="str">
        <f>VLOOKUP(A4,'Regional lookup table'!$A$2:$B$162,2,FALSE)</f>
        <v>Western Europe</v>
      </c>
    </row>
    <row r="5" spans="1:9" ht="15.5">
      <c r="A5" s="8" t="str">
        <f>'Sovereign Ratings (Moody''s,S&amp;P)'!A5</f>
        <v>Angola</v>
      </c>
      <c r="B5" s="120">
        <f>VLOOKUP(A5,'Country GDP'!$A$2:$B$181,2,FALSE)</f>
        <v>84722.957642375652</v>
      </c>
      <c r="C5" s="9" t="str">
        <f>VLOOKUP(A5,'Sovereign Ratings (Moody''s,S&amp;P)'!$A$2:$D$158,4,FALSE)</f>
        <v>B3</v>
      </c>
      <c r="D5" s="11">
        <f>VLOOKUP(A5,'10-year CDS Spreads'!$A$2:$C$158,3,FALSE)</f>
        <v>6.7400000000000002E-2</v>
      </c>
      <c r="E5" s="21">
        <f>VLOOKUP(A5,'ERPs by country'!$A$8:$F$164,4,FALSE)</f>
        <v>6.4371549301595152E-2</v>
      </c>
      <c r="F5" s="10">
        <f>VLOOKUP(A5,'ERPs by country'!$A$8:$F$164,5,FALSE)</f>
        <v>0.10767154930159514</v>
      </c>
      <c r="G5" s="14">
        <f>VLOOKUP(A5,'ERPs by country'!$A$8:$F$164,6,FALSE)</f>
        <v>6.4371549301595152E-2</v>
      </c>
      <c r="H5" s="14">
        <f>VLOOKUP(A5,'Country Tax Rates'!$A$2:$B$159,2,FALSE)</f>
        <v>0.25</v>
      </c>
      <c r="I5" s="15" t="str">
        <f>VLOOKUP(A5,'Regional lookup table'!$A$2:$B$162,2,FALSE)</f>
        <v>Africa</v>
      </c>
    </row>
    <row r="6" spans="1:9" ht="15.5">
      <c r="A6" s="8" t="str">
        <f>'Sovereign Ratings (Moody''s,S&amp;P)'!A6</f>
        <v>Argentina</v>
      </c>
      <c r="B6" s="120">
        <f>VLOOKUP(A6,'Country GDP'!$A$2:$B$181,2,FALSE)</f>
        <v>640591.41066388343</v>
      </c>
      <c r="C6" s="9" t="str">
        <f>VLOOKUP(A6,'Sovereign Ratings (Moody''s,S&amp;P)'!$A$2:$D$158,4,FALSE)</f>
        <v>Ca</v>
      </c>
      <c r="D6" s="11" t="str">
        <f>VLOOKUP(A6,'10-year CDS Spreads'!$A$2:$C$158,3,FALSE)</f>
        <v>NA</v>
      </c>
      <c r="E6" s="21">
        <f>VLOOKUP(A6,'ERPs by country'!$A$8:$F$164,4,FALSE)</f>
        <v>0.11884873749896685</v>
      </c>
      <c r="F6" s="10">
        <f>VLOOKUP(A6,'ERPs by country'!$A$8:$F$164,5,FALSE)</f>
        <v>0.16214873749896686</v>
      </c>
      <c r="G6" s="14">
        <f>VLOOKUP(A6,'ERPs by country'!$A$8:$F$164,6,FALSE)</f>
        <v>0.11884873749896685</v>
      </c>
      <c r="H6" s="14">
        <f>VLOOKUP(A6,'Country Tax Rates'!$A$2:$B$159,2,FALSE)</f>
        <v>0.35</v>
      </c>
      <c r="I6" s="15" t="str">
        <f>VLOOKUP(A6,'Regional lookup table'!$A$2:$B$162,2,FALSE)</f>
        <v>Central and South America</v>
      </c>
    </row>
    <row r="7" spans="1:9" ht="15.5">
      <c r="A7" s="8" t="str">
        <f>'Sovereign Ratings (Moody''s,S&amp;P)'!A7</f>
        <v>Armenia</v>
      </c>
      <c r="B7" s="120">
        <f>VLOOKUP(A7,'Country GDP'!$A$2:$B$181,2,FALSE)</f>
        <v>24212.134631064004</v>
      </c>
      <c r="C7" s="9" t="str">
        <f>VLOOKUP(A7,'Sovereign Ratings (Moody''s,S&amp;P)'!$A$2:$D$158,4,FALSE)</f>
        <v>Ba3</v>
      </c>
      <c r="D7" s="11" t="str">
        <f>VLOOKUP(A7,'10-year CDS Spreads'!$A$2:$C$158,3,FALSE)</f>
        <v>NA</v>
      </c>
      <c r="E7" s="21">
        <f>VLOOKUP(A7,'ERPs by country'!$A$8:$F$164,4,FALSE)</f>
        <v>3.5619699975204554E-2</v>
      </c>
      <c r="F7" s="10">
        <f>VLOOKUP(A7,'ERPs by country'!$A$8:$F$164,5,FALSE)</f>
        <v>7.8919699975204552E-2</v>
      </c>
      <c r="G7" s="14">
        <f>VLOOKUP(A7,'ERPs by country'!$A$8:$F$164,6,FALSE)</f>
        <v>3.5619699975204554E-2</v>
      </c>
      <c r="H7" s="14">
        <f>VLOOKUP(A7,'Country Tax Rates'!$A$2:$B$159,2,FALSE)</f>
        <v>0.18</v>
      </c>
      <c r="I7" s="15" t="str">
        <f>VLOOKUP(A7,'Regional lookup table'!$A$2:$B$162,2,FALSE)</f>
        <v>Eastern Europe &amp; Russia</v>
      </c>
    </row>
    <row r="8" spans="1:9" ht="15.5">
      <c r="A8" s="8" t="str">
        <f>'Sovereign Ratings (Moody''s,S&amp;P)'!A8</f>
        <v>Aruba</v>
      </c>
      <c r="B8" s="120">
        <f>VLOOKUP(A8,'Country GDP'!$A$2:$B$181,2,FALSE)</f>
        <v>3544.7077880566426</v>
      </c>
      <c r="C8" s="9" t="str">
        <f>VLOOKUP(A8,'Sovereign Ratings (Moody''s,S&amp;P)'!$A$2:$D$158,4,FALSE)</f>
        <v>Baa3</v>
      </c>
      <c r="D8" s="11" t="str">
        <f>VLOOKUP(A8,'10-year CDS Spreads'!$A$2:$C$158,3,FALSE)</f>
        <v>NA</v>
      </c>
      <c r="E8" s="21">
        <f>VLOOKUP(A8,'ERPs by country'!$A$8:$F$164,4,FALSE)</f>
        <v>2.1767594429291676E-2</v>
      </c>
      <c r="F8" s="10">
        <f>VLOOKUP(A8,'ERPs by country'!$A$8:$F$164,5,FALSE)</f>
        <v>6.5067594429291678E-2</v>
      </c>
      <c r="G8" s="14">
        <f>VLOOKUP(A8,'ERPs by country'!$A$8:$F$164,6,FALSE)</f>
        <v>2.1767594429291676E-2</v>
      </c>
      <c r="H8" s="14">
        <f>VLOOKUP(A8,'Country Tax Rates'!$A$2:$B$159,2,FALSE)</f>
        <v>0.25</v>
      </c>
      <c r="I8" s="15" t="str">
        <f>VLOOKUP(A8,'Regional lookup table'!$A$2:$B$162,2,FALSE)</f>
        <v>Caribbean</v>
      </c>
    </row>
    <row r="9" spans="1:9" ht="15.5">
      <c r="A9" s="8" t="str">
        <f>'Sovereign Ratings (Moody''s,S&amp;P)'!A9</f>
        <v>Australia</v>
      </c>
      <c r="B9" s="120">
        <f>VLOOKUP(A9,'Country GDP'!$A$2:$B$181,2,FALSE)</f>
        <v>1723827.2153347062</v>
      </c>
      <c r="C9" s="9" t="str">
        <f>VLOOKUP(A9,'Sovereign Ratings (Moody''s,S&amp;P)'!$A$2:$D$158,4,FALSE)</f>
        <v>Aaa</v>
      </c>
      <c r="D9" s="11">
        <f>VLOOKUP(A9,'10-year CDS Spreads'!$A$2:$C$158,3,FALSE)</f>
        <v>1.8E-3</v>
      </c>
      <c r="E9" s="21">
        <f>VLOOKUP(A9,'ERPs by country'!$A$8:$F$164,4,FALSE)</f>
        <v>0</v>
      </c>
      <c r="F9" s="10">
        <f>VLOOKUP(A9,'ERPs by country'!$A$8:$F$164,5,FALSE)</f>
        <v>4.3299999999999998E-2</v>
      </c>
      <c r="G9" s="14">
        <f>VLOOKUP(A9,'ERPs by country'!$A$8:$F$164,6,FALSE)</f>
        <v>0</v>
      </c>
      <c r="H9" s="14">
        <f>VLOOKUP(A9,'Country Tax Rates'!$A$2:$B$159,2,FALSE)</f>
        <v>0.3</v>
      </c>
      <c r="I9" s="15" t="str">
        <f>VLOOKUP(A9,'Regional lookup table'!$A$2:$B$162,2,FALSE)</f>
        <v>Australia &amp; New Zealand</v>
      </c>
    </row>
    <row r="10" spans="1:9" ht="15.5">
      <c r="A10" s="8" t="str">
        <f>'Sovereign Ratings (Moody''s,S&amp;P)'!A10</f>
        <v>Austria</v>
      </c>
      <c r="B10" s="120">
        <f>VLOOKUP(A10,'Country GDP'!$A$2:$B$181,2,FALSE)</f>
        <v>516034.14411595033</v>
      </c>
      <c r="C10" s="9" t="str">
        <f>VLOOKUP(A10,'Sovereign Ratings (Moody''s,S&amp;P)'!$A$2:$D$158,4,FALSE)</f>
        <v>Aa1</v>
      </c>
      <c r="D10" s="11">
        <f>VLOOKUP(A10,'10-year CDS Spreads'!$A$2:$C$158,3,FALSE)</f>
        <v>2.5999999999999999E-3</v>
      </c>
      <c r="E10" s="21">
        <f>VLOOKUP(A10,'ERPs by country'!$A$8:$F$164,4,FALSE)</f>
        <v>3.9577444416893943E-3</v>
      </c>
      <c r="F10" s="10">
        <f>VLOOKUP(A10,'ERPs by country'!$A$8:$F$164,5,FALSE)</f>
        <v>4.7257744441689391E-2</v>
      </c>
      <c r="G10" s="14">
        <f>VLOOKUP(A10,'ERPs by country'!$A$8:$F$164,6,FALSE)</f>
        <v>3.9577444416893943E-3</v>
      </c>
      <c r="H10" s="14">
        <f>VLOOKUP(A10,'Country Tax Rates'!$A$2:$B$159,2,FALSE)</f>
        <v>0.24</v>
      </c>
      <c r="I10" s="15" t="str">
        <f>VLOOKUP(A10,'Regional lookup table'!$A$2:$B$162,2,FALSE)</f>
        <v>Western Europe</v>
      </c>
    </row>
    <row r="11" spans="1:9" ht="15.5">
      <c r="A11" s="8" t="str">
        <f>'Sovereign Ratings (Moody''s,S&amp;P)'!A11</f>
        <v>Azerbaijan</v>
      </c>
      <c r="B11" s="120">
        <f>VLOOKUP(A11,'Country GDP'!$A$2:$B$181,2,FALSE)</f>
        <v>72356.176470588238</v>
      </c>
      <c r="C11" s="9" t="str">
        <f>VLOOKUP(A11,'Sovereign Ratings (Moody''s,S&amp;P)'!$A$2:$D$158,4,FALSE)</f>
        <v>Ba1</v>
      </c>
      <c r="D11" s="11" t="str">
        <f>VLOOKUP(A11,'10-year CDS Spreads'!$A$2:$C$158,3,FALSE)</f>
        <v>NA</v>
      </c>
      <c r="E11" s="21">
        <f>VLOOKUP(A11,'ERPs by country'!$A$8:$F$164,4,FALSE)</f>
        <v>2.4794104884701216E-2</v>
      </c>
      <c r="F11" s="10">
        <f>VLOOKUP(A11,'ERPs by country'!$A$8:$F$164,5,FALSE)</f>
        <v>6.8094104884701218E-2</v>
      </c>
      <c r="G11" s="14">
        <f>VLOOKUP(A11,'ERPs by country'!$A$8:$F$164,6,FALSE)</f>
        <v>2.4794104884701216E-2</v>
      </c>
      <c r="H11" s="14">
        <f>VLOOKUP(A11,'Country Tax Rates'!$A$2:$B$159,2,FALSE)</f>
        <v>0.2</v>
      </c>
      <c r="I11" s="15" t="str">
        <f>VLOOKUP(A11,'Regional lookup table'!$A$2:$B$162,2,FALSE)</f>
        <v>Eastern Europe &amp; Russia</v>
      </c>
    </row>
    <row r="12" spans="1:9" ht="15.5">
      <c r="A12" s="8" t="str">
        <f>'Sovereign Ratings (Moody''s,S&amp;P)'!A12</f>
        <v>Bahamas</v>
      </c>
      <c r="B12" s="120">
        <f>VLOOKUP(A12,'Country GDP'!$A$2:$B$181,2,FALSE)</f>
        <v>11210</v>
      </c>
      <c r="C12" s="9" t="str">
        <f>VLOOKUP(A12,'Sovereign Ratings (Moody''s,S&amp;P)'!$A$2:$D$158,4,FALSE)</f>
        <v>B1</v>
      </c>
      <c r="D12" s="11" t="str">
        <f>VLOOKUP(A12,'10-year CDS Spreads'!$A$2:$C$158,3,FALSE)</f>
        <v>NA</v>
      </c>
      <c r="E12" s="21">
        <f>VLOOKUP(A12,'ERPs by country'!$A$8:$F$164,4,FALSE)</f>
        <v>4.4582827093148182E-2</v>
      </c>
      <c r="F12" s="10">
        <f>VLOOKUP(A12,'ERPs by country'!$A$8:$F$164,5,FALSE)</f>
        <v>8.788282709314818E-2</v>
      </c>
      <c r="G12" s="14">
        <f>VLOOKUP(A12,'ERPs by country'!$A$8:$F$164,6,FALSE)</f>
        <v>4.4582827093148182E-2</v>
      </c>
      <c r="H12" s="14">
        <f>VLOOKUP(A12,'Country Tax Rates'!$A$2:$B$159,2,FALSE)</f>
        <v>0</v>
      </c>
      <c r="I12" s="15" t="str">
        <f>VLOOKUP(A12,'Regional lookup table'!$A$2:$B$162,2,FALSE)</f>
        <v>Caribbean</v>
      </c>
    </row>
    <row r="13" spans="1:9" ht="15.5">
      <c r="A13" s="8" t="str">
        <f>'Sovereign Ratings (Moody''s,S&amp;P)'!A13</f>
        <v>Bahrain</v>
      </c>
      <c r="B13" s="120">
        <f>VLOOKUP(A13,'Country GDP'!$A$2:$B$181,2,FALSE)</f>
        <v>43205</v>
      </c>
      <c r="C13" s="9" t="str">
        <f>VLOOKUP(A13,'Sovereign Ratings (Moody''s,S&amp;P)'!$A$2:$D$158,4,FALSE)</f>
        <v>B2</v>
      </c>
      <c r="D13" s="11">
        <f>VLOOKUP(A13,'10-year CDS Spreads'!$A$2:$C$158,3,FALSE)</f>
        <v>2.5100000000000001E-2</v>
      </c>
      <c r="E13" s="21">
        <f>VLOOKUP(A13,'ERPs by country'!$A$8:$F$164,4,FALSE)</f>
        <v>5.4477188197371677E-2</v>
      </c>
      <c r="F13" s="10">
        <f>VLOOKUP(A13,'ERPs by country'!$A$8:$F$164,5,FALSE)</f>
        <v>9.7777188197371676E-2</v>
      </c>
      <c r="G13" s="14">
        <f>VLOOKUP(A13,'ERPs by country'!$A$8:$F$164,6,FALSE)</f>
        <v>5.4477188197371677E-2</v>
      </c>
      <c r="H13" s="14">
        <f>VLOOKUP(A13,'Country Tax Rates'!$A$2:$B$159,2,FALSE)</f>
        <v>0</v>
      </c>
      <c r="I13" s="15" t="str">
        <f>VLOOKUP(A13,'Regional lookup table'!$A$2:$B$162,2,FALSE)</f>
        <v>Middle East</v>
      </c>
    </row>
    <row r="14" spans="1:9" ht="15.5">
      <c r="A14" s="8" t="str">
        <f>'Sovereign Ratings (Moody''s,S&amp;P)'!A14</f>
        <v>Bangladesh</v>
      </c>
      <c r="B14" s="120">
        <f>VLOOKUP(A14,'Country GDP'!$A$2:$B$181,2,FALSE)</f>
        <v>437415.33104099432</v>
      </c>
      <c r="C14" s="9" t="str">
        <f>VLOOKUP(A14,'Sovereign Ratings (Moody''s,S&amp;P)'!$A$2:$D$158,4,FALSE)</f>
        <v>B2</v>
      </c>
      <c r="D14" s="11" t="str">
        <f>VLOOKUP(A14,'10-year CDS Spreads'!$A$2:$C$158,3,FALSE)</f>
        <v>NA</v>
      </c>
      <c r="E14" s="21">
        <f>VLOOKUP(A14,'ERPs by country'!$A$8:$F$164,4,FALSE)</f>
        <v>5.4477188197371677E-2</v>
      </c>
      <c r="F14" s="10">
        <f>VLOOKUP(A14,'ERPs by country'!$A$8:$F$164,5,FALSE)</f>
        <v>9.7777188197371676E-2</v>
      </c>
      <c r="G14" s="14">
        <f>VLOOKUP(A14,'ERPs by country'!$A$8:$F$164,6,FALSE)</f>
        <v>5.4477188197371677E-2</v>
      </c>
      <c r="H14" s="14">
        <f>VLOOKUP(A14,'Country Tax Rates'!$A$2:$B$159,2,FALSE)</f>
        <v>0.3</v>
      </c>
      <c r="I14" s="15" t="str">
        <f>VLOOKUP(A14,'Regional lookup table'!$A$2:$B$162,2,FALSE)</f>
        <v>Asia</v>
      </c>
    </row>
    <row r="15" spans="1:9" ht="15.5">
      <c r="A15" s="8" t="str">
        <f>'Sovereign Ratings (Moody''s,S&amp;P)'!A15</f>
        <v>Barbados</v>
      </c>
      <c r="B15" s="120">
        <f>VLOOKUP(A15,'Country GDP'!$A$2:$B$181,2,FALSE)</f>
        <v>6393.5641896134503</v>
      </c>
      <c r="C15" s="9" t="str">
        <f>VLOOKUP(A15,'Sovereign Ratings (Moody''s,S&amp;P)'!$A$2:$D$158,4,FALSE)</f>
        <v>B3</v>
      </c>
      <c r="D15" s="11" t="str">
        <f>VLOOKUP(A15,'10-year CDS Spreads'!$A$2:$C$158,3,FALSE)</f>
        <v>NA</v>
      </c>
      <c r="E15" s="21">
        <f>VLOOKUP(A15,'ERPs by country'!$A$8:$F$164,4,FALSE)</f>
        <v>6.4371549301595152E-2</v>
      </c>
      <c r="F15" s="10">
        <f>VLOOKUP(A15,'ERPs by country'!$A$8:$F$164,5,FALSE)</f>
        <v>0.10767154930159514</v>
      </c>
      <c r="G15" s="14">
        <f>VLOOKUP(A15,'ERPs by country'!$A$8:$F$164,6,FALSE)</f>
        <v>6.4371549301595152E-2</v>
      </c>
      <c r="H15" s="14">
        <f>VLOOKUP(A15,'Country Tax Rates'!$A$2:$B$159,2,FALSE)</f>
        <v>5.5E-2</v>
      </c>
      <c r="I15" s="15" t="str">
        <f>VLOOKUP(A15,'Regional lookup table'!$A$2:$B$162,2,FALSE)</f>
        <v>Caribbean</v>
      </c>
    </row>
    <row r="16" spans="1:9" ht="15.5">
      <c r="A16" s="8" t="str">
        <f>'Sovereign Ratings (Moody''s,S&amp;P)'!A16</f>
        <v>Belarus</v>
      </c>
      <c r="B16" s="120">
        <f>VLOOKUP(A16,'Country GDP'!$A$2:$B$181,2,FALSE)</f>
        <v>71857.382745606592</v>
      </c>
      <c r="C16" s="9" t="str">
        <f>VLOOKUP(A16,'Sovereign Ratings (Moody''s,S&amp;P)'!$A$2:$D$158,4,FALSE)</f>
        <v>C</v>
      </c>
      <c r="D16" s="11" t="str">
        <f>VLOOKUP(A16,'10-year CDS Spreads'!$A$2:$C$158,3,FALSE)</f>
        <v>NA</v>
      </c>
      <c r="E16" s="21">
        <f>VLOOKUP(A16,'ERPs by country'!$A$8:$F$164,4,FALSE)</f>
        <v>0.17499999999999999</v>
      </c>
      <c r="F16" s="10">
        <f>VLOOKUP(A16,'ERPs by country'!$A$8:$F$164,5,FALSE)</f>
        <v>0.21829999999999999</v>
      </c>
      <c r="G16" s="14">
        <f>VLOOKUP(A16,'ERPs by country'!$A$8:$F$164,6,FALSE)</f>
        <v>0.17499999999999999</v>
      </c>
      <c r="H16" s="14">
        <f>VLOOKUP(A16,'Country Tax Rates'!$A$2:$B$159,2,FALSE)</f>
        <v>0.18</v>
      </c>
      <c r="I16" s="15" t="str">
        <f>VLOOKUP(A16,'Regional lookup table'!$A$2:$B$162,2,FALSE)</f>
        <v>Eastern Europe &amp; Russia</v>
      </c>
    </row>
    <row r="17" spans="1:9" ht="15.5">
      <c r="A17" s="8" t="str">
        <f>'Sovereign Ratings (Moody''s,S&amp;P)'!A17</f>
        <v>Belgium</v>
      </c>
      <c r="B17" s="120">
        <f>VLOOKUP(A17,'Country GDP'!$A$2:$B$181,2,FALSE)</f>
        <v>632216.57707510924</v>
      </c>
      <c r="C17" s="9" t="str">
        <f>VLOOKUP(A17,'Sovereign Ratings (Moody''s,S&amp;P)'!$A$2:$D$158,4,FALSE)</f>
        <v>Aa3</v>
      </c>
      <c r="D17" s="11">
        <f>VLOOKUP(A17,'10-year CDS Spreads'!$A$2:$C$158,3,FALSE)</f>
        <v>4.3E-3</v>
      </c>
      <c r="E17" s="21">
        <f>VLOOKUP(A17,'ERPs by country'!$A$8:$F$164,4,FALSE)</f>
        <v>5.9366166625340932E-3</v>
      </c>
      <c r="F17" s="10">
        <f>VLOOKUP(A17,'ERPs by country'!$A$8:$F$164,5,FALSE)</f>
        <v>4.9236616662534094E-2</v>
      </c>
      <c r="G17" s="14">
        <f>VLOOKUP(A17,'ERPs by country'!$A$8:$F$164,6,FALSE)</f>
        <v>5.9366166625340932E-3</v>
      </c>
      <c r="H17" s="14">
        <f>VLOOKUP(A17,'Country Tax Rates'!$A$2:$B$159,2,FALSE)</f>
        <v>0.25</v>
      </c>
      <c r="I17" s="15" t="str">
        <f>VLOOKUP(A17,'Regional lookup table'!$A$2:$B$162,2,FALSE)</f>
        <v>Western Europe</v>
      </c>
    </row>
    <row r="18" spans="1:9" ht="15.5">
      <c r="A18" s="8" t="str">
        <f>'Sovereign Ratings (Moody''s,S&amp;P)'!A18</f>
        <v>Belize</v>
      </c>
      <c r="B18" s="120">
        <f>VLOOKUP(A18,'Country GDP'!$A$2:$B$181,2,FALSE)</f>
        <v>3281.5</v>
      </c>
      <c r="C18" s="9" t="str">
        <f>VLOOKUP(A18,'Sovereign Ratings (Moody''s,S&amp;P)'!$A$2:$D$158,4,FALSE)</f>
        <v>Caa1</v>
      </c>
      <c r="D18" s="11" t="str">
        <f>VLOOKUP(A18,'10-year CDS Spreads'!$A$2:$C$158,3,FALSE)</f>
        <v>NA</v>
      </c>
      <c r="E18" s="21">
        <f>VLOOKUP(A18,'ERPs by country'!$A$8:$F$164,4,FALSE)</f>
        <v>7.4265910405818647E-2</v>
      </c>
      <c r="F18" s="10">
        <f>VLOOKUP(A18,'ERPs by country'!$A$8:$F$164,5,FALSE)</f>
        <v>0.11756591040581865</v>
      </c>
      <c r="G18" s="14">
        <f>VLOOKUP(A18,'ERPs by country'!$A$8:$F$164,6,FALSE)</f>
        <v>7.4265910405818647E-2</v>
      </c>
      <c r="H18" s="14">
        <f>VLOOKUP(A18,'Country Tax Rates'!$A$2:$B$159,2,FALSE)</f>
        <v>0.2853</v>
      </c>
      <c r="I18" s="15" t="str">
        <f>VLOOKUP(A18,'Regional lookup table'!$A$2:$B$162,2,FALSE)</f>
        <v>Central and South America</v>
      </c>
    </row>
    <row r="19" spans="1:9" ht="15.5">
      <c r="A19" s="8" t="str">
        <f>'Sovereign Ratings (Moody''s,S&amp;P)'!A19</f>
        <v>Benin</v>
      </c>
      <c r="B19" s="120">
        <f>VLOOKUP(A19,'Country GDP'!$A$2:$B$181,2,FALSE)</f>
        <v>19673.284686002258</v>
      </c>
      <c r="C19" s="9" t="str">
        <f>VLOOKUP(A19,'Sovereign Ratings (Moody''s,S&amp;P)'!$A$2:$D$158,4,FALSE)</f>
        <v>B1</v>
      </c>
      <c r="D19" s="11" t="str">
        <f>VLOOKUP(A19,'10-year CDS Spreads'!$A$2:$C$158,3,FALSE)</f>
        <v>NA</v>
      </c>
      <c r="E19" s="21">
        <f>VLOOKUP(A19,'ERPs by country'!$A$8:$F$164,4,FALSE)</f>
        <v>4.4582827093148182E-2</v>
      </c>
      <c r="F19" s="10">
        <f>VLOOKUP(A19,'ERPs by country'!$A$8:$F$164,5,FALSE)</f>
        <v>8.788282709314818E-2</v>
      </c>
      <c r="G19" s="14">
        <f>VLOOKUP(A19,'ERPs by country'!$A$8:$F$164,6,FALSE)</f>
        <v>4.4582827093148182E-2</v>
      </c>
      <c r="H19" s="14">
        <f>VLOOKUP(A19,'Country Tax Rates'!$A$2:$B$159,2,FALSE)</f>
        <v>0.3</v>
      </c>
      <c r="I19" s="15" t="str">
        <f>VLOOKUP(A19,'Regional lookup table'!$A$2:$B$162,2,FALSE)</f>
        <v>Africa</v>
      </c>
    </row>
    <row r="20" spans="1:9" ht="15.5">
      <c r="A20" s="8" t="str">
        <f>'Sovereign Ratings (Moody''s,S&amp;P)'!A20</f>
        <v>Bermuda</v>
      </c>
      <c r="B20" s="120">
        <f>VLOOKUP(A20,'Country GDP'!$A$2:$B$181,2,FALSE)</f>
        <v>7827.98</v>
      </c>
      <c r="C20" s="9" t="str">
        <f>VLOOKUP(A20,'Sovereign Ratings (Moody''s,S&amp;P)'!$A$2:$D$158,4,FALSE)</f>
        <v>A2</v>
      </c>
      <c r="D20" s="11" t="str">
        <f>VLOOKUP(A20,'10-year CDS Spreads'!$A$2:$C$158,3,FALSE)</f>
        <v>NA</v>
      </c>
      <c r="E20" s="21">
        <f>VLOOKUP(A20,'ERPs by country'!$A$8:$F$164,4,FALSE)</f>
        <v>8.3811058765187203E-3</v>
      </c>
      <c r="F20" s="10">
        <f>VLOOKUP(A20,'ERPs by country'!$A$8:$F$164,5,FALSE)</f>
        <v>5.1681105876518717E-2</v>
      </c>
      <c r="G20" s="14">
        <f>VLOOKUP(A20,'ERPs by country'!$A$8:$F$164,6,FALSE)</f>
        <v>8.3811058765187203E-3</v>
      </c>
      <c r="H20" s="14">
        <f>VLOOKUP(A20,'Country Tax Rates'!$A$2:$B$159,2,FALSE)</f>
        <v>0</v>
      </c>
      <c r="I20" s="15" t="str">
        <f>VLOOKUP(A20,'Regional lookup table'!$A$2:$B$162,2,FALSE)</f>
        <v>Caribbean</v>
      </c>
    </row>
    <row r="21" spans="1:9" ht="15.5">
      <c r="A21" s="8" t="str">
        <f>'Sovereign Ratings (Moody''s,S&amp;P)'!A21</f>
        <v>Bolivia</v>
      </c>
      <c r="B21" s="120">
        <f>VLOOKUP(A21,'Country GDP'!$A$2:$B$181,2,FALSE)</f>
        <v>45849.832906413896</v>
      </c>
      <c r="C21" s="9" t="str">
        <f>VLOOKUP(A21,'Sovereign Ratings (Moody''s,S&amp;P)'!$A$2:$D$158,4,FALSE)</f>
        <v>Caa3</v>
      </c>
      <c r="D21" s="11" t="str">
        <f>VLOOKUP(A21,'10-year CDS Spreads'!$A$2:$C$158,3,FALSE)</f>
        <v>NA</v>
      </c>
      <c r="E21" s="21">
        <f>VLOOKUP(A21,'ERPs by country'!$A$8:$F$164,4,FALSE)</f>
        <v>9.9060015290519873E-2</v>
      </c>
      <c r="F21" s="10">
        <f>VLOOKUP(A21,'ERPs by country'!$A$8:$F$164,5,FALSE)</f>
        <v>0.14236001529051986</v>
      </c>
      <c r="G21" s="14">
        <f>VLOOKUP(A21,'ERPs by country'!$A$8:$F$164,6,FALSE)</f>
        <v>9.9060015290519873E-2</v>
      </c>
      <c r="H21" s="14">
        <f>VLOOKUP(A21,'Country Tax Rates'!$A$2:$B$159,2,FALSE)</f>
        <v>0.25</v>
      </c>
      <c r="I21" s="15" t="str">
        <f>VLOOKUP(A21,'Regional lookup table'!$A$2:$B$162,2,FALSE)</f>
        <v>Central and South America</v>
      </c>
    </row>
    <row r="22" spans="1:9" ht="15.5">
      <c r="A22" s="8" t="str">
        <f>'Sovereign Ratings (Moody''s,S&amp;P)'!A22</f>
        <v>Bosnia and Herzegovina</v>
      </c>
      <c r="B22" s="120">
        <f>VLOOKUP(A22,'Country GDP'!$A$2:$B$181,2,FALSE)</f>
        <v>27054.889362885206</v>
      </c>
      <c r="C22" s="9" t="str">
        <f>VLOOKUP(A22,'Sovereign Ratings (Moody''s,S&amp;P)'!$A$2:$D$158,4,FALSE)</f>
        <v>B3</v>
      </c>
      <c r="D22" s="11" t="str">
        <f>VLOOKUP(A22,'10-year CDS Spreads'!$A$2:$C$158,3,FALSE)</f>
        <v>NA</v>
      </c>
      <c r="E22" s="21">
        <f>VLOOKUP(A22,'ERPs by country'!$A$8:$F$164,4,FALSE)</f>
        <v>6.4371549301595152E-2</v>
      </c>
      <c r="F22" s="10">
        <f>VLOOKUP(A22,'ERPs by country'!$A$8:$F$164,5,FALSE)</f>
        <v>0.10767154930159514</v>
      </c>
      <c r="G22" s="14">
        <f>VLOOKUP(A22,'ERPs by country'!$A$8:$F$164,6,FALSE)</f>
        <v>6.4371549301595152E-2</v>
      </c>
      <c r="H22" s="14">
        <f>VLOOKUP(A22,'Country Tax Rates'!$A$2:$B$159,2,FALSE)</f>
        <v>0.1</v>
      </c>
      <c r="I22" s="15" t="str">
        <f>VLOOKUP(A22,'Regional lookup table'!$A$2:$B$162,2,FALSE)</f>
        <v>Eastern Europe &amp; Russia</v>
      </c>
    </row>
    <row r="23" spans="1:9" ht="15.5">
      <c r="A23" s="8" t="str">
        <f>'Sovereign Ratings (Moody''s,S&amp;P)'!A23</f>
        <v>Botswana</v>
      </c>
      <c r="B23" s="120">
        <f>VLOOKUP(A23,'Country GDP'!$A$2:$B$181,2,FALSE)</f>
        <v>19395.765126312748</v>
      </c>
      <c r="C23" s="9" t="str">
        <f>VLOOKUP(A23,'Sovereign Ratings (Moody''s,S&amp;P)'!$A$2:$D$158,4,FALSE)</f>
        <v>A3</v>
      </c>
      <c r="D23" s="11" t="str">
        <f>VLOOKUP(A23,'10-year CDS Spreads'!$A$2:$C$158,3,FALSE)</f>
        <v>NA</v>
      </c>
      <c r="E23" s="21">
        <f>VLOOKUP(A23,'ERPs by country'!$A$8:$F$164,4,FALSE)</f>
        <v>1.1873233325068186E-2</v>
      </c>
      <c r="F23" s="10">
        <f>VLOOKUP(A23,'ERPs by country'!$A$8:$F$164,5,FALSE)</f>
        <v>5.5173233325068183E-2</v>
      </c>
      <c r="G23" s="14">
        <f>VLOOKUP(A23,'ERPs by country'!$A$8:$F$164,6,FALSE)</f>
        <v>1.1873233325068186E-2</v>
      </c>
      <c r="H23" s="14">
        <f>VLOOKUP(A23,'Country Tax Rates'!$A$2:$B$159,2,FALSE)</f>
        <v>0.22</v>
      </c>
      <c r="I23" s="15" t="str">
        <f>VLOOKUP(A23,'Regional lookup table'!$A$2:$B$162,2,FALSE)</f>
        <v>Africa</v>
      </c>
    </row>
    <row r="24" spans="1:9" ht="15.5">
      <c r="A24" s="8" t="str">
        <f>'Sovereign Ratings (Moody''s,S&amp;P)'!A24</f>
        <v>Brazil</v>
      </c>
      <c r="B24" s="120">
        <f>VLOOKUP(A24,'Country GDP'!$A$2:$B$181,2,FALSE)</f>
        <v>2173665.6559372735</v>
      </c>
      <c r="C24" s="9" t="str">
        <f>VLOOKUP(A24,'Sovereign Ratings (Moody''s,S&amp;P)'!$A$2:$D$158,4,FALSE)</f>
        <v>Ba1</v>
      </c>
      <c r="D24" s="11">
        <f>VLOOKUP(A24,'10-year CDS Spreads'!$A$2:$C$158,3,FALSE)</f>
        <v>3.2300000000000002E-2</v>
      </c>
      <c r="E24" s="21">
        <f>VLOOKUP(A24,'ERPs by country'!$A$8:$F$164,4,FALSE)</f>
        <v>2.4794104884701216E-2</v>
      </c>
      <c r="F24" s="10">
        <f>VLOOKUP(A24,'ERPs by country'!$A$8:$F$164,5,FALSE)</f>
        <v>6.8094104884701218E-2</v>
      </c>
      <c r="G24" s="14">
        <f>VLOOKUP(A24,'ERPs by country'!$A$8:$F$164,6,FALSE)</f>
        <v>2.4794104884701216E-2</v>
      </c>
      <c r="H24" s="14">
        <f>VLOOKUP(A24,'Country Tax Rates'!$A$2:$B$159,2,FALSE)</f>
        <v>0.34</v>
      </c>
      <c r="I24" s="15" t="str">
        <f>VLOOKUP(A24,'Regional lookup table'!$A$2:$B$162,2,FALSE)</f>
        <v>Central and South America</v>
      </c>
    </row>
    <row r="25" spans="1:9" ht="15.5">
      <c r="A25" s="8" t="str">
        <f>'Sovereign Ratings (Moody''s,S&amp;P)'!A25</f>
        <v>Bulgaria</v>
      </c>
      <c r="B25" s="120">
        <f>VLOOKUP(A25,'Country GDP'!$A$2:$B$181,2,FALSE)</f>
        <v>101584.38467278588</v>
      </c>
      <c r="C25" s="9" t="str">
        <f>VLOOKUP(A25,'Sovereign Ratings (Moody''s,S&amp;P)'!$A$2:$D$158,4,FALSE)</f>
        <v>Baa1</v>
      </c>
      <c r="D25" s="11">
        <f>VLOOKUP(A25,'10-year CDS Spreads'!$A$2:$C$158,3,FALSE)</f>
        <v>1.43E-2</v>
      </c>
      <c r="E25" s="21">
        <f>VLOOKUP(A25,'ERPs by country'!$A$8:$F$164,4,FALSE)</f>
        <v>1.5830977766757577E-2</v>
      </c>
      <c r="F25" s="10">
        <f>VLOOKUP(A25,'ERPs by country'!$A$8:$F$164,5,FALSE)</f>
        <v>5.9130977766757575E-2</v>
      </c>
      <c r="G25" s="14">
        <f>VLOOKUP(A25,'ERPs by country'!$A$8:$F$164,6,FALSE)</f>
        <v>1.5830977766757577E-2</v>
      </c>
      <c r="H25" s="14">
        <f>VLOOKUP(A25,'Country Tax Rates'!$A$2:$B$159,2,FALSE)</f>
        <v>0.1</v>
      </c>
      <c r="I25" s="15" t="str">
        <f>VLOOKUP(A25,'Regional lookup table'!$A$2:$B$162,2,FALSE)</f>
        <v>Eastern Europe &amp; Russia</v>
      </c>
    </row>
    <row r="26" spans="1:9" ht="15.5">
      <c r="A26" s="8" t="str">
        <f>'Sovereign Ratings (Moody''s,S&amp;P)'!A26</f>
        <v>Burkina Faso</v>
      </c>
      <c r="B26" s="120">
        <f>VLOOKUP(A26,'Country GDP'!$A$2:$B$181,2,FALSE)</f>
        <v>20324.617838967646</v>
      </c>
      <c r="C26" s="9" t="str">
        <f>VLOOKUP(A26,'Sovereign Ratings (Moody''s,S&amp;P)'!$A$2:$D$158,4,FALSE)</f>
        <v>Caa1</v>
      </c>
      <c r="D26" s="11" t="str">
        <f>VLOOKUP(A26,'10-year CDS Spreads'!$A$2:$C$158,3,FALSE)</f>
        <v>NA</v>
      </c>
      <c r="E26" s="21">
        <f>VLOOKUP(A26,'ERPs by country'!$A$8:$F$164,4,FALSE)</f>
        <v>7.4265910405818647E-2</v>
      </c>
      <c r="F26" s="10">
        <f>VLOOKUP(A26,'ERPs by country'!$A$8:$F$164,5,FALSE)</f>
        <v>0.11756591040581865</v>
      </c>
      <c r="G26" s="14">
        <f>VLOOKUP(A26,'ERPs by country'!$A$8:$F$164,6,FALSE)</f>
        <v>7.4265910405818647E-2</v>
      </c>
      <c r="H26" s="14">
        <f>VLOOKUP(A26,'Country Tax Rates'!$A$2:$B$159,2,FALSE)</f>
        <v>0.28000000000000003</v>
      </c>
      <c r="I26" s="15" t="str">
        <f>VLOOKUP(A26,'Regional lookup table'!$A$2:$B$162,2,FALSE)</f>
        <v>Africa</v>
      </c>
    </row>
    <row r="27" spans="1:9" ht="15.5">
      <c r="A27" s="8" t="str">
        <f>'Sovereign Ratings (Moody''s,S&amp;P)'!A27</f>
        <v>Cambodia</v>
      </c>
      <c r="B27" s="120">
        <f>VLOOKUP(A27,'Country GDP'!$A$2:$B$181,2,FALSE)</f>
        <v>31772.759998857127</v>
      </c>
      <c r="C27" s="9" t="str">
        <f>VLOOKUP(A27,'Sovereign Ratings (Moody''s,S&amp;P)'!$A$2:$D$158,4,FALSE)</f>
        <v>B2</v>
      </c>
      <c r="D27" s="11" t="str">
        <f>VLOOKUP(A27,'10-year CDS Spreads'!$A$2:$C$158,3,FALSE)</f>
        <v>NA</v>
      </c>
      <c r="E27" s="21">
        <f>VLOOKUP(A27,'ERPs by country'!$A$8:$F$164,4,FALSE)</f>
        <v>5.4477188197371677E-2</v>
      </c>
      <c r="F27" s="10">
        <f>VLOOKUP(A27,'ERPs by country'!$A$8:$F$164,5,FALSE)</f>
        <v>9.7777188197371676E-2</v>
      </c>
      <c r="G27" s="14">
        <f>VLOOKUP(A27,'ERPs by country'!$A$8:$F$164,6,FALSE)</f>
        <v>5.4477188197371677E-2</v>
      </c>
      <c r="H27" s="14">
        <f>VLOOKUP(A27,'Country Tax Rates'!$A$2:$B$159,2,FALSE)</f>
        <v>0.2</v>
      </c>
      <c r="I27" s="15" t="str">
        <f>VLOOKUP(A27,'Regional lookup table'!$A$2:$B$162,2,FALSE)</f>
        <v>Asia</v>
      </c>
    </row>
    <row r="28" spans="1:9" ht="15.5">
      <c r="A28" s="8" t="str">
        <f>'Sovereign Ratings (Moody''s,S&amp;P)'!A28</f>
        <v>Cameroon</v>
      </c>
      <c r="B28" s="120">
        <f>VLOOKUP(A28,'Country GDP'!$A$2:$B$181,2,FALSE)</f>
        <v>47945.510090052856</v>
      </c>
      <c r="C28" s="9" t="str">
        <f>VLOOKUP(A28,'Sovereign Ratings (Moody''s,S&amp;P)'!$A$2:$D$158,4,FALSE)</f>
        <v>Caa1</v>
      </c>
      <c r="D28" s="11">
        <f>VLOOKUP(A28,'10-year CDS Spreads'!$A$2:$C$158,3,FALSE)</f>
        <v>7.0699999999999999E-2</v>
      </c>
      <c r="E28" s="21">
        <f>VLOOKUP(A28,'ERPs by country'!$A$8:$F$164,4,FALSE)</f>
        <v>7.4265910405818647E-2</v>
      </c>
      <c r="F28" s="10">
        <f>VLOOKUP(A28,'ERPs by country'!$A$8:$F$164,5,FALSE)</f>
        <v>0.11756591040581865</v>
      </c>
      <c r="G28" s="14">
        <f>VLOOKUP(A28,'ERPs by country'!$A$8:$F$164,6,FALSE)</f>
        <v>7.4265910405818647E-2</v>
      </c>
      <c r="H28" s="14">
        <f>VLOOKUP(A28,'Country Tax Rates'!$A$2:$B$159,2,FALSE)</f>
        <v>0.33</v>
      </c>
      <c r="I28" s="15" t="str">
        <f>VLOOKUP(A28,'Regional lookup table'!$A$2:$B$162,2,FALSE)</f>
        <v>Africa</v>
      </c>
    </row>
    <row r="29" spans="1:9" ht="15.5">
      <c r="A29" s="8" t="str">
        <f>'Sovereign Ratings (Moody''s,S&amp;P)'!A29</f>
        <v>Canada</v>
      </c>
      <c r="B29" s="120">
        <f>VLOOKUP(A29,'Country GDP'!$A$2:$B$181,2,FALSE)</f>
        <v>2140085.5677914512</v>
      </c>
      <c r="C29" s="9" t="str">
        <f>VLOOKUP(A29,'Sovereign Ratings (Moody''s,S&amp;P)'!$A$2:$D$158,4,FALSE)</f>
        <v>Aaa</v>
      </c>
      <c r="D29" s="11">
        <f>VLOOKUP(A29,'10-year CDS Spreads'!$A$2:$C$158,3,FALSE)</f>
        <v>3.8E-3</v>
      </c>
      <c r="E29" s="21">
        <f>VLOOKUP(A29,'ERPs by country'!$A$8:$F$164,4,FALSE)</f>
        <v>0</v>
      </c>
      <c r="F29" s="10">
        <f>VLOOKUP(A29,'ERPs by country'!$A$8:$F$164,5,FALSE)</f>
        <v>4.3299999999999998E-2</v>
      </c>
      <c r="G29" s="14">
        <f>VLOOKUP(A29,'ERPs by country'!$A$8:$F$164,6,FALSE)</f>
        <v>0</v>
      </c>
      <c r="H29" s="14">
        <f>VLOOKUP(A29,'Country Tax Rates'!$A$2:$B$159,2,FALSE)</f>
        <v>0.26500000000000001</v>
      </c>
      <c r="I29" s="15" t="str">
        <f>VLOOKUP(A29,'Regional lookup table'!$A$2:$B$162,2,FALSE)</f>
        <v>North America</v>
      </c>
    </row>
    <row r="30" spans="1:9" ht="15.5">
      <c r="A30" s="8" t="str">
        <f>'Sovereign Ratings (Moody''s,S&amp;P)'!A30</f>
        <v>Cape Verde</v>
      </c>
      <c r="B30" s="120">
        <f>VLOOKUP(A30,'Country GDP'!$A$2:$B$181,2,FALSE)</f>
        <v>1936</v>
      </c>
      <c r="C30" s="9" t="str">
        <f>VLOOKUP(A30,'Sovereign Ratings (Moody''s,S&amp;P)'!$A$2:$D$158,4,FALSE)</f>
        <v>B2</v>
      </c>
      <c r="D30" s="11" t="str">
        <f>VLOOKUP(A30,'10-year CDS Spreads'!$A$2:$C$158,3,FALSE)</f>
        <v>NA</v>
      </c>
      <c r="E30" s="21">
        <f>VLOOKUP(A30,'ERPs by country'!$A$8:$F$164,4,FALSE)</f>
        <v>5.4477188197371677E-2</v>
      </c>
      <c r="F30" s="10">
        <f>VLOOKUP(A30,'ERPs by country'!$A$8:$F$164,5,FALSE)</f>
        <v>9.7777188197371676E-2</v>
      </c>
      <c r="G30" s="14">
        <f>VLOOKUP(A30,'ERPs by country'!$A$8:$F$164,6,FALSE)</f>
        <v>5.4477188197371677E-2</v>
      </c>
      <c r="H30" s="14">
        <f>VLOOKUP(A30,'Country Tax Rates'!$A$2:$B$159,2,FALSE)</f>
        <v>0</v>
      </c>
      <c r="I30" s="15" t="str">
        <f>VLOOKUP(A30,'Regional lookup table'!$A$2:$B$162,2,FALSE)</f>
        <v>Africa</v>
      </c>
    </row>
    <row r="31" spans="1:9" ht="15.5">
      <c r="A31" s="8" t="str">
        <f>'Sovereign Ratings (Moody''s,S&amp;P)'!A31</f>
        <v>Cayman Islands</v>
      </c>
      <c r="B31" s="120">
        <f>VLOOKUP(A31,'Country GDP'!$A$2:$B$181,2,FALSE)</f>
        <v>6600.8440015372053</v>
      </c>
      <c r="C31" s="9" t="str">
        <f>VLOOKUP(A31,'Sovereign Ratings (Moody''s,S&amp;P)'!$A$2:$D$158,4,FALSE)</f>
        <v>Aa3</v>
      </c>
      <c r="D31" s="11" t="str">
        <f>VLOOKUP(A31,'10-year CDS Spreads'!$A$2:$C$158,3,FALSE)</f>
        <v>NA</v>
      </c>
      <c r="E31" s="21">
        <f>VLOOKUP(A31,'ERPs by country'!$A$8:$F$164,4,FALSE)</f>
        <v>5.9366166625340932E-3</v>
      </c>
      <c r="F31" s="10">
        <f>VLOOKUP(A31,'ERPs by country'!$A$8:$F$164,5,FALSE)</f>
        <v>4.9236616662534094E-2</v>
      </c>
      <c r="G31" s="14">
        <f>VLOOKUP(A31,'ERPs by country'!$A$8:$F$164,6,FALSE)</f>
        <v>5.9366166625340932E-3</v>
      </c>
      <c r="H31" s="14">
        <f>VLOOKUP(A31,'Country Tax Rates'!$A$2:$B$159,2,FALSE)</f>
        <v>0</v>
      </c>
      <c r="I31" s="15" t="str">
        <f>VLOOKUP(A31,'Regional lookup table'!$A$2:$B$162,2,FALSE)</f>
        <v>Caribbean</v>
      </c>
    </row>
    <row r="32" spans="1:9" ht="15.5">
      <c r="A32" s="8" t="str">
        <f>'Sovereign Ratings (Moody''s,S&amp;P)'!A32</f>
        <v>Chile</v>
      </c>
      <c r="B32" s="120">
        <f>VLOOKUP(A32,'Country GDP'!$A$2:$B$181,2,FALSE)</f>
        <v>335533.33166921913</v>
      </c>
      <c r="C32" s="9" t="str">
        <f>VLOOKUP(A32,'Sovereign Ratings (Moody''s,S&amp;P)'!$A$2:$D$158,4,FALSE)</f>
        <v>A2</v>
      </c>
      <c r="D32" s="11">
        <f>VLOOKUP(A32,'10-year CDS Spreads'!$A$2:$C$158,3,FALSE)</f>
        <v>1.17E-2</v>
      </c>
      <c r="E32" s="21">
        <f>VLOOKUP(A32,'ERPs by country'!$A$8:$F$164,4,FALSE)</f>
        <v>8.3811058765187203E-3</v>
      </c>
      <c r="F32" s="10">
        <f>VLOOKUP(A32,'ERPs by country'!$A$8:$F$164,5,FALSE)</f>
        <v>5.1681105876518717E-2</v>
      </c>
      <c r="G32" s="14">
        <f>VLOOKUP(A32,'ERPs by country'!$A$8:$F$164,6,FALSE)</f>
        <v>8.3811058765187203E-3</v>
      </c>
      <c r="H32" s="14">
        <f>VLOOKUP(A32,'Country Tax Rates'!$A$2:$B$159,2,FALSE)</f>
        <v>0.27</v>
      </c>
      <c r="I32" s="15" t="str">
        <f>VLOOKUP(A32,'Regional lookup table'!$A$2:$B$162,2,FALSE)</f>
        <v>Central and South America</v>
      </c>
    </row>
    <row r="33" spans="1:9" ht="15.5">
      <c r="A33" s="8" t="str">
        <f>'Sovereign Ratings (Moody''s,S&amp;P)'!A33</f>
        <v>China</v>
      </c>
      <c r="B33" s="120">
        <f>VLOOKUP(A33,'Country GDP'!$A$2:$B$181,2,FALSE)</f>
        <v>17794781.986104459</v>
      </c>
      <c r="C33" s="9" t="str">
        <f>VLOOKUP(A33,'Sovereign Ratings (Moody''s,S&amp;P)'!$A$2:$D$158,4,FALSE)</f>
        <v>A1</v>
      </c>
      <c r="D33" s="11">
        <f>VLOOKUP(A33,'10-year CDS Spreads'!$A$2:$C$158,3,FALSE)</f>
        <v>9.7000000000000003E-3</v>
      </c>
      <c r="E33" s="21">
        <f>VLOOKUP(A33,'ERPs by country'!$A$8:$F$164,4,FALSE)</f>
        <v>6.9842548970989338E-3</v>
      </c>
      <c r="F33" s="10">
        <f>VLOOKUP(A33,'ERPs by country'!$A$8:$F$164,5,FALSE)</f>
        <v>5.028425489709893E-2</v>
      </c>
      <c r="G33" s="14">
        <f>VLOOKUP(A33,'ERPs by country'!$A$8:$F$164,6,FALSE)</f>
        <v>6.9842548970989338E-3</v>
      </c>
      <c r="H33" s="14">
        <f>VLOOKUP(A33,'Country Tax Rates'!$A$2:$B$159,2,FALSE)</f>
        <v>0.25</v>
      </c>
      <c r="I33" s="15" t="str">
        <f>VLOOKUP(A33,'Regional lookup table'!$A$2:$B$162,2,FALSE)</f>
        <v>Asia</v>
      </c>
    </row>
    <row r="34" spans="1:9" ht="15.5">
      <c r="A34" s="8" t="str">
        <f>'Sovereign Ratings (Moody''s,S&amp;P)'!A34</f>
        <v>Colombia</v>
      </c>
      <c r="B34" s="120">
        <f>VLOOKUP(A34,'Country GDP'!$A$2:$B$181,2,FALSE)</f>
        <v>363540.15623486834</v>
      </c>
      <c r="C34" s="9" t="str">
        <f>VLOOKUP(A34,'Sovereign Ratings (Moody''s,S&amp;P)'!$A$2:$D$158,4,FALSE)</f>
        <v>Baa2</v>
      </c>
      <c r="D34" s="11">
        <f>VLOOKUP(A34,'10-year CDS Spreads'!$A$2:$C$158,3,FALSE)</f>
        <v>3.3700000000000001E-2</v>
      </c>
      <c r="E34" s="21">
        <f>VLOOKUP(A34,'ERPs by country'!$A$8:$F$164,4,FALSE)</f>
        <v>1.885748822216712E-2</v>
      </c>
      <c r="F34" s="10">
        <f>VLOOKUP(A34,'ERPs by country'!$A$8:$F$164,5,FALSE)</f>
        <v>6.2157488222167115E-2</v>
      </c>
      <c r="G34" s="14">
        <f>VLOOKUP(A34,'ERPs by country'!$A$8:$F$164,6,FALSE)</f>
        <v>1.885748822216712E-2</v>
      </c>
      <c r="H34" s="14">
        <f>VLOOKUP(A34,'Country Tax Rates'!$A$2:$B$159,2,FALSE)</f>
        <v>0.35</v>
      </c>
      <c r="I34" s="15" t="str">
        <f>VLOOKUP(A34,'Regional lookup table'!$A$2:$B$162,2,FALSE)</f>
        <v>Central and South America</v>
      </c>
    </row>
    <row r="35" spans="1:9" ht="15.5">
      <c r="A35" s="8" t="str">
        <f>'Sovereign Ratings (Moody''s,S&amp;P)'!A35</f>
        <v>Congo (Democratic Republic of)</v>
      </c>
      <c r="B35" s="120">
        <f>VLOOKUP(A35,'Country GDP'!$A$2:$B$181,2,FALSE)</f>
        <v>66383.287002996891</v>
      </c>
      <c r="C35" s="9" t="str">
        <f>VLOOKUP(A35,'Sovereign Ratings (Moody''s,S&amp;P)'!$A$2:$D$158,4,FALSE)</f>
        <v>B3</v>
      </c>
      <c r="D35" s="11" t="str">
        <f>VLOOKUP(A35,'10-year CDS Spreads'!$A$2:$C$158,3,FALSE)</f>
        <v>NA</v>
      </c>
      <c r="E35" s="21">
        <f>VLOOKUP(A35,'ERPs by country'!$A$8:$F$164,4,FALSE)</f>
        <v>6.4371549301595152E-2</v>
      </c>
      <c r="F35" s="10">
        <f>VLOOKUP(A35,'ERPs by country'!$A$8:$F$164,5,FALSE)</f>
        <v>0.10767154930159514</v>
      </c>
      <c r="G35" s="14">
        <f>VLOOKUP(A35,'ERPs by country'!$A$8:$F$164,6,FALSE)</f>
        <v>6.4371549301595152E-2</v>
      </c>
      <c r="H35" s="14">
        <f>VLOOKUP(A35,'Country Tax Rates'!$A$2:$B$159,2,FALSE)</f>
        <v>0.3</v>
      </c>
      <c r="I35" s="15" t="str">
        <f>VLOOKUP(A35,'Regional lookup table'!$A$2:$B$162,2,FALSE)</f>
        <v>Africa</v>
      </c>
    </row>
    <row r="36" spans="1:9" ht="15.5">
      <c r="A36" s="8" t="str">
        <f>'Sovereign Ratings (Moody''s,S&amp;P)'!A36</f>
        <v>Congo (Republic of)</v>
      </c>
      <c r="B36" s="120">
        <f>VLOOKUP(A36,'Country GDP'!$A$2:$B$181,2,FALSE)</f>
        <v>15321.055818326313</v>
      </c>
      <c r="C36" s="9" t="str">
        <f>VLOOKUP(A36,'Sovereign Ratings (Moody''s,S&amp;P)'!$A$2:$D$158,4,FALSE)</f>
        <v>Caa2</v>
      </c>
      <c r="D36" s="11" t="str">
        <f>VLOOKUP(A36,'10-year CDS Spreads'!$A$2:$C$158,3,FALSE)</f>
        <v>NA</v>
      </c>
      <c r="E36" s="21">
        <f>VLOOKUP(A36,'ERPs by country'!$A$8:$F$164,4,FALSE)</f>
        <v>8.9165654186296364E-2</v>
      </c>
      <c r="F36" s="10">
        <f>VLOOKUP(A36,'ERPs by country'!$A$8:$F$164,5,FALSE)</f>
        <v>0.13246565418629636</v>
      </c>
      <c r="G36" s="14">
        <f>VLOOKUP(A36,'ERPs by country'!$A$8:$F$164,6,FALSE)</f>
        <v>8.9165654186296364E-2</v>
      </c>
      <c r="H36" s="14">
        <f>VLOOKUP(A36,'Country Tax Rates'!$A$2:$B$159,2,FALSE)</f>
        <v>0.28000000000000003</v>
      </c>
      <c r="I36" s="15" t="str">
        <f>VLOOKUP(A36,'Regional lookup table'!$A$2:$B$162,2,FALSE)</f>
        <v>Africa</v>
      </c>
    </row>
    <row r="37" spans="1:9" ht="15.5">
      <c r="A37" s="8" t="str">
        <f>'Sovereign Ratings (Moody''s,S&amp;P)'!A37</f>
        <v>Cook Islands</v>
      </c>
      <c r="B37" s="120">
        <f>VLOOKUP(A37,'Country GDP'!$A$2:$B$181,2,FALSE)</f>
        <v>1414</v>
      </c>
      <c r="C37" s="9" t="str">
        <f>VLOOKUP(A37,'Sovereign Ratings (Moody''s,S&amp;P)'!$A$2:$D$158,4,FALSE)</f>
        <v>B1</v>
      </c>
      <c r="D37" s="11" t="str">
        <f>VLOOKUP(A37,'10-year CDS Spreads'!$A$2:$C$158,3,FALSE)</f>
        <v>NA</v>
      </c>
      <c r="E37" s="21">
        <f>VLOOKUP(A37,'ERPs by country'!$A$8:$F$164,4,FALSE)</f>
        <v>4.4582827093148182E-2</v>
      </c>
      <c r="F37" s="10">
        <f>VLOOKUP(A37,'ERPs by country'!$A$8:$F$164,5,FALSE)</f>
        <v>8.788282709314818E-2</v>
      </c>
      <c r="G37" s="14">
        <f>VLOOKUP(A37,'ERPs by country'!$A$8:$F$164,6,FALSE)</f>
        <v>4.4582827093148182E-2</v>
      </c>
      <c r="H37" s="14">
        <f>VLOOKUP(A37,'Country Tax Rates'!$A$2:$B$159,2,FALSE)</f>
        <v>0.2974</v>
      </c>
      <c r="I37" s="15" t="str">
        <f>VLOOKUP(A37,'Regional lookup table'!$A$2:$B$162,2,FALSE)</f>
        <v>Australia &amp; New Zealand</v>
      </c>
    </row>
    <row r="38" spans="1:9" ht="15.5">
      <c r="A38" s="8" t="str">
        <f>'Sovereign Ratings (Moody''s,S&amp;P)'!A38</f>
        <v>Costa Rica</v>
      </c>
      <c r="B38" s="120">
        <f>VLOOKUP(A38,'Country GDP'!$A$2:$B$181,2,FALSE)</f>
        <v>86497.941439017435</v>
      </c>
      <c r="C38" s="9" t="str">
        <f>VLOOKUP(A38,'Sovereign Ratings (Moody''s,S&amp;P)'!$A$2:$D$158,4,FALSE)</f>
        <v>Ba3</v>
      </c>
      <c r="D38" s="11">
        <f>VLOOKUP(A38,'10-year CDS Spreads'!$A$2:$C$158,3,FALSE)</f>
        <v>2.4500000000000001E-2</v>
      </c>
      <c r="E38" s="21">
        <f>VLOOKUP(A38,'ERPs by country'!$A$8:$F$164,4,FALSE)</f>
        <v>3.5619699975204554E-2</v>
      </c>
      <c r="F38" s="10">
        <f>VLOOKUP(A38,'ERPs by country'!$A$8:$F$164,5,FALSE)</f>
        <v>7.8919699975204552E-2</v>
      </c>
      <c r="G38" s="14">
        <f>VLOOKUP(A38,'ERPs by country'!$A$8:$F$164,6,FALSE)</f>
        <v>3.5619699975204554E-2</v>
      </c>
      <c r="H38" s="14">
        <f>VLOOKUP(A38,'Country Tax Rates'!$A$2:$B$159,2,FALSE)</f>
        <v>0.3</v>
      </c>
      <c r="I38" s="15" t="str">
        <f>VLOOKUP(A38,'Regional lookup table'!$A$2:$B$162,2,FALSE)</f>
        <v>Central and South America</v>
      </c>
    </row>
    <row r="39" spans="1:9" ht="15.5">
      <c r="A39" s="8" t="str">
        <f>'Sovereign Ratings (Moody''s,S&amp;P)'!A39</f>
        <v>Côte d'Ivoire</v>
      </c>
      <c r="B39" s="120">
        <f>VLOOKUP(A39,'Country GDP'!$A$2:$B$181,2,FALSE)</f>
        <v>78788.828906863448</v>
      </c>
      <c r="C39" s="9" t="str">
        <f>VLOOKUP(A39,'Sovereign Ratings (Moody''s,S&amp;P)'!$A$2:$D$158,4,FALSE)</f>
        <v>Ba2</v>
      </c>
      <c r="D39" s="11" t="str">
        <f>VLOOKUP(A39,'10-year CDS Spreads'!$A$2:$C$158,3,FALSE)</f>
        <v>NA</v>
      </c>
      <c r="E39" s="21">
        <f>VLOOKUP(A39,'ERPs by country'!$A$8:$F$164,4,FALSE)</f>
        <v>2.9799487560955448E-2</v>
      </c>
      <c r="F39" s="10">
        <f>VLOOKUP(A39,'ERPs by country'!$A$8:$F$164,5,FALSE)</f>
        <v>7.309948756095544E-2</v>
      </c>
      <c r="G39" s="14">
        <f>VLOOKUP(A39,'ERPs by country'!$A$8:$F$164,6,FALSE)</f>
        <v>2.9799487560955448E-2</v>
      </c>
      <c r="H39" s="14">
        <f>VLOOKUP(A39,'Country Tax Rates'!$A$2:$B$159,2,FALSE)</f>
        <v>0.25</v>
      </c>
      <c r="I39" s="15" t="str">
        <f>VLOOKUP(A39,'Regional lookup table'!$A$2:$B$162,2,FALSE)</f>
        <v>Africa</v>
      </c>
    </row>
    <row r="40" spans="1:9" ht="15.5">
      <c r="A40" s="8" t="str">
        <f>'Sovereign Ratings (Moody''s,S&amp;P)'!A40</f>
        <v>Croatia</v>
      </c>
      <c r="B40" s="120">
        <f>VLOOKUP(A40,'Country GDP'!$A$2:$B$181,2,FALSE)</f>
        <v>82688.842717392588</v>
      </c>
      <c r="C40" s="9" t="str">
        <f>VLOOKUP(A40,'Sovereign Ratings (Moody''s,S&amp;P)'!$A$2:$D$158,4,FALSE)</f>
        <v>A3</v>
      </c>
      <c r="D40" s="11">
        <f>VLOOKUP(A40,'10-year CDS Spreads'!$A$2:$C$158,3,FALSE)</f>
        <v>1.26E-2</v>
      </c>
      <c r="E40" s="21">
        <f>VLOOKUP(A40,'ERPs by country'!$A$8:$F$164,4,FALSE)</f>
        <v>1.1873233325068186E-2</v>
      </c>
      <c r="F40" s="10">
        <f>VLOOKUP(A40,'ERPs by country'!$A$8:$F$164,5,FALSE)</f>
        <v>5.5173233325068183E-2</v>
      </c>
      <c r="G40" s="14">
        <f>VLOOKUP(A40,'ERPs by country'!$A$8:$F$164,6,FALSE)</f>
        <v>1.1873233325068186E-2</v>
      </c>
      <c r="H40" s="14">
        <f>VLOOKUP(A40,'Country Tax Rates'!$A$2:$B$159,2,FALSE)</f>
        <v>0.18</v>
      </c>
      <c r="I40" s="15" t="str">
        <f>VLOOKUP(A40,'Regional lookup table'!$A$2:$B$162,2,FALSE)</f>
        <v>Eastern Europe &amp; Russia</v>
      </c>
    </row>
    <row r="41" spans="1:9" ht="15.5">
      <c r="A41" s="8" t="str">
        <f>'Sovereign Ratings (Moody''s,S&amp;P)'!A41</f>
        <v>Cuba</v>
      </c>
      <c r="B41" s="120">
        <f>VLOOKUP(A41,'Country GDP'!$A$2:$B$181,2,FALSE)</f>
        <v>107351</v>
      </c>
      <c r="C41" s="9" t="str">
        <f>VLOOKUP(A41,'Sovereign Ratings (Moody''s,S&amp;P)'!$A$2:$D$158,4,FALSE)</f>
        <v>Ca</v>
      </c>
      <c r="D41" s="11" t="str">
        <f>VLOOKUP(A41,'10-year CDS Spreads'!$A$2:$C$158,3,FALSE)</f>
        <v>NA</v>
      </c>
      <c r="E41" s="21">
        <f>VLOOKUP(A41,'ERPs by country'!$A$8:$F$164,4,FALSE)</f>
        <v>0.11884873749896685</v>
      </c>
      <c r="F41" s="10">
        <f>VLOOKUP(A41,'ERPs by country'!$A$8:$F$164,5,FALSE)</f>
        <v>0.16214873749896686</v>
      </c>
      <c r="G41" s="14">
        <f>VLOOKUP(A41,'ERPs by country'!$A$8:$F$164,6,FALSE)</f>
        <v>0.11884873749896685</v>
      </c>
      <c r="H41" s="14">
        <f>VLOOKUP(A41,'Country Tax Rates'!$A$2:$B$159,2,FALSE)</f>
        <v>0.2853</v>
      </c>
      <c r="I41" s="15" t="str">
        <f>VLOOKUP(A41,'Regional lookup table'!$A$2:$B$162,2,FALSE)</f>
        <v>Caribbean</v>
      </c>
    </row>
    <row r="42" spans="1:9" ht="15.5">
      <c r="A42" s="8" t="str">
        <f>'Sovereign Ratings (Moody''s,S&amp;P)'!A42</f>
        <v>Curacao</v>
      </c>
      <c r="B42" s="120">
        <f>VLOOKUP(A42,'Country GDP'!$A$2:$B$181,2,FALSE)</f>
        <v>3073.8403254328496</v>
      </c>
      <c r="C42" s="9" t="str">
        <f>VLOOKUP(A42,'Sovereign Ratings (Moody''s,S&amp;P)'!$A$2:$D$158,4,FALSE)</f>
        <v>Baa3</v>
      </c>
      <c r="D42" s="11" t="str">
        <f>VLOOKUP(A42,'10-year CDS Spreads'!$A$2:$C$158,3,FALSE)</f>
        <v>NA</v>
      </c>
      <c r="E42" s="21">
        <f>VLOOKUP(A42,'ERPs by country'!$A$8:$F$164,4,FALSE)</f>
        <v>2.1767594429291676E-2</v>
      </c>
      <c r="F42" s="10">
        <f>VLOOKUP(A42,'ERPs by country'!$A$8:$F$164,5,FALSE)</f>
        <v>6.5067594429291678E-2</v>
      </c>
      <c r="G42" s="14">
        <f>VLOOKUP(A42,'ERPs by country'!$A$8:$F$164,6,FALSE)</f>
        <v>2.1767594429291676E-2</v>
      </c>
      <c r="H42" s="14">
        <f>VLOOKUP(A42,'Country Tax Rates'!$A$2:$B$159,2,FALSE)</f>
        <v>0.22</v>
      </c>
      <c r="I42" s="15" t="str">
        <f>VLOOKUP(A42,'Regional lookup table'!$A$2:$B$162,2,FALSE)</f>
        <v>Caribbean</v>
      </c>
    </row>
    <row r="43" spans="1:9" ht="15.5">
      <c r="A43" s="8" t="str">
        <f>'Sovereign Ratings (Moody''s,S&amp;P)'!A43</f>
        <v>Cyprus</v>
      </c>
      <c r="B43" s="120">
        <f>VLOOKUP(A43,'Country GDP'!$A$2:$B$181,2,FALSE)</f>
        <v>32229.622669195112</v>
      </c>
      <c r="C43" s="9" t="str">
        <f>VLOOKUP(A43,'Sovereign Ratings (Moody''s,S&amp;P)'!$A$2:$D$158,4,FALSE)</f>
        <v>A3</v>
      </c>
      <c r="D43" s="11">
        <f>VLOOKUP(A43,'10-year CDS Spreads'!$A$2:$C$158,3,FALSE)</f>
        <v>9.9000000000000008E-3</v>
      </c>
      <c r="E43" s="21">
        <f>VLOOKUP(A43,'ERPs by country'!$A$8:$F$164,4,FALSE)</f>
        <v>1.1873233325068186E-2</v>
      </c>
      <c r="F43" s="10">
        <f>VLOOKUP(A43,'ERPs by country'!$A$8:$F$164,5,FALSE)</f>
        <v>5.5173233325068183E-2</v>
      </c>
      <c r="G43" s="14">
        <f>VLOOKUP(A43,'ERPs by country'!$A$8:$F$164,6,FALSE)</f>
        <v>1.1873233325068186E-2</v>
      </c>
      <c r="H43" s="14">
        <f>VLOOKUP(A43,'Country Tax Rates'!$A$2:$B$159,2,FALSE)</f>
        <v>0.125</v>
      </c>
      <c r="I43" s="15" t="str">
        <f>VLOOKUP(A43,'Regional lookup table'!$A$2:$B$162,2,FALSE)</f>
        <v>Western Europe</v>
      </c>
    </row>
    <row r="44" spans="1:9" ht="15.5">
      <c r="A44" s="8" t="str">
        <f>'Sovereign Ratings (Moody''s,S&amp;P)'!A44</f>
        <v>Czech Republic</v>
      </c>
      <c r="B44" s="120">
        <f>VLOOKUP(A44,'Country GDP'!$A$2:$B$181,2,FALSE)</f>
        <v>330858.33987168607</v>
      </c>
      <c r="C44" s="9" t="str">
        <f>VLOOKUP(A44,'Sovereign Ratings (Moody''s,S&amp;P)'!$A$2:$D$158,4,FALSE)</f>
        <v>Aa3</v>
      </c>
      <c r="D44" s="11">
        <f>VLOOKUP(A44,'10-year CDS Spreads'!$A$2:$C$158,3,FALSE)</f>
        <v>5.0000000000000001E-3</v>
      </c>
      <c r="E44" s="21">
        <f>VLOOKUP(A44,'ERPs by country'!$A$8:$F$164,4,FALSE)</f>
        <v>5.9366166625340932E-3</v>
      </c>
      <c r="F44" s="10">
        <f>VLOOKUP(A44,'ERPs by country'!$A$8:$F$164,5,FALSE)</f>
        <v>4.9236616662534094E-2</v>
      </c>
      <c r="G44" s="14">
        <f>VLOOKUP(A44,'ERPs by country'!$A$8:$F$164,6,FALSE)</f>
        <v>5.9366166625340932E-3</v>
      </c>
      <c r="H44" s="14">
        <f>VLOOKUP(A44,'Country Tax Rates'!$A$2:$B$159,2,FALSE)</f>
        <v>0.19</v>
      </c>
      <c r="I44" s="15" t="str">
        <f>VLOOKUP(A44,'Regional lookup table'!$A$2:$B$162,2,FALSE)</f>
        <v>Eastern Europe &amp; Russia</v>
      </c>
    </row>
    <row r="45" spans="1:9" ht="15.5">
      <c r="A45" s="8" t="str">
        <f>'Sovereign Ratings (Moody''s,S&amp;P)'!A45</f>
        <v>Denmark</v>
      </c>
      <c r="B45" s="120">
        <f>VLOOKUP(A45,'Country GDP'!$A$2:$B$181,2,FALSE)</f>
        <v>404198.75753797416</v>
      </c>
      <c r="C45" s="9" t="str">
        <f>VLOOKUP(A45,'Sovereign Ratings (Moody''s,S&amp;P)'!$A$2:$D$158,4,FALSE)</f>
        <v>Aaa</v>
      </c>
      <c r="D45" s="11">
        <f>VLOOKUP(A45,'10-year CDS Spreads'!$A$2:$C$158,3,FALSE)</f>
        <v>1.8E-3</v>
      </c>
      <c r="E45" s="21">
        <f>VLOOKUP(A45,'ERPs by country'!$A$8:$F$164,4,FALSE)</f>
        <v>0</v>
      </c>
      <c r="F45" s="10">
        <f>VLOOKUP(A45,'ERPs by country'!$A$8:$F$164,5,FALSE)</f>
        <v>4.3299999999999998E-2</v>
      </c>
      <c r="G45" s="14">
        <f>VLOOKUP(A45,'ERPs by country'!$A$8:$F$164,6,FALSE)</f>
        <v>0</v>
      </c>
      <c r="H45" s="14">
        <f>VLOOKUP(A45,'Country Tax Rates'!$A$2:$B$159,2,FALSE)</f>
        <v>0.22</v>
      </c>
      <c r="I45" s="15" t="str">
        <f>VLOOKUP(A45,'Regional lookup table'!$A$2:$B$162,2,FALSE)</f>
        <v>Western Europe</v>
      </c>
    </row>
    <row r="46" spans="1:9" ht="15.5">
      <c r="A46" s="8" t="str">
        <f>'Sovereign Ratings (Moody''s,S&amp;P)'!A46</f>
        <v>Dominican Republic</v>
      </c>
      <c r="B46" s="120">
        <f>VLOOKUP(A46,'Country GDP'!$A$2:$B$181,2,FALSE)</f>
        <v>121444.27931393079</v>
      </c>
      <c r="C46" s="9" t="str">
        <f>VLOOKUP(A46,'Sovereign Ratings (Moody''s,S&amp;P)'!$A$2:$D$158,4,FALSE)</f>
        <v>Ba3</v>
      </c>
      <c r="D46" s="11" t="str">
        <f>VLOOKUP(A46,'10-year CDS Spreads'!$A$2:$C$158,3,FALSE)</f>
        <v>NA</v>
      </c>
      <c r="E46" s="21">
        <f>VLOOKUP(A46,'ERPs by country'!$A$8:$F$164,4,FALSE)</f>
        <v>3.5619699975204554E-2</v>
      </c>
      <c r="F46" s="10">
        <f>VLOOKUP(A46,'ERPs by country'!$A$8:$F$164,5,FALSE)</f>
        <v>7.8919699975204552E-2</v>
      </c>
      <c r="G46" s="14">
        <f>VLOOKUP(A46,'ERPs by country'!$A$8:$F$164,6,FALSE)</f>
        <v>3.5619699975204554E-2</v>
      </c>
      <c r="H46" s="14">
        <f>VLOOKUP(A46,'Country Tax Rates'!$A$2:$B$159,2,FALSE)</f>
        <v>0.27</v>
      </c>
      <c r="I46" s="15" t="str">
        <f>VLOOKUP(A46,'Regional lookup table'!$A$2:$B$162,2,FALSE)</f>
        <v>Caribbean</v>
      </c>
    </row>
    <row r="47" spans="1:9" ht="15.5">
      <c r="A47" s="8" t="str">
        <f>'Sovereign Ratings (Moody''s,S&amp;P)'!A47</f>
        <v>Ecuador</v>
      </c>
      <c r="B47" s="120">
        <f>VLOOKUP(A47,'Country GDP'!$A$2:$B$181,2,FALSE)</f>
        <v>118844.826</v>
      </c>
      <c r="C47" s="9" t="str">
        <f>VLOOKUP(A47,'Sovereign Ratings (Moody''s,S&amp;P)'!$A$2:$D$158,4,FALSE)</f>
        <v>Caa3</v>
      </c>
      <c r="D47" s="11">
        <f>VLOOKUP(A47,'10-year CDS Spreads'!$A$2:$C$158,3,FALSE)</f>
        <v>0.1908</v>
      </c>
      <c r="E47" s="21">
        <f>VLOOKUP(A47,'ERPs by country'!$A$8:$F$164,4,FALSE)</f>
        <v>9.9060015290519873E-2</v>
      </c>
      <c r="F47" s="10">
        <f>VLOOKUP(A47,'ERPs by country'!$A$8:$F$164,5,FALSE)</f>
        <v>0.14236001529051986</v>
      </c>
      <c r="G47" s="14">
        <f>VLOOKUP(A47,'ERPs by country'!$A$8:$F$164,6,FALSE)</f>
        <v>9.9060015290519873E-2</v>
      </c>
      <c r="H47" s="14">
        <f>VLOOKUP(A47,'Country Tax Rates'!$A$2:$B$159,2,FALSE)</f>
        <v>0.25</v>
      </c>
      <c r="I47" s="15" t="str">
        <f>VLOOKUP(A47,'Regional lookup table'!$A$2:$B$162,2,FALSE)</f>
        <v>Central and South America</v>
      </c>
    </row>
    <row r="48" spans="1:9" ht="15.5">
      <c r="A48" s="8" t="str">
        <f>'Sovereign Ratings (Moody''s,S&amp;P)'!A48</f>
        <v>Egypt</v>
      </c>
      <c r="B48" s="120">
        <f>VLOOKUP(A48,'Country GDP'!$A$2:$B$181,2,FALSE)</f>
        <v>395926.07516300579</v>
      </c>
      <c r="C48" s="9" t="str">
        <f>VLOOKUP(A48,'Sovereign Ratings (Moody''s,S&amp;P)'!$A$2:$D$158,4,FALSE)</f>
        <v>Caa1</v>
      </c>
      <c r="D48" s="11">
        <f>VLOOKUP(A48,'10-year CDS Spreads'!$A$2:$C$158,3,FALSE)</f>
        <v>6.3500000000000001E-2</v>
      </c>
      <c r="E48" s="21">
        <f>VLOOKUP(A48,'ERPs by country'!$A$8:$F$164,4,FALSE)</f>
        <v>7.4265910405818647E-2</v>
      </c>
      <c r="F48" s="10">
        <f>VLOOKUP(A48,'ERPs by country'!$A$8:$F$164,5,FALSE)</f>
        <v>0.11756591040581865</v>
      </c>
      <c r="G48" s="14">
        <f>VLOOKUP(A48,'ERPs by country'!$A$8:$F$164,6,FALSE)</f>
        <v>7.4265910405818647E-2</v>
      </c>
      <c r="H48" s="14">
        <f>VLOOKUP(A48,'Country Tax Rates'!$A$2:$B$159,2,FALSE)</f>
        <v>0.22500000000000001</v>
      </c>
      <c r="I48" s="15" t="str">
        <f>VLOOKUP(A48,'Regional lookup table'!$A$2:$B$162,2,FALSE)</f>
        <v>Africa</v>
      </c>
    </row>
    <row r="49" spans="1:9" ht="15.5">
      <c r="A49" s="8" t="str">
        <f>'Sovereign Ratings (Moody''s,S&amp;P)'!A49</f>
        <v>El Salvador</v>
      </c>
      <c r="B49" s="120">
        <f>VLOOKUP(A49,'Country GDP'!$A$2:$B$181,2,FALSE)</f>
        <v>34015.620000000003</v>
      </c>
      <c r="C49" s="9" t="str">
        <f>VLOOKUP(A49,'Sovereign Ratings (Moody''s,S&amp;P)'!$A$2:$D$158,4,FALSE)</f>
        <v>B3</v>
      </c>
      <c r="D49" s="11">
        <f>VLOOKUP(A49,'10-year CDS Spreads'!$A$2:$C$158,3,FALSE)</f>
        <v>4.2000000000000003E-2</v>
      </c>
      <c r="E49" s="21">
        <f>VLOOKUP(A49,'ERPs by country'!$A$8:$F$164,4,FALSE)</f>
        <v>6.4371549301595152E-2</v>
      </c>
      <c r="F49" s="10">
        <f>VLOOKUP(A49,'ERPs by country'!$A$8:$F$164,5,FALSE)</f>
        <v>0.10767154930159514</v>
      </c>
      <c r="G49" s="14">
        <f>VLOOKUP(A49,'ERPs by country'!$A$8:$F$164,6,FALSE)</f>
        <v>6.4371549301595152E-2</v>
      </c>
      <c r="H49" s="14">
        <f>VLOOKUP(A49,'Country Tax Rates'!$A$2:$B$159,2,FALSE)</f>
        <v>0.3</v>
      </c>
      <c r="I49" s="15" t="str">
        <f>VLOOKUP(A49,'Regional lookup table'!$A$2:$B$162,2,FALSE)</f>
        <v>Central and South America</v>
      </c>
    </row>
    <row r="50" spans="1:9" ht="15.5">
      <c r="A50" s="8" t="str">
        <f>'Sovereign Ratings (Moody''s,S&amp;P)'!A50</f>
        <v>Estonia</v>
      </c>
      <c r="B50" s="120">
        <f>VLOOKUP(A50,'Country GDP'!$A$2:$B$181,2,FALSE)</f>
        <v>40744.848827953661</v>
      </c>
      <c r="C50" s="9" t="str">
        <f>VLOOKUP(A50,'Sovereign Ratings (Moody''s,S&amp;P)'!$A$2:$D$158,4,FALSE)</f>
        <v>A1</v>
      </c>
      <c r="D50" s="11">
        <f>VLOOKUP(A50,'10-year CDS Spreads'!$A$2:$C$158,3,FALSE)</f>
        <v>8.0999999999999996E-3</v>
      </c>
      <c r="E50" s="21">
        <f>VLOOKUP(A50,'ERPs by country'!$A$8:$F$164,4,FALSE)</f>
        <v>6.9842548970989338E-3</v>
      </c>
      <c r="F50" s="10">
        <f>VLOOKUP(A50,'ERPs by country'!$A$8:$F$164,5,FALSE)</f>
        <v>5.028425489709893E-2</v>
      </c>
      <c r="G50" s="14">
        <f>VLOOKUP(A50,'ERPs by country'!$A$8:$F$164,6,FALSE)</f>
        <v>6.9842548970989338E-3</v>
      </c>
      <c r="H50" s="14">
        <f>VLOOKUP(A50,'Country Tax Rates'!$A$2:$B$159,2,FALSE)</f>
        <v>0.2</v>
      </c>
      <c r="I50" s="15" t="str">
        <f>VLOOKUP(A50,'Regional lookup table'!$A$2:$B$162,2,FALSE)</f>
        <v>Eastern Europe &amp; Russia</v>
      </c>
    </row>
    <row r="51" spans="1:9" ht="15.5">
      <c r="A51" s="8" t="str">
        <f>'Sovereign Ratings (Moody''s,S&amp;P)'!A51</f>
        <v>Ethiopia</v>
      </c>
      <c r="B51" s="120">
        <f>VLOOKUP(A51,'Country GDP'!$A$2:$B$181,2,FALSE)</f>
        <v>163697.92759398237</v>
      </c>
      <c r="C51" s="9" t="str">
        <f>VLOOKUP(A51,'Sovereign Ratings (Moody''s,S&amp;P)'!$A$2:$D$158,4,FALSE)</f>
        <v>Caa2</v>
      </c>
      <c r="D51" s="11">
        <f>VLOOKUP(A51,'10-year CDS Spreads'!$A$2:$C$158,3,FALSE)</f>
        <v>0.32969999999999999</v>
      </c>
      <c r="E51" s="21">
        <f>VLOOKUP(A51,'ERPs by country'!$A$8:$F$164,4,FALSE)</f>
        <v>8.9165654186296364E-2</v>
      </c>
      <c r="F51" s="10">
        <f>VLOOKUP(A51,'ERPs by country'!$A$8:$F$164,5,FALSE)</f>
        <v>0.13246565418629636</v>
      </c>
      <c r="G51" s="14">
        <f>VLOOKUP(A51,'ERPs by country'!$A$8:$F$164,6,FALSE)</f>
        <v>8.9165654186296364E-2</v>
      </c>
      <c r="H51" s="14">
        <f>VLOOKUP(A51,'Country Tax Rates'!$A$2:$B$159,2,FALSE)</f>
        <v>0.3</v>
      </c>
      <c r="I51" s="15" t="str">
        <f>VLOOKUP(A51,'Regional lookup table'!$A$2:$B$162,2,FALSE)</f>
        <v>Africa</v>
      </c>
    </row>
    <row r="52" spans="1:9" ht="15.5">
      <c r="A52" s="8" t="str">
        <f>'Sovereign Ratings (Moody''s,S&amp;P)'!A52</f>
        <v>Fiji</v>
      </c>
      <c r="B52" s="120">
        <f>VLOOKUP(A52,'Country GDP'!$A$2:$B$181,2,FALSE)</f>
        <v>5494.7975407336471</v>
      </c>
      <c r="C52" s="9" t="str">
        <f>VLOOKUP(A52,'Sovereign Ratings (Moody''s,S&amp;P)'!$A$2:$D$158,4,FALSE)</f>
        <v>B1</v>
      </c>
      <c r="D52" s="11" t="str">
        <f>VLOOKUP(A52,'10-year CDS Spreads'!$A$2:$C$158,3,FALSE)</f>
        <v>NA</v>
      </c>
      <c r="E52" s="21">
        <f>VLOOKUP(A52,'ERPs by country'!$A$8:$F$164,4,FALSE)</f>
        <v>4.4582827093148182E-2</v>
      </c>
      <c r="F52" s="10">
        <f>VLOOKUP(A52,'ERPs by country'!$A$8:$F$164,5,FALSE)</f>
        <v>8.788282709314818E-2</v>
      </c>
      <c r="G52" s="14">
        <f>VLOOKUP(A52,'ERPs by country'!$A$8:$F$164,6,FALSE)</f>
        <v>4.4582827093148182E-2</v>
      </c>
      <c r="H52" s="14">
        <f>VLOOKUP(A52,'Country Tax Rates'!$A$2:$B$159,2,FALSE)</f>
        <v>0.2</v>
      </c>
      <c r="I52" s="15" t="str">
        <f>VLOOKUP(A52,'Regional lookup table'!$A$2:$B$162,2,FALSE)</f>
        <v>Asia</v>
      </c>
    </row>
    <row r="53" spans="1:9" ht="15.5">
      <c r="A53" s="8" t="str">
        <f>'Sovereign Ratings (Moody''s,S&amp;P)'!A53</f>
        <v>Finland</v>
      </c>
      <c r="B53" s="120">
        <f>VLOOKUP(A53,'Country GDP'!$A$2:$B$181,2,FALSE)</f>
        <v>300187.20269608375</v>
      </c>
      <c r="C53" s="9" t="str">
        <f>VLOOKUP(A53,'Sovereign Ratings (Moody''s,S&amp;P)'!$A$2:$D$158,4,FALSE)</f>
        <v>Aa1</v>
      </c>
      <c r="D53" s="11">
        <f>VLOOKUP(A53,'10-year CDS Spreads'!$A$2:$C$158,3,FALSE)</f>
        <v>3.3E-3</v>
      </c>
      <c r="E53" s="21">
        <f>VLOOKUP(A53,'ERPs by country'!$A$8:$F$164,4,FALSE)</f>
        <v>3.9577444416893943E-3</v>
      </c>
      <c r="F53" s="10">
        <f>VLOOKUP(A53,'ERPs by country'!$A$8:$F$164,5,FALSE)</f>
        <v>4.7257744441689391E-2</v>
      </c>
      <c r="G53" s="14">
        <f>VLOOKUP(A53,'ERPs by country'!$A$8:$F$164,6,FALSE)</f>
        <v>3.9577444416893943E-3</v>
      </c>
      <c r="H53" s="14">
        <f>VLOOKUP(A53,'Country Tax Rates'!$A$2:$B$159,2,FALSE)</f>
        <v>0.2</v>
      </c>
      <c r="I53" s="15" t="str">
        <f>VLOOKUP(A53,'Regional lookup table'!$A$2:$B$162,2,FALSE)</f>
        <v>Western Europe</v>
      </c>
    </row>
    <row r="54" spans="1:9" ht="15.5">
      <c r="A54" s="8" t="str">
        <f>'Sovereign Ratings (Moody''s,S&amp;P)'!A54</f>
        <v>France</v>
      </c>
      <c r="B54" s="120">
        <f>VLOOKUP(A54,'Country GDP'!$A$2:$B$181,2,FALSE)</f>
        <v>3030904.0896078963</v>
      </c>
      <c r="C54" s="9" t="str">
        <f>VLOOKUP(A54,'Sovereign Ratings (Moody''s,S&amp;P)'!$A$2:$D$158,4,FALSE)</f>
        <v>Aa3</v>
      </c>
      <c r="D54" s="11">
        <f>VLOOKUP(A54,'10-year CDS Spreads'!$A$2:$C$158,3,FALSE)</f>
        <v>6.8999999999999999E-3</v>
      </c>
      <c r="E54" s="21">
        <f>VLOOKUP(A54,'ERPs by country'!$A$8:$F$164,4,FALSE)</f>
        <v>5.9366166625340932E-3</v>
      </c>
      <c r="F54" s="10">
        <f>VLOOKUP(A54,'ERPs by country'!$A$8:$F$164,5,FALSE)</f>
        <v>4.9236616662534094E-2</v>
      </c>
      <c r="G54" s="14">
        <f>VLOOKUP(A54,'ERPs by country'!$A$8:$F$164,6,FALSE)</f>
        <v>5.9366166625340932E-3</v>
      </c>
      <c r="H54" s="14">
        <f>VLOOKUP(A54,'Country Tax Rates'!$A$2:$B$159,2,FALSE)</f>
        <v>0.25</v>
      </c>
      <c r="I54" s="15" t="str">
        <f>VLOOKUP(A54,'Regional lookup table'!$A$2:$B$162,2,FALSE)</f>
        <v>Western Europe</v>
      </c>
    </row>
    <row r="55" spans="1:9" ht="15.5">
      <c r="A55" s="8" t="str">
        <f>'Sovereign Ratings (Moody''s,S&amp;P)'!A55</f>
        <v>Gabon</v>
      </c>
      <c r="B55" s="120">
        <f>VLOOKUP(A55,'Country GDP'!$A$2:$B$181,2,FALSE)</f>
        <v>20516.134388660783</v>
      </c>
      <c r="C55" s="9" t="str">
        <f>VLOOKUP(A55,'Sovereign Ratings (Moody''s,S&amp;P)'!$A$2:$D$158,4,FALSE)</f>
        <v>Caa2</v>
      </c>
      <c r="D55" s="11" t="str">
        <f>VLOOKUP(A55,'10-year CDS Spreads'!$A$2:$C$158,3,FALSE)</f>
        <v>NA</v>
      </c>
      <c r="E55" s="21">
        <f>VLOOKUP(A55,'ERPs by country'!$A$8:$F$164,4,FALSE)</f>
        <v>8.9165654186296364E-2</v>
      </c>
      <c r="F55" s="10">
        <f>VLOOKUP(A55,'ERPs by country'!$A$8:$F$164,5,FALSE)</f>
        <v>0.13246565418629636</v>
      </c>
      <c r="G55" s="14">
        <f>VLOOKUP(A55,'ERPs by country'!$A$8:$F$164,6,FALSE)</f>
        <v>8.9165654186296364E-2</v>
      </c>
      <c r="H55" s="14">
        <f>VLOOKUP(A55,'Country Tax Rates'!$A$2:$B$159,2,FALSE)</f>
        <v>0.3</v>
      </c>
      <c r="I55" s="15" t="str">
        <f>VLOOKUP(A55,'Regional lookup table'!$A$2:$B$162,2,FALSE)</f>
        <v>Africa</v>
      </c>
    </row>
    <row r="56" spans="1:9" ht="15.5">
      <c r="A56" s="8" t="str">
        <f>'Sovereign Ratings (Moody''s,S&amp;P)'!A56</f>
        <v>Georgia</v>
      </c>
      <c r="B56" s="120">
        <f>VLOOKUP(A56,'Country GDP'!$A$2:$B$181,2,FALSE)</f>
        <v>30535.530479022662</v>
      </c>
      <c r="C56" s="9" t="str">
        <f>VLOOKUP(A56,'Sovereign Ratings (Moody''s,S&amp;P)'!$A$2:$D$158,4,FALSE)</f>
        <v>Ba2</v>
      </c>
      <c r="D56" s="11" t="str">
        <f>VLOOKUP(A56,'10-year CDS Spreads'!$A$2:$C$158,3,FALSE)</f>
        <v>NA</v>
      </c>
      <c r="E56" s="21">
        <f>VLOOKUP(A56,'ERPs by country'!$A$8:$F$164,4,FALSE)</f>
        <v>2.9799487560955448E-2</v>
      </c>
      <c r="F56" s="10">
        <f>VLOOKUP(A56,'ERPs by country'!$A$8:$F$164,5,FALSE)</f>
        <v>7.309948756095544E-2</v>
      </c>
      <c r="G56" s="14">
        <f>VLOOKUP(A56,'ERPs by country'!$A$8:$F$164,6,FALSE)</f>
        <v>2.9799487560955448E-2</v>
      </c>
      <c r="H56" s="14">
        <f>VLOOKUP(A56,'Country Tax Rates'!$A$2:$B$159,2,FALSE)</f>
        <v>0.15</v>
      </c>
      <c r="I56" s="15" t="str">
        <f>VLOOKUP(A56,'Regional lookup table'!$A$2:$B$162,2,FALSE)</f>
        <v>Eastern Europe &amp; Russia</v>
      </c>
    </row>
    <row r="57" spans="1:9" ht="15.5">
      <c r="A57" s="8" t="str">
        <f>'Sovereign Ratings (Moody''s,S&amp;P)'!A57</f>
        <v>Germany</v>
      </c>
      <c r="B57" s="120">
        <f>VLOOKUP(A57,'Country GDP'!$A$2:$B$181,2,FALSE)</f>
        <v>4456081.016705961</v>
      </c>
      <c r="C57" s="9" t="str">
        <f>VLOOKUP(A57,'Sovereign Ratings (Moody''s,S&amp;P)'!$A$2:$D$158,4,FALSE)</f>
        <v>Aaa</v>
      </c>
      <c r="D57" s="11">
        <f>VLOOKUP(A57,'10-year CDS Spreads'!$A$2:$C$158,3,FALSE)</f>
        <v>2.8E-3</v>
      </c>
      <c r="E57" s="21">
        <f>VLOOKUP(A57,'ERPs by country'!$A$8:$F$164,4,FALSE)</f>
        <v>0</v>
      </c>
      <c r="F57" s="10">
        <f>VLOOKUP(A57,'ERPs by country'!$A$8:$F$164,5,FALSE)</f>
        <v>4.3299999999999998E-2</v>
      </c>
      <c r="G57" s="14">
        <f>VLOOKUP(A57,'ERPs by country'!$A$8:$F$164,6,FALSE)</f>
        <v>0</v>
      </c>
      <c r="H57" s="14">
        <f>VLOOKUP(A57,'Country Tax Rates'!$A$2:$B$159,2,FALSE)</f>
        <v>0.3</v>
      </c>
      <c r="I57" s="15" t="str">
        <f>VLOOKUP(A57,'Regional lookup table'!$A$2:$B$162,2,FALSE)</f>
        <v>Western Europe</v>
      </c>
    </row>
    <row r="58" spans="1:9" ht="15.5">
      <c r="A58" s="8" t="str">
        <f>'Sovereign Ratings (Moody''s,S&amp;P)'!A58</f>
        <v>Ghana</v>
      </c>
      <c r="B58" s="120">
        <f>VLOOKUP(A58,'Country GDP'!$A$2:$B$181,2,FALSE)</f>
        <v>76370.394412416266</v>
      </c>
      <c r="C58" s="9" t="str">
        <f>VLOOKUP(A58,'Sovereign Ratings (Moody''s,S&amp;P)'!$A$2:$D$158,4,FALSE)</f>
        <v>Caa2</v>
      </c>
      <c r="D58" s="11" t="str">
        <f>VLOOKUP(A58,'10-year CDS Spreads'!$A$2:$C$158,3,FALSE)</f>
        <v>NA</v>
      </c>
      <c r="E58" s="21">
        <f>VLOOKUP(A58,'ERPs by country'!$A$8:$F$164,4,FALSE)</f>
        <v>8.9165654186296364E-2</v>
      </c>
      <c r="F58" s="10">
        <f>VLOOKUP(A58,'ERPs by country'!$A$8:$F$164,5,FALSE)</f>
        <v>0.13246565418629636</v>
      </c>
      <c r="G58" s="14">
        <f>VLOOKUP(A58,'ERPs by country'!$A$8:$F$164,6,FALSE)</f>
        <v>8.9165654186296364E-2</v>
      </c>
      <c r="H58" s="14">
        <f>VLOOKUP(A58,'Country Tax Rates'!$A$2:$B$159,2,FALSE)</f>
        <v>0.25</v>
      </c>
      <c r="I58" s="15" t="str">
        <f>VLOOKUP(A58,'Regional lookup table'!$A$2:$B$162,2,FALSE)</f>
        <v>Africa</v>
      </c>
    </row>
    <row r="59" spans="1:9" ht="15.5">
      <c r="A59" s="8" t="str">
        <f>'Sovereign Ratings (Moody''s,S&amp;P)'!A59</f>
        <v>Greece</v>
      </c>
      <c r="B59" s="120">
        <f>VLOOKUP(A59,'Country GDP'!$A$2:$B$181,2,FALSE)</f>
        <v>238206.31263252773</v>
      </c>
      <c r="C59" s="9" t="str">
        <f>VLOOKUP(A59,'Sovereign Ratings (Moody''s,S&amp;P)'!$A$2:$D$158,4,FALSE)</f>
        <v>Ba1</v>
      </c>
      <c r="D59" s="11">
        <f>VLOOKUP(A59,'10-year CDS Spreads'!$A$2:$C$158,3,FALSE)</f>
        <v>1.17E-2</v>
      </c>
      <c r="E59" s="21">
        <f>VLOOKUP(A59,'ERPs by country'!$A$8:$F$164,4,FALSE)</f>
        <v>2.4794104884701216E-2</v>
      </c>
      <c r="F59" s="10">
        <f>VLOOKUP(A59,'ERPs by country'!$A$8:$F$164,5,FALSE)</f>
        <v>6.8094104884701218E-2</v>
      </c>
      <c r="G59" s="14">
        <f>VLOOKUP(A59,'ERPs by country'!$A$8:$F$164,6,FALSE)</f>
        <v>2.4794104884701216E-2</v>
      </c>
      <c r="H59" s="14">
        <f>VLOOKUP(A59,'Country Tax Rates'!$A$2:$B$159,2,FALSE)</f>
        <v>0.22</v>
      </c>
      <c r="I59" s="15" t="str">
        <f>VLOOKUP(A59,'Regional lookup table'!$A$2:$B$162,2,FALSE)</f>
        <v>Western Europe</v>
      </c>
    </row>
    <row r="60" spans="1:9" ht="15.5">
      <c r="A60" s="8" t="str">
        <f>'Sovereign Ratings (Moody''s,S&amp;P)'!A60</f>
        <v>Guatemala</v>
      </c>
      <c r="B60" s="120">
        <f>VLOOKUP(A60,'Country GDP'!$A$2:$B$181,2,FALSE)</f>
        <v>102050.47386363636</v>
      </c>
      <c r="C60" s="9" t="str">
        <f>VLOOKUP(A60,'Sovereign Ratings (Moody''s,S&amp;P)'!$A$2:$D$158,4,FALSE)</f>
        <v>Ba1</v>
      </c>
      <c r="D60" s="11" t="str">
        <f>VLOOKUP(A60,'10-year CDS Spreads'!$A$2:$C$158,3,FALSE)</f>
        <v>NA</v>
      </c>
      <c r="E60" s="21">
        <f>VLOOKUP(A60,'ERPs by country'!$A$8:$F$164,4,FALSE)</f>
        <v>2.4794104884701216E-2</v>
      </c>
      <c r="F60" s="10">
        <f>VLOOKUP(A60,'ERPs by country'!$A$8:$F$164,5,FALSE)</f>
        <v>6.8094104884701218E-2</v>
      </c>
      <c r="G60" s="14">
        <f>VLOOKUP(A60,'ERPs by country'!$A$8:$F$164,6,FALSE)</f>
        <v>2.4794104884701216E-2</v>
      </c>
      <c r="H60" s="14">
        <f>VLOOKUP(A60,'Country Tax Rates'!$A$2:$B$159,2,FALSE)</f>
        <v>0.25</v>
      </c>
      <c r="I60" s="15" t="str">
        <f>VLOOKUP(A60,'Regional lookup table'!$A$2:$B$162,2,FALSE)</f>
        <v>Central and South America</v>
      </c>
    </row>
    <row r="61" spans="1:9" ht="15.5">
      <c r="A61" s="8" t="str">
        <f>'Sovereign Ratings (Moody''s,S&amp;P)'!A61</f>
        <v>Guernsey (States of)</v>
      </c>
      <c r="B61" s="120">
        <f>VLOOKUP(A61,'Country GDP'!$A$2:$B$181,2,FALSE)</f>
        <v>3446</v>
      </c>
      <c r="C61" s="9" t="str">
        <f>VLOOKUP(A61,'Sovereign Ratings (Moody''s,S&amp;P)'!$A$2:$D$158,4,FALSE)</f>
        <v>A1</v>
      </c>
      <c r="D61" s="11" t="str">
        <f>VLOOKUP(A61,'10-year CDS Spreads'!$A$2:$C$158,3,FALSE)</f>
        <v>NA</v>
      </c>
      <c r="E61" s="21">
        <f>VLOOKUP(A61,'ERPs by country'!$A$8:$F$164,4,FALSE)</f>
        <v>6.9842548970989338E-3</v>
      </c>
      <c r="F61" s="10">
        <f>VLOOKUP(A61,'ERPs by country'!$A$8:$F$164,5,FALSE)</f>
        <v>5.028425489709893E-2</v>
      </c>
      <c r="G61" s="14">
        <f>VLOOKUP(A61,'ERPs by country'!$A$8:$F$164,6,FALSE)</f>
        <v>6.9842548970989338E-3</v>
      </c>
      <c r="H61" s="14">
        <f>VLOOKUP(A61,'Country Tax Rates'!$A$2:$B$159,2,FALSE)</f>
        <v>0</v>
      </c>
      <c r="I61" s="15" t="str">
        <f>VLOOKUP(A61,'Regional lookup table'!$A$2:$B$162,2,FALSE)</f>
        <v>Western Europe</v>
      </c>
    </row>
    <row r="62" spans="1:9" ht="15.5">
      <c r="A62" s="8" t="str">
        <f>'Sovereign Ratings (Moody''s,S&amp;P)'!A62</f>
        <v>Honduras</v>
      </c>
      <c r="B62" s="120">
        <f>VLOOKUP(A62,'Country GDP'!$A$2:$B$181,2,FALSE)</f>
        <v>34400.509852043651</v>
      </c>
      <c r="C62" s="9" t="str">
        <f>VLOOKUP(A62,'Sovereign Ratings (Moody''s,S&amp;P)'!$A$2:$D$158,4,FALSE)</f>
        <v>B1</v>
      </c>
      <c r="D62" s="11" t="str">
        <f>VLOOKUP(A62,'10-year CDS Spreads'!$A$2:$C$158,3,FALSE)</f>
        <v>NA</v>
      </c>
      <c r="E62" s="21">
        <f>VLOOKUP(A62,'ERPs by country'!$A$8:$F$164,4,FALSE)</f>
        <v>4.4582827093148182E-2</v>
      </c>
      <c r="F62" s="10">
        <f>VLOOKUP(A62,'ERPs by country'!$A$8:$F$164,5,FALSE)</f>
        <v>8.788282709314818E-2</v>
      </c>
      <c r="G62" s="14">
        <f>VLOOKUP(A62,'ERPs by country'!$A$8:$F$164,6,FALSE)</f>
        <v>4.4582827093148182E-2</v>
      </c>
      <c r="H62" s="14">
        <f>VLOOKUP(A62,'Country Tax Rates'!$A$2:$B$159,2,FALSE)</f>
        <v>0.25</v>
      </c>
      <c r="I62" s="15" t="str">
        <f>VLOOKUP(A62,'Regional lookup table'!$A$2:$B$162,2,FALSE)</f>
        <v>Central and South America</v>
      </c>
    </row>
    <row r="63" spans="1:9" ht="15.5">
      <c r="A63" s="8" t="str">
        <f>'Sovereign Ratings (Moody''s,S&amp;P)'!A63</f>
        <v>Hong Kong</v>
      </c>
      <c r="B63" s="120">
        <f>VLOOKUP(A63,'Country GDP'!$A$2:$B$181,2,FALSE)</f>
        <v>382054.57429852907</v>
      </c>
      <c r="C63" s="9" t="str">
        <f>VLOOKUP(A63,'Sovereign Ratings (Moody''s,S&amp;P)'!$A$2:$D$158,4,FALSE)</f>
        <v>Aa3</v>
      </c>
      <c r="D63" s="11">
        <f>VLOOKUP(A63,'10-year CDS Spreads'!$A$2:$C$158,3,FALSE)</f>
        <v>6.4000000000000003E-3</v>
      </c>
      <c r="E63" s="21">
        <f>VLOOKUP(A63,'ERPs by country'!$A$8:$F$164,4,FALSE)</f>
        <v>5.9366166625340932E-3</v>
      </c>
      <c r="F63" s="10">
        <f>VLOOKUP(A63,'ERPs by country'!$A$8:$F$164,5,FALSE)</f>
        <v>4.9236616662534094E-2</v>
      </c>
      <c r="G63" s="14">
        <f>VLOOKUP(A63,'ERPs by country'!$A$8:$F$164,6,FALSE)</f>
        <v>5.9366166625340932E-3</v>
      </c>
      <c r="H63" s="14">
        <f>VLOOKUP(A63,'Country Tax Rates'!$A$2:$B$159,2,FALSE)</f>
        <v>0.16500000000000001</v>
      </c>
      <c r="I63" s="15" t="str">
        <f>VLOOKUP(A63,'Regional lookup table'!$A$2:$B$162,2,FALSE)</f>
        <v>Asia</v>
      </c>
    </row>
    <row r="64" spans="1:9" ht="15.5">
      <c r="A64" s="8" t="str">
        <f>'Sovereign Ratings (Moody''s,S&amp;P)'!A64</f>
        <v>Hungary</v>
      </c>
      <c r="B64" s="120">
        <f>VLOOKUP(A64,'Country GDP'!$A$2:$B$181,2,FALSE)</f>
        <v>212388.90645872394</v>
      </c>
      <c r="C64" s="9" t="str">
        <f>VLOOKUP(A64,'Sovereign Ratings (Moody''s,S&amp;P)'!$A$2:$D$158,4,FALSE)</f>
        <v>Baa2</v>
      </c>
      <c r="D64" s="11">
        <f>VLOOKUP(A64,'10-year CDS Spreads'!$A$2:$C$158,3,FALSE)</f>
        <v>1.7899999999999999E-2</v>
      </c>
      <c r="E64" s="21">
        <f>VLOOKUP(A64,'ERPs by country'!$A$8:$F$164,4,FALSE)</f>
        <v>1.885748822216712E-2</v>
      </c>
      <c r="F64" s="10">
        <f>VLOOKUP(A64,'ERPs by country'!$A$8:$F$164,5,FALSE)</f>
        <v>6.2157488222167115E-2</v>
      </c>
      <c r="G64" s="14">
        <f>VLOOKUP(A64,'ERPs by country'!$A$8:$F$164,6,FALSE)</f>
        <v>1.885748822216712E-2</v>
      </c>
      <c r="H64" s="14">
        <f>VLOOKUP(A64,'Country Tax Rates'!$A$2:$B$159,2,FALSE)</f>
        <v>0.09</v>
      </c>
      <c r="I64" s="15" t="str">
        <f>VLOOKUP(A64,'Regional lookup table'!$A$2:$B$162,2,FALSE)</f>
        <v>Eastern Europe &amp; Russia</v>
      </c>
    </row>
    <row r="65" spans="1:9" ht="15.5">
      <c r="A65" s="8" t="str">
        <f>'Sovereign Ratings (Moody''s,S&amp;P)'!A65</f>
        <v>Iceland</v>
      </c>
      <c r="B65" s="120">
        <f>VLOOKUP(A65,'Country GDP'!$A$2:$B$181,2,FALSE)</f>
        <v>31020.032583197215</v>
      </c>
      <c r="C65" s="9" t="str">
        <f>VLOOKUP(A65,'Sovereign Ratings (Moody''s,S&amp;P)'!$A$2:$D$158,4,FALSE)</f>
        <v>A1</v>
      </c>
      <c r="D65" s="11">
        <f>VLOOKUP(A65,'10-year CDS Spreads'!$A$2:$C$158,3,FALSE)</f>
        <v>3.0999999999999999E-3</v>
      </c>
      <c r="E65" s="21">
        <f>VLOOKUP(A65,'ERPs by country'!$A$8:$F$164,4,FALSE)</f>
        <v>6.9842548970989338E-3</v>
      </c>
      <c r="F65" s="10">
        <f>VLOOKUP(A65,'ERPs by country'!$A$8:$F$164,5,FALSE)</f>
        <v>5.028425489709893E-2</v>
      </c>
      <c r="G65" s="14">
        <f>VLOOKUP(A65,'ERPs by country'!$A$8:$F$164,6,FALSE)</f>
        <v>6.9842548970989338E-3</v>
      </c>
      <c r="H65" s="14">
        <f>VLOOKUP(A65,'Country Tax Rates'!$A$2:$B$159,2,FALSE)</f>
        <v>0.2</v>
      </c>
      <c r="I65" s="15" t="str">
        <f>VLOOKUP(A65,'Regional lookup table'!$A$2:$B$162,2,FALSE)</f>
        <v>Western Europe</v>
      </c>
    </row>
    <row r="66" spans="1:9" ht="15.5">
      <c r="A66" s="8" t="str">
        <f>'Sovereign Ratings (Moody''s,S&amp;P)'!A66</f>
        <v>India</v>
      </c>
      <c r="B66" s="120">
        <f>VLOOKUP(A66,'Country GDP'!$A$2:$B$181,2,FALSE)</f>
        <v>3549918.9187775319</v>
      </c>
      <c r="C66" s="9" t="str">
        <f>VLOOKUP(A66,'Sovereign Ratings (Moody''s,S&amp;P)'!$A$2:$D$158,4,FALSE)</f>
        <v>Baa3</v>
      </c>
      <c r="D66" s="11">
        <f>VLOOKUP(A66,'10-year CDS Spreads'!$A$2:$C$158,3,FALSE)</f>
        <v>9.4999999999999998E-3</v>
      </c>
      <c r="E66" s="21">
        <f>VLOOKUP(A66,'ERPs by country'!$A$8:$F$164,4,FALSE)</f>
        <v>2.1767594429291676E-2</v>
      </c>
      <c r="F66" s="10">
        <f>VLOOKUP(A66,'ERPs by country'!$A$8:$F$164,5,FALSE)</f>
        <v>6.5067594429291678E-2</v>
      </c>
      <c r="G66" s="14">
        <f>VLOOKUP(A66,'ERPs by country'!$A$8:$F$164,6,FALSE)</f>
        <v>2.1767594429291676E-2</v>
      </c>
      <c r="H66" s="14">
        <f>VLOOKUP(A66,'Country Tax Rates'!$A$2:$B$159,2,FALSE)</f>
        <v>0.3</v>
      </c>
      <c r="I66" s="15" t="str">
        <f>VLOOKUP(A66,'Regional lookup table'!$A$2:$B$162,2,FALSE)</f>
        <v>Asia</v>
      </c>
    </row>
    <row r="67" spans="1:9" ht="15.5">
      <c r="A67" s="8" t="str">
        <f>'Sovereign Ratings (Moody''s,S&amp;P)'!A67</f>
        <v>Indonesia</v>
      </c>
      <c r="B67" s="120">
        <f>VLOOKUP(A67,'Country GDP'!$A$2:$B$181,2,FALSE)</f>
        <v>1371171.152331155</v>
      </c>
      <c r="C67" s="9" t="str">
        <f>VLOOKUP(A67,'Sovereign Ratings (Moody''s,S&amp;P)'!$A$2:$D$158,4,FALSE)</f>
        <v>Baa2</v>
      </c>
      <c r="D67" s="11">
        <f>VLOOKUP(A67,'10-year CDS Spreads'!$A$2:$C$158,3,FALSE)</f>
        <v>1.3100000000000001E-2</v>
      </c>
      <c r="E67" s="21">
        <f>VLOOKUP(A67,'ERPs by country'!$A$8:$F$164,4,FALSE)</f>
        <v>1.885748822216712E-2</v>
      </c>
      <c r="F67" s="10">
        <f>VLOOKUP(A67,'ERPs by country'!$A$8:$F$164,5,FALSE)</f>
        <v>6.2157488222167115E-2</v>
      </c>
      <c r="G67" s="14">
        <f>VLOOKUP(A67,'ERPs by country'!$A$8:$F$164,6,FALSE)</f>
        <v>1.885748822216712E-2</v>
      </c>
      <c r="H67" s="14">
        <f>VLOOKUP(A67,'Country Tax Rates'!$A$2:$B$159,2,FALSE)</f>
        <v>0.22</v>
      </c>
      <c r="I67" s="15" t="str">
        <f>VLOOKUP(A67,'Regional lookup table'!$A$2:$B$162,2,FALSE)</f>
        <v>Asia</v>
      </c>
    </row>
    <row r="68" spans="1:9" ht="15.5">
      <c r="A68" s="8" t="str">
        <f>'Sovereign Ratings (Moody''s,S&amp;P)'!A68</f>
        <v>Iraq</v>
      </c>
      <c r="B68" s="120">
        <f>VLOOKUP(A68,'Country GDP'!$A$2:$B$181,2,FALSE)</f>
        <v>250842.78213946417</v>
      </c>
      <c r="C68" s="9" t="str">
        <f>VLOOKUP(A68,'Sovereign Ratings (Moody''s,S&amp;P)'!$A$2:$D$158,4,FALSE)</f>
        <v>Caa1</v>
      </c>
      <c r="D68" s="11">
        <f>VLOOKUP(A68,'10-year CDS Spreads'!$A$2:$C$158,3,FALSE)</f>
        <v>4.1500000000000002E-2</v>
      </c>
      <c r="E68" s="21">
        <f>VLOOKUP(A68,'ERPs by country'!$A$8:$F$164,4,FALSE)</f>
        <v>7.4265910405818647E-2</v>
      </c>
      <c r="F68" s="10">
        <f>VLOOKUP(A68,'ERPs by country'!$A$8:$F$164,5,FALSE)</f>
        <v>0.11756591040581865</v>
      </c>
      <c r="G68" s="14">
        <f>VLOOKUP(A68,'ERPs by country'!$A$8:$F$164,6,FALSE)</f>
        <v>7.4265910405818647E-2</v>
      </c>
      <c r="H68" s="14">
        <f>VLOOKUP(A68,'Country Tax Rates'!$A$2:$B$159,2,FALSE)</f>
        <v>0.15</v>
      </c>
      <c r="I68" s="15" t="str">
        <f>VLOOKUP(A68,'Regional lookup table'!$A$2:$B$162,2,FALSE)</f>
        <v>Middle East</v>
      </c>
    </row>
    <row r="69" spans="1:9" ht="15.5">
      <c r="A69" s="8" t="str">
        <f>'Sovereign Ratings (Moody''s,S&amp;P)'!A69</f>
        <v>Ireland</v>
      </c>
      <c r="B69" s="120">
        <f>VLOOKUP(A69,'Country GDP'!$A$2:$B$181,2,FALSE)</f>
        <v>545629.45040373516</v>
      </c>
      <c r="C69" s="9" t="str">
        <f>VLOOKUP(A69,'Sovereign Ratings (Moody''s,S&amp;P)'!$A$2:$D$158,4,FALSE)</f>
        <v>Aa3</v>
      </c>
      <c r="D69" s="11">
        <f>VLOOKUP(A69,'10-year CDS Spreads'!$A$2:$C$158,3,FALSE)</f>
        <v>3.0999999999999999E-3</v>
      </c>
      <c r="E69" s="21">
        <f>VLOOKUP(A69,'ERPs by country'!$A$8:$F$164,4,FALSE)</f>
        <v>5.9366166625340932E-3</v>
      </c>
      <c r="F69" s="10">
        <f>VLOOKUP(A69,'ERPs by country'!$A$8:$F$164,5,FALSE)</f>
        <v>4.9236616662534094E-2</v>
      </c>
      <c r="G69" s="14">
        <f>VLOOKUP(A69,'ERPs by country'!$A$8:$F$164,6,FALSE)</f>
        <v>5.9366166625340932E-3</v>
      </c>
      <c r="H69" s="14">
        <f>VLOOKUP(A69,'Country Tax Rates'!$A$2:$B$159,2,FALSE)</f>
        <v>0.125</v>
      </c>
      <c r="I69" s="15" t="str">
        <f>VLOOKUP(A69,'Regional lookup table'!$A$2:$B$162,2,FALSE)</f>
        <v>Western Europe</v>
      </c>
    </row>
    <row r="70" spans="1:9" ht="15.5">
      <c r="A70" s="8" t="str">
        <f>'Sovereign Ratings (Moody''s,S&amp;P)'!A70</f>
        <v>Isle of Man</v>
      </c>
      <c r="B70" s="120">
        <f>VLOOKUP(A70,'Country GDP'!$A$2:$B$181,2,FALSE)</f>
        <v>0</v>
      </c>
      <c r="C70" s="9" t="str">
        <f>VLOOKUP(A70,'Sovereign Ratings (Moody''s,S&amp;P)'!$A$2:$D$158,4,FALSE)</f>
        <v>Aa3</v>
      </c>
      <c r="D70" s="11" t="str">
        <f>VLOOKUP(A70,'10-year CDS Spreads'!$A$2:$C$158,3,FALSE)</f>
        <v>NA</v>
      </c>
      <c r="E70" s="21">
        <f>VLOOKUP(A70,'ERPs by country'!$A$8:$F$164,4,FALSE)</f>
        <v>5.9366166625340932E-3</v>
      </c>
      <c r="F70" s="10">
        <f>VLOOKUP(A70,'ERPs by country'!$A$8:$F$164,5,FALSE)</f>
        <v>4.9236616662534094E-2</v>
      </c>
      <c r="G70" s="14">
        <f>VLOOKUP(A70,'ERPs by country'!$A$8:$F$164,6,FALSE)</f>
        <v>5.9366166625340932E-3</v>
      </c>
      <c r="H70" s="14">
        <f>VLOOKUP(A70,'Country Tax Rates'!$A$2:$B$159,2,FALSE)</f>
        <v>0</v>
      </c>
      <c r="I70" s="15" t="str">
        <f>VLOOKUP(A70,'Regional lookup table'!$A$2:$B$162,2,FALSE)</f>
        <v>Western Europe</v>
      </c>
    </row>
    <row r="71" spans="1:9" ht="15.5">
      <c r="A71" s="8" t="str">
        <f>'Sovereign Ratings (Moody''s,S&amp;P)'!A71</f>
        <v>Israel</v>
      </c>
      <c r="B71" s="120">
        <f>VLOOKUP(A71,'Country GDP'!$A$2:$B$181,2,FALSE)</f>
        <v>509901.49570210325</v>
      </c>
      <c r="C71" s="9" t="str">
        <f>VLOOKUP(A71,'Sovereign Ratings (Moody''s,S&amp;P)'!$A$2:$D$158,4,FALSE)</f>
        <v>Baa1</v>
      </c>
      <c r="D71" s="11">
        <f>VLOOKUP(A71,'10-year CDS Spreads'!$A$2:$C$158,3,FALSE)</f>
        <v>1.44E-2</v>
      </c>
      <c r="E71" s="21">
        <f>VLOOKUP(A71,'ERPs by country'!$A$8:$F$164,4,FALSE)</f>
        <v>1.5830977766757577E-2</v>
      </c>
      <c r="F71" s="10">
        <f>VLOOKUP(A71,'ERPs by country'!$A$8:$F$164,5,FALSE)</f>
        <v>5.9130977766757575E-2</v>
      </c>
      <c r="G71" s="14">
        <f>VLOOKUP(A71,'ERPs by country'!$A$8:$F$164,6,FALSE)</f>
        <v>1.5830977766757577E-2</v>
      </c>
      <c r="H71" s="14">
        <f>VLOOKUP(A71,'Country Tax Rates'!$A$2:$B$159,2,FALSE)</f>
        <v>0.23</v>
      </c>
      <c r="I71" s="15" t="str">
        <f>VLOOKUP(A71,'Regional lookup table'!$A$2:$B$162,2,FALSE)</f>
        <v>Middle East</v>
      </c>
    </row>
    <row r="72" spans="1:9" ht="15.5">
      <c r="A72" s="8" t="str">
        <f>'Sovereign Ratings (Moody''s,S&amp;P)'!A72</f>
        <v>Italy</v>
      </c>
      <c r="B72" s="120">
        <f>VLOOKUP(A72,'Country GDP'!$A$2:$B$181,2,FALSE)</f>
        <v>2254851.2127318047</v>
      </c>
      <c r="C72" s="9" t="str">
        <f>VLOOKUP(A72,'Sovereign Ratings (Moody''s,S&amp;P)'!$A$2:$D$158,4,FALSE)</f>
        <v>Baa3</v>
      </c>
      <c r="D72" s="11">
        <f>VLOOKUP(A72,'10-year CDS Spreads'!$A$2:$C$158,3,FALSE)</f>
        <v>1.18E-2</v>
      </c>
      <c r="E72" s="21">
        <f>VLOOKUP(A72,'ERPs by country'!$A$8:$F$164,4,FALSE)</f>
        <v>2.1767594429291676E-2</v>
      </c>
      <c r="F72" s="10">
        <f>VLOOKUP(A72,'ERPs by country'!$A$8:$F$164,5,FALSE)</f>
        <v>6.5067594429291678E-2</v>
      </c>
      <c r="G72" s="14">
        <f>VLOOKUP(A72,'ERPs by country'!$A$8:$F$164,6,FALSE)</f>
        <v>2.1767594429291676E-2</v>
      </c>
      <c r="H72" s="14">
        <f>VLOOKUP(A72,'Country Tax Rates'!$A$2:$B$159,2,FALSE)</f>
        <v>0.24</v>
      </c>
      <c r="I72" s="15" t="str">
        <f>VLOOKUP(A72,'Regional lookup table'!$A$2:$B$162,2,FALSE)</f>
        <v>Western Europe</v>
      </c>
    </row>
    <row r="73" spans="1:9" ht="15.5">
      <c r="A73" s="8" t="str">
        <f>'Sovereign Ratings (Moody''s,S&amp;P)'!A73</f>
        <v>Jamaica</v>
      </c>
      <c r="B73" s="120">
        <f>VLOOKUP(A73,'Country GDP'!$A$2:$B$181,2,FALSE)</f>
        <v>19423.355367237178</v>
      </c>
      <c r="C73" s="9" t="str">
        <f>VLOOKUP(A73,'Sovereign Ratings (Moody''s,S&amp;P)'!$A$2:$D$158,4,FALSE)</f>
        <v>B1</v>
      </c>
      <c r="D73" s="11" t="str">
        <f>VLOOKUP(A73,'10-year CDS Spreads'!$A$2:$C$158,3,FALSE)</f>
        <v>NA</v>
      </c>
      <c r="E73" s="21">
        <f>VLOOKUP(A73,'ERPs by country'!$A$8:$F$164,4,FALSE)</f>
        <v>4.4582827093148182E-2</v>
      </c>
      <c r="F73" s="10">
        <f>VLOOKUP(A73,'ERPs by country'!$A$8:$F$164,5,FALSE)</f>
        <v>8.788282709314818E-2</v>
      </c>
      <c r="G73" s="14">
        <f>VLOOKUP(A73,'ERPs by country'!$A$8:$F$164,6,FALSE)</f>
        <v>4.4582827093148182E-2</v>
      </c>
      <c r="H73" s="14">
        <f>VLOOKUP(A73,'Country Tax Rates'!$A$2:$B$159,2,FALSE)</f>
        <v>0.25</v>
      </c>
      <c r="I73" s="15" t="str">
        <f>VLOOKUP(A73,'Regional lookup table'!$A$2:$B$162,2,FALSE)</f>
        <v>Caribbean</v>
      </c>
    </row>
    <row r="74" spans="1:9" ht="15.5">
      <c r="A74" s="8" t="str">
        <f>'Sovereign Ratings (Moody''s,S&amp;P)'!A74</f>
        <v>Japan</v>
      </c>
      <c r="B74" s="120">
        <f>VLOOKUP(A74,'Country GDP'!$A$2:$B$181,2,FALSE)</f>
        <v>4212945.1597814029</v>
      </c>
      <c r="C74" s="9" t="str">
        <f>VLOOKUP(A74,'Sovereign Ratings (Moody''s,S&amp;P)'!$A$2:$D$158,4,FALSE)</f>
        <v>A1</v>
      </c>
      <c r="D74" s="11">
        <f>VLOOKUP(A74,'10-year CDS Spreads'!$A$2:$C$158,3,FALSE)</f>
        <v>3.3E-3</v>
      </c>
      <c r="E74" s="21">
        <f>VLOOKUP(A74,'ERPs by country'!$A$8:$F$164,4,FALSE)</f>
        <v>6.9842548970989338E-3</v>
      </c>
      <c r="F74" s="10">
        <f>VLOOKUP(A74,'ERPs by country'!$A$8:$F$164,5,FALSE)</f>
        <v>5.028425489709893E-2</v>
      </c>
      <c r="G74" s="14">
        <f>VLOOKUP(A74,'ERPs by country'!$A$8:$F$164,6,FALSE)</f>
        <v>6.9842548970989338E-3</v>
      </c>
      <c r="H74" s="14">
        <f>VLOOKUP(A74,'Country Tax Rates'!$A$2:$B$159,2,FALSE)</f>
        <v>0.30620000000000003</v>
      </c>
      <c r="I74" s="15" t="str">
        <f>VLOOKUP(A74,'Regional lookup table'!$A$2:$B$162,2,FALSE)</f>
        <v>Asia</v>
      </c>
    </row>
    <row r="75" spans="1:9" ht="15.5">
      <c r="A75" s="8" t="str">
        <f>'Sovereign Ratings (Moody''s,S&amp;P)'!A75</f>
        <v>Jersey (States of)</v>
      </c>
      <c r="B75" s="120">
        <f>VLOOKUP(A75,'Country GDP'!$A$2:$B$181,2,FALSE)</f>
        <v>4890</v>
      </c>
      <c r="C75" s="9" t="str">
        <f>VLOOKUP(A75,'Sovereign Ratings (Moody''s,S&amp;P)'!$A$2:$D$158,4,FALSE)</f>
        <v>Aa2</v>
      </c>
      <c r="D75" s="11" t="str">
        <f>VLOOKUP(A75,'10-year CDS Spreads'!$A$2:$C$158,3,FALSE)</f>
        <v>NA</v>
      </c>
      <c r="E75" s="21">
        <f>VLOOKUP(A75,'ERPs by country'!$A$8:$F$164,4,FALSE)</f>
        <v>4.8889784279692525E-3</v>
      </c>
      <c r="F75" s="10">
        <f>VLOOKUP(A75,'ERPs by country'!$A$8:$F$164,5,FALSE)</f>
        <v>4.8188978427969251E-2</v>
      </c>
      <c r="G75" s="14">
        <f>VLOOKUP(A75,'ERPs by country'!$A$8:$F$164,6,FALSE)</f>
        <v>4.8889784279692525E-3</v>
      </c>
      <c r="H75" s="14">
        <f>VLOOKUP(A75,'Country Tax Rates'!$A$2:$B$159,2,FALSE)</f>
        <v>0</v>
      </c>
      <c r="I75" s="15" t="str">
        <f>VLOOKUP(A75,'Regional lookup table'!$A$2:$B$162,2,FALSE)</f>
        <v>Western Europe</v>
      </c>
    </row>
    <row r="76" spans="1:9" ht="15.5">
      <c r="A76" s="8" t="str">
        <f>'Sovereign Ratings (Moody''s,S&amp;P)'!A76</f>
        <v>Jordan</v>
      </c>
      <c r="B76" s="120">
        <f>VLOOKUP(A76,'Country GDP'!$A$2:$B$181,2,FALSE)</f>
        <v>50813.642348674643</v>
      </c>
      <c r="C76" s="9" t="str">
        <f>VLOOKUP(A76,'Sovereign Ratings (Moody''s,S&amp;P)'!$A$2:$D$158,4,FALSE)</f>
        <v>Ba3</v>
      </c>
      <c r="D76" s="11" t="str">
        <f>VLOOKUP(A76,'10-year CDS Spreads'!$A$2:$C$158,3,FALSE)</f>
        <v>NA</v>
      </c>
      <c r="E76" s="21">
        <f>VLOOKUP(A76,'ERPs by country'!$A$8:$F$164,4,FALSE)</f>
        <v>3.5619699975204554E-2</v>
      </c>
      <c r="F76" s="10">
        <f>VLOOKUP(A76,'ERPs by country'!$A$8:$F$164,5,FALSE)</f>
        <v>7.8919699975204552E-2</v>
      </c>
      <c r="G76" s="14">
        <f>VLOOKUP(A76,'ERPs by country'!$A$8:$F$164,6,FALSE)</f>
        <v>3.5619699975204554E-2</v>
      </c>
      <c r="H76" s="14">
        <f>VLOOKUP(A76,'Country Tax Rates'!$A$2:$B$159,2,FALSE)</f>
        <v>0.2</v>
      </c>
      <c r="I76" s="15" t="str">
        <f>VLOOKUP(A76,'Regional lookup table'!$A$2:$B$162,2,FALSE)</f>
        <v>Middle East</v>
      </c>
    </row>
    <row r="77" spans="1:9" ht="15.5">
      <c r="A77" s="8" t="str">
        <f>'Sovereign Ratings (Moody''s,S&amp;P)'!A77</f>
        <v>Kazakhstan</v>
      </c>
      <c r="B77" s="120">
        <f>VLOOKUP(A77,'Country GDP'!$A$2:$B$181,2,FALSE)</f>
        <v>261421.12108557209</v>
      </c>
      <c r="C77" s="9" t="str">
        <f>VLOOKUP(A77,'Sovereign Ratings (Moody''s,S&amp;P)'!$A$2:$D$158,4,FALSE)</f>
        <v>Baa1</v>
      </c>
      <c r="D77" s="11">
        <f>VLOOKUP(A77,'10-year CDS Spreads'!$A$2:$C$158,3,FALSE)</f>
        <v>1.3599999999999999E-2</v>
      </c>
      <c r="E77" s="21">
        <f>VLOOKUP(A77,'ERPs by country'!$A$8:$F$164,4,FALSE)</f>
        <v>1.5830977766757577E-2</v>
      </c>
      <c r="F77" s="10">
        <f>VLOOKUP(A77,'ERPs by country'!$A$8:$F$164,5,FALSE)</f>
        <v>5.9130977766757575E-2</v>
      </c>
      <c r="G77" s="14">
        <f>VLOOKUP(A77,'ERPs by country'!$A$8:$F$164,6,FALSE)</f>
        <v>1.5830977766757577E-2</v>
      </c>
      <c r="H77" s="14">
        <f>VLOOKUP(A77,'Country Tax Rates'!$A$2:$B$159,2,FALSE)</f>
        <v>0.2</v>
      </c>
      <c r="I77" s="15" t="str">
        <f>VLOOKUP(A77,'Regional lookup table'!$A$2:$B$162,2,FALSE)</f>
        <v>Eastern Europe &amp; Russia</v>
      </c>
    </row>
    <row r="78" spans="1:9" ht="15.5">
      <c r="A78" s="8" t="str">
        <f>'Sovereign Ratings (Moody''s,S&amp;P)'!A78</f>
        <v>Kenya</v>
      </c>
      <c r="B78" s="120">
        <f>VLOOKUP(A78,'Country GDP'!$A$2:$B$181,2,FALSE)</f>
        <v>107440.57583804752</v>
      </c>
      <c r="C78" s="9" t="str">
        <f>VLOOKUP(A78,'Sovereign Ratings (Moody''s,S&amp;P)'!$A$2:$D$158,4,FALSE)</f>
        <v>Caa1</v>
      </c>
      <c r="D78" s="11">
        <f>VLOOKUP(A78,'10-year CDS Spreads'!$A$2:$C$158,3,FALSE)</f>
        <v>5.9200000000000003E-2</v>
      </c>
      <c r="E78" s="21">
        <f>VLOOKUP(A78,'ERPs by country'!$A$8:$F$164,4,FALSE)</f>
        <v>7.4265910405818647E-2</v>
      </c>
      <c r="F78" s="10">
        <f>VLOOKUP(A78,'ERPs by country'!$A$8:$F$164,5,FALSE)</f>
        <v>0.11756591040581865</v>
      </c>
      <c r="G78" s="14">
        <f>VLOOKUP(A78,'ERPs by country'!$A$8:$F$164,6,FALSE)</f>
        <v>7.4265910405818647E-2</v>
      </c>
      <c r="H78" s="14">
        <f>VLOOKUP(A78,'Country Tax Rates'!$A$2:$B$159,2,FALSE)</f>
        <v>0.3</v>
      </c>
      <c r="I78" s="15" t="str">
        <f>VLOOKUP(A78,'Regional lookup table'!$A$2:$B$162,2,FALSE)</f>
        <v>Africa</v>
      </c>
    </row>
    <row r="79" spans="1:9" ht="15.5">
      <c r="A79" s="8" t="str">
        <f>'Sovereign Ratings (Moody''s,S&amp;P)'!A79</f>
        <v>Korea</v>
      </c>
      <c r="B79" s="120">
        <f>VLOOKUP(A79,'Country GDP'!$A$2:$B$181,2,FALSE)</f>
        <v>1712792.8542023688</v>
      </c>
      <c r="C79" s="9" t="str">
        <f>VLOOKUP(A79,'Sovereign Ratings (Moody''s,S&amp;P)'!$A$2:$D$158,4,FALSE)</f>
        <v>Aa2</v>
      </c>
      <c r="D79" s="11">
        <f>VLOOKUP(A79,'10-year CDS Spreads'!$A$2:$C$158,3,FALSE)</f>
        <v>4.7999999999999996E-3</v>
      </c>
      <c r="E79" s="21">
        <f>VLOOKUP(A79,'ERPs by country'!$A$8:$F$164,4,FALSE)</f>
        <v>4.8889784279692525E-3</v>
      </c>
      <c r="F79" s="10">
        <f>VLOOKUP(A79,'ERPs by country'!$A$8:$F$164,5,FALSE)</f>
        <v>4.8188978427969251E-2</v>
      </c>
      <c r="G79" s="14">
        <f>VLOOKUP(A79,'ERPs by country'!$A$8:$F$164,6,FALSE)</f>
        <v>4.8889784279692525E-3</v>
      </c>
      <c r="H79" s="14">
        <f>VLOOKUP(A79,'Country Tax Rates'!$A$2:$B$159,2,FALSE)</f>
        <v>0.25</v>
      </c>
      <c r="I79" s="15" t="str">
        <f>VLOOKUP(A79,'Regional lookup table'!$A$2:$B$162,2,FALSE)</f>
        <v>Asia</v>
      </c>
    </row>
    <row r="80" spans="1:9" ht="15.5">
      <c r="A80" s="8" t="str">
        <f>'Sovereign Ratings (Moody''s,S&amp;P)'!A80</f>
        <v>Kuwait</v>
      </c>
      <c r="B80" s="120">
        <f>VLOOKUP(A80,'Country GDP'!$A$2:$B$181,2,FALSE)</f>
        <v>11000</v>
      </c>
      <c r="C80" s="9" t="str">
        <f>VLOOKUP(A80,'Sovereign Ratings (Moody''s,S&amp;P)'!$A$2:$D$158,4,FALSE)</f>
        <v>A1</v>
      </c>
      <c r="D80" s="11">
        <f>VLOOKUP(A80,'10-year CDS Spreads'!$A$2:$C$158,3,FALSE)</f>
        <v>9.4000000000000004E-3</v>
      </c>
      <c r="E80" s="21">
        <f>VLOOKUP(A80,'ERPs by country'!$A$8:$F$164,4,FALSE)</f>
        <v>6.9842548970989338E-3</v>
      </c>
      <c r="F80" s="10">
        <f>VLOOKUP(A80,'ERPs by country'!$A$8:$F$164,5,FALSE)</f>
        <v>5.028425489709893E-2</v>
      </c>
      <c r="G80" s="14">
        <f>VLOOKUP(A80,'ERPs by country'!$A$8:$F$164,6,FALSE)</f>
        <v>6.9842548970989338E-3</v>
      </c>
      <c r="H80" s="14">
        <f>VLOOKUP(A80,'Country Tax Rates'!$A$2:$B$159,2,FALSE)</f>
        <v>0.15</v>
      </c>
      <c r="I80" s="15" t="str">
        <f>VLOOKUP(A80,'Regional lookup table'!$A$2:$B$162,2,FALSE)</f>
        <v>Middle East</v>
      </c>
    </row>
    <row r="81" spans="1:9" ht="15.5">
      <c r="A81" s="8" t="str">
        <f>'Sovereign Ratings (Moody''s,S&amp;P)'!A81</f>
        <v>Kyrgyzstan</v>
      </c>
      <c r="B81" s="120">
        <f>VLOOKUP(A81,'Country GDP'!$A$2:$B$181,2,FALSE)</f>
        <v>13987.627908838138</v>
      </c>
      <c r="C81" s="9" t="str">
        <f>VLOOKUP(A81,'Sovereign Ratings (Moody''s,S&amp;P)'!$A$2:$D$158,4,FALSE)</f>
        <v>B3</v>
      </c>
      <c r="D81" s="11" t="str">
        <f>VLOOKUP(A81,'10-year CDS Spreads'!$A$2:$C$158,3,FALSE)</f>
        <v>NA</v>
      </c>
      <c r="E81" s="21">
        <f>VLOOKUP(A81,'ERPs by country'!$A$8:$F$164,4,FALSE)</f>
        <v>6.4371549301595152E-2</v>
      </c>
      <c r="F81" s="10">
        <f>VLOOKUP(A81,'ERPs by country'!$A$8:$F$164,5,FALSE)</f>
        <v>0.10767154930159514</v>
      </c>
      <c r="G81" s="14">
        <f>VLOOKUP(A81,'ERPs by country'!$A$8:$F$164,6,FALSE)</f>
        <v>6.4371549301595152E-2</v>
      </c>
      <c r="H81" s="14">
        <f>VLOOKUP(A81,'Country Tax Rates'!$A$2:$B$159,2,FALSE)</f>
        <v>0.1</v>
      </c>
      <c r="I81" s="15" t="str">
        <f>VLOOKUP(A81,'Regional lookup table'!$A$2:$B$162,2,FALSE)</f>
        <v>Eastern Europe &amp; Russia</v>
      </c>
    </row>
    <row r="82" spans="1:9" ht="15.5">
      <c r="A82" s="8" t="str">
        <f>'Sovereign Ratings (Moody''s,S&amp;P)'!A82</f>
        <v>Laos</v>
      </c>
      <c r="B82" s="120">
        <f>VLOOKUP(A82,'Country GDP'!$A$2:$B$181,2,FALSE)</f>
        <v>15843.155731255179</v>
      </c>
      <c r="C82" s="9" t="str">
        <f>VLOOKUP(A82,'Sovereign Ratings (Moody''s,S&amp;P)'!$A$2:$D$158,4,FALSE)</f>
        <v>Caa3</v>
      </c>
      <c r="D82" s="11" t="str">
        <f>VLOOKUP(A82,'10-year CDS Spreads'!$A$2:$C$158,3,FALSE)</f>
        <v>NA</v>
      </c>
      <c r="E82" s="21">
        <f>VLOOKUP(A82,'ERPs by country'!$A$8:$F$164,4,FALSE)</f>
        <v>9.9060015290519873E-2</v>
      </c>
      <c r="F82" s="10">
        <f>VLOOKUP(A82,'ERPs by country'!$A$8:$F$164,5,FALSE)</f>
        <v>0.14236001529051986</v>
      </c>
      <c r="G82" s="14">
        <f>VLOOKUP(A82,'ERPs by country'!$A$8:$F$164,6,FALSE)</f>
        <v>9.9060015290519873E-2</v>
      </c>
      <c r="H82" s="14">
        <f>VLOOKUP(A82,'Country Tax Rates'!$A$2:$B$159,2,FALSE)</f>
        <v>0.26860000000000001</v>
      </c>
      <c r="I82" s="15" t="str">
        <f>VLOOKUP(A82,'Regional lookup table'!$A$2:$B$162,2,FALSE)</f>
        <v>Asia</v>
      </c>
    </row>
    <row r="83" spans="1:9" ht="15.5">
      <c r="A83" s="8" t="str">
        <f>'Sovereign Ratings (Moody''s,S&amp;P)'!A83</f>
        <v>Latvia</v>
      </c>
      <c r="B83" s="120">
        <f>VLOOKUP(A83,'Country GDP'!$A$2:$B$181,2,FALSE)</f>
        <v>43627.078481287048</v>
      </c>
      <c r="C83" s="9" t="str">
        <f>VLOOKUP(A83,'Sovereign Ratings (Moody''s,S&amp;P)'!$A$2:$D$158,4,FALSE)</f>
        <v>A3</v>
      </c>
      <c r="D83" s="11">
        <f>VLOOKUP(A83,'10-year CDS Spreads'!$A$2:$C$158,3,FALSE)</f>
        <v>8.5000000000000006E-3</v>
      </c>
      <c r="E83" s="21">
        <f>VLOOKUP(A83,'ERPs by country'!$A$8:$F$164,4,FALSE)</f>
        <v>1.1873233325068186E-2</v>
      </c>
      <c r="F83" s="10">
        <f>VLOOKUP(A83,'ERPs by country'!$A$8:$F$164,5,FALSE)</f>
        <v>5.5173233325068183E-2</v>
      </c>
      <c r="G83" s="14">
        <f>VLOOKUP(A83,'ERPs by country'!$A$8:$F$164,6,FALSE)</f>
        <v>1.1873233325068186E-2</v>
      </c>
      <c r="H83" s="14">
        <f>VLOOKUP(A83,'Country Tax Rates'!$A$2:$B$159,2,FALSE)</f>
        <v>0.2</v>
      </c>
      <c r="I83" s="15" t="str">
        <f>VLOOKUP(A83,'Regional lookup table'!$A$2:$B$162,2,FALSE)</f>
        <v>Eastern Europe &amp; Russia</v>
      </c>
    </row>
    <row r="84" spans="1:9" ht="15.5">
      <c r="A84" s="8" t="str">
        <f>'Sovereign Ratings (Moody''s,S&amp;P)'!A84</f>
        <v>Lebanon</v>
      </c>
      <c r="B84" s="120">
        <f>VLOOKUP(A84,'Country GDP'!$A$2:$B$181,2,FALSE)</f>
        <v>17937.256175140981</v>
      </c>
      <c r="C84" s="9" t="str">
        <f>VLOOKUP(A84,'Sovereign Ratings (Moody''s,S&amp;P)'!$A$2:$D$158,4,FALSE)</f>
        <v>C</v>
      </c>
      <c r="D84" s="11" t="str">
        <f>VLOOKUP(A84,'10-year CDS Spreads'!$A$2:$C$158,3,FALSE)</f>
        <v>NA</v>
      </c>
      <c r="E84" s="21">
        <f>VLOOKUP(A84,'ERPs by country'!$A$8:$F$164,4,FALSE)</f>
        <v>0.17499999999999999</v>
      </c>
      <c r="F84" s="10">
        <f>VLOOKUP(A84,'ERPs by country'!$A$8:$F$164,5,FALSE)</f>
        <v>0.21829999999999999</v>
      </c>
      <c r="G84" s="14">
        <f>VLOOKUP(A84,'ERPs by country'!$A$8:$F$164,6,FALSE)</f>
        <v>0.17499999999999999</v>
      </c>
      <c r="H84" s="14">
        <f>VLOOKUP(A84,'Country Tax Rates'!$A$2:$B$159,2,FALSE)</f>
        <v>0.17</v>
      </c>
      <c r="I84" s="15" t="str">
        <f>VLOOKUP(A84,'Regional lookup table'!$A$2:$B$162,2,FALSE)</f>
        <v>Middle East</v>
      </c>
    </row>
    <row r="85" spans="1:9" ht="15.5">
      <c r="A85" s="8" t="str">
        <f>'Sovereign Ratings (Moody''s,S&amp;P)'!A85</f>
        <v>Liechtenstein</v>
      </c>
      <c r="B85" s="120">
        <f>VLOOKUP(A85,'Country GDP'!$A$2:$B$181,2,FALSE)</f>
        <v>7364.6545151398359</v>
      </c>
      <c r="C85" s="9" t="str">
        <f>VLOOKUP(A85,'Sovereign Ratings (Moody''s,S&amp;P)'!$A$2:$D$158,4,FALSE)</f>
        <v>Aaa</v>
      </c>
      <c r="D85" s="11" t="str">
        <f>VLOOKUP(A85,'10-year CDS Spreads'!$A$2:$C$158,3,FALSE)</f>
        <v>NA</v>
      </c>
      <c r="E85" s="21">
        <f>VLOOKUP(A85,'ERPs by country'!$A$8:$F$164,4,FALSE)</f>
        <v>0</v>
      </c>
      <c r="F85" s="10">
        <f>VLOOKUP(A85,'ERPs by country'!$A$8:$F$164,5,FALSE)</f>
        <v>4.3299999999999998E-2</v>
      </c>
      <c r="G85" s="14">
        <f>VLOOKUP(A85,'ERPs by country'!$A$8:$F$164,6,FALSE)</f>
        <v>0</v>
      </c>
      <c r="H85" s="14">
        <f>VLOOKUP(A85,'Country Tax Rates'!$A$2:$B$159,2,FALSE)</f>
        <v>0.125</v>
      </c>
      <c r="I85" s="15" t="str">
        <f>VLOOKUP(A85,'Regional lookup table'!$A$2:$B$162,2,FALSE)</f>
        <v>Western Europe</v>
      </c>
    </row>
    <row r="86" spans="1:9" ht="15.5">
      <c r="A86" s="8" t="str">
        <f>'Sovereign Ratings (Moody''s,S&amp;P)'!A86</f>
        <v>Lithuania</v>
      </c>
      <c r="B86" s="120">
        <f>VLOOKUP(A86,'Country GDP'!$A$2:$B$181,2,FALSE)</f>
        <v>77836.396962771963</v>
      </c>
      <c r="C86" s="9" t="str">
        <f>VLOOKUP(A86,'Sovereign Ratings (Moody''s,S&amp;P)'!$A$2:$D$158,4,FALSE)</f>
        <v>A2</v>
      </c>
      <c r="D86" s="11">
        <f>VLOOKUP(A86,'10-year CDS Spreads'!$A$2:$C$158,3,FALSE)</f>
        <v>9.5999999999999992E-3</v>
      </c>
      <c r="E86" s="21">
        <f>VLOOKUP(A86,'ERPs by country'!$A$8:$F$164,4,FALSE)</f>
        <v>8.3811058765187203E-3</v>
      </c>
      <c r="F86" s="10">
        <f>VLOOKUP(A86,'ERPs by country'!$A$8:$F$164,5,FALSE)</f>
        <v>5.1681105876518717E-2</v>
      </c>
      <c r="G86" s="14">
        <f>VLOOKUP(A86,'ERPs by country'!$A$8:$F$164,6,FALSE)</f>
        <v>8.3811058765187203E-3</v>
      </c>
      <c r="H86" s="14">
        <f>VLOOKUP(A86,'Country Tax Rates'!$A$2:$B$159,2,FALSE)</f>
        <v>0.15</v>
      </c>
      <c r="I86" s="15" t="str">
        <f>VLOOKUP(A86,'Regional lookup table'!$A$2:$B$162,2,FALSE)</f>
        <v>Eastern Europe &amp; Russia</v>
      </c>
    </row>
    <row r="87" spans="1:9" ht="15.5">
      <c r="A87" s="8" t="str">
        <f>'Sovereign Ratings (Moody''s,S&amp;P)'!A87</f>
        <v>Luxembourg</v>
      </c>
      <c r="B87" s="120">
        <f>VLOOKUP(A87,'Country GDP'!$A$2:$B$181,2,FALSE)</f>
        <v>85755.006123597588</v>
      </c>
      <c r="C87" s="9" t="str">
        <f>VLOOKUP(A87,'Sovereign Ratings (Moody''s,S&amp;P)'!$A$2:$D$158,4,FALSE)</f>
        <v>Aaa</v>
      </c>
      <c r="D87" s="11" t="str">
        <f>VLOOKUP(A87,'10-year CDS Spreads'!$A$2:$C$158,3,FALSE)</f>
        <v>NA</v>
      </c>
      <c r="E87" s="21">
        <f>VLOOKUP(A87,'ERPs by country'!$A$8:$F$164,4,FALSE)</f>
        <v>0</v>
      </c>
      <c r="F87" s="10">
        <f>VLOOKUP(A87,'ERPs by country'!$A$8:$F$164,5,FALSE)</f>
        <v>4.3299999999999998E-2</v>
      </c>
      <c r="G87" s="14">
        <f>VLOOKUP(A87,'ERPs by country'!$A$8:$F$164,6,FALSE)</f>
        <v>0</v>
      </c>
      <c r="H87" s="14">
        <f>VLOOKUP(A87,'Country Tax Rates'!$A$2:$B$159,2,FALSE)</f>
        <v>0.24940000000000001</v>
      </c>
      <c r="I87" s="15" t="str">
        <f>VLOOKUP(A87,'Regional lookup table'!$A$2:$B$162,2,FALSE)</f>
        <v>Western Europe</v>
      </c>
    </row>
    <row r="88" spans="1:9" ht="15.5">
      <c r="A88" s="8" t="str">
        <f>'Sovereign Ratings (Moody''s,S&amp;P)'!A88</f>
        <v>Macao</v>
      </c>
      <c r="B88" s="120">
        <f>VLOOKUP(A88,'Country GDP'!$A$2:$B$181,2,FALSE)</f>
        <v>47061.843715856485</v>
      </c>
      <c r="C88" s="9" t="str">
        <f>VLOOKUP(A88,'Sovereign Ratings (Moody''s,S&amp;P)'!$A$2:$D$158,4,FALSE)</f>
        <v>Aa3</v>
      </c>
      <c r="D88" s="11" t="str">
        <f>VLOOKUP(A88,'10-year CDS Spreads'!$A$2:$C$158,3,FALSE)</f>
        <v>NA</v>
      </c>
      <c r="E88" s="21">
        <f>VLOOKUP(A88,'ERPs by country'!$A$8:$F$164,4,FALSE)</f>
        <v>5.9366166625340932E-3</v>
      </c>
      <c r="F88" s="10">
        <f>VLOOKUP(A88,'ERPs by country'!$A$8:$F$164,5,FALSE)</f>
        <v>4.9236616662534094E-2</v>
      </c>
      <c r="G88" s="14">
        <f>VLOOKUP(A88,'ERPs by country'!$A$8:$F$164,6,FALSE)</f>
        <v>5.9366166625340932E-3</v>
      </c>
      <c r="H88" s="14">
        <f>VLOOKUP(A88,'Country Tax Rates'!$A$2:$B$159,2,FALSE)</f>
        <v>0.26860000000000001</v>
      </c>
      <c r="I88" s="15" t="str">
        <f>VLOOKUP(A88,'Regional lookup table'!$A$2:$B$162,2,FALSE)</f>
        <v>Asia</v>
      </c>
    </row>
    <row r="89" spans="1:9" ht="15.5">
      <c r="A89" s="8" t="str">
        <f>'Sovereign Ratings (Moody''s,S&amp;P)'!A89</f>
        <v>Macedonia</v>
      </c>
      <c r="B89" s="120">
        <f>VLOOKUP(A89,'Country GDP'!$A$2:$B$181,2,FALSE)</f>
        <v>14761.237042205697</v>
      </c>
      <c r="C89" s="9" t="str">
        <f>VLOOKUP(A89,'Sovereign Ratings (Moody''s,S&amp;P)'!$A$2:$D$158,4,FALSE)</f>
        <v>Ba3</v>
      </c>
      <c r="D89" s="11" t="str">
        <f>VLOOKUP(A89,'10-year CDS Spreads'!$A$2:$C$158,3,FALSE)</f>
        <v>NA</v>
      </c>
      <c r="E89" s="21">
        <f>VLOOKUP(A89,'ERPs by country'!$A$8:$F$164,4,FALSE)</f>
        <v>3.5619699975204554E-2</v>
      </c>
      <c r="F89" s="10">
        <f>VLOOKUP(A89,'ERPs by country'!$A$8:$F$164,5,FALSE)</f>
        <v>7.8919699975204552E-2</v>
      </c>
      <c r="G89" s="14">
        <f>VLOOKUP(A89,'ERPs by country'!$A$8:$F$164,6,FALSE)</f>
        <v>3.5619699975204554E-2</v>
      </c>
      <c r="H89" s="14">
        <f>VLOOKUP(A89,'Country Tax Rates'!$A$2:$B$159,2,FALSE)</f>
        <v>0.1</v>
      </c>
      <c r="I89" s="15" t="str">
        <f>VLOOKUP(A89,'Regional lookup table'!$A$2:$B$162,2,FALSE)</f>
        <v>Eastern Europe &amp; Russia</v>
      </c>
    </row>
    <row r="90" spans="1:9" ht="15.5">
      <c r="A90" s="8" t="str">
        <f>'Sovereign Ratings (Moody''s,S&amp;P)'!A90</f>
        <v>Malaysia</v>
      </c>
      <c r="B90" s="120">
        <f>VLOOKUP(A90,'Country GDP'!$A$2:$B$181,2,FALSE)</f>
        <v>399648.82854650426</v>
      </c>
      <c r="C90" s="9" t="str">
        <f>VLOOKUP(A90,'Sovereign Ratings (Moody''s,S&amp;P)'!$A$2:$D$158,4,FALSE)</f>
        <v>A3</v>
      </c>
      <c r="D90" s="11">
        <f>VLOOKUP(A90,'10-year CDS Spreads'!$A$2:$C$158,3,FALSE)</f>
        <v>8.5000000000000006E-3</v>
      </c>
      <c r="E90" s="21">
        <f>VLOOKUP(A90,'ERPs by country'!$A$8:$F$164,4,FALSE)</f>
        <v>1.1873233325068186E-2</v>
      </c>
      <c r="F90" s="10">
        <f>VLOOKUP(A90,'ERPs by country'!$A$8:$F$164,5,FALSE)</f>
        <v>5.5173233325068183E-2</v>
      </c>
      <c r="G90" s="14">
        <f>VLOOKUP(A90,'ERPs by country'!$A$8:$F$164,6,FALSE)</f>
        <v>1.1873233325068186E-2</v>
      </c>
      <c r="H90" s="14">
        <f>VLOOKUP(A90,'Country Tax Rates'!$A$2:$B$159,2,FALSE)</f>
        <v>0.24</v>
      </c>
      <c r="I90" s="15" t="str">
        <f>VLOOKUP(A90,'Regional lookup table'!$A$2:$B$162,2,FALSE)</f>
        <v>Asia</v>
      </c>
    </row>
    <row r="91" spans="1:9" ht="15.5">
      <c r="A91" s="8" t="str">
        <f>'Sovereign Ratings (Moody''s,S&amp;P)'!A91</f>
        <v>Maldives</v>
      </c>
      <c r="B91" s="120">
        <f>VLOOKUP(A91,'Country GDP'!$A$2:$B$181,2,FALSE)</f>
        <v>6600</v>
      </c>
      <c r="C91" s="9" t="str">
        <f>VLOOKUP(A91,'Sovereign Ratings (Moody''s,S&amp;P)'!$A$2:$D$158,4,FALSE)</f>
        <v>Caa2</v>
      </c>
      <c r="D91" s="11" t="str">
        <f>VLOOKUP(A91,'10-year CDS Spreads'!$A$2:$C$158,3,FALSE)</f>
        <v>NA</v>
      </c>
      <c r="E91" s="21">
        <f>VLOOKUP(A91,'ERPs by country'!$A$8:$F$164,4,FALSE)</f>
        <v>8.9165654186296364E-2</v>
      </c>
      <c r="F91" s="10">
        <f>VLOOKUP(A91,'ERPs by country'!$A$8:$F$164,5,FALSE)</f>
        <v>0.13246565418629636</v>
      </c>
      <c r="G91" s="14">
        <f>VLOOKUP(A91,'ERPs by country'!$A$8:$F$164,6,FALSE)</f>
        <v>8.9165654186296364E-2</v>
      </c>
      <c r="H91" s="14">
        <f>VLOOKUP(A91,'Country Tax Rates'!$A$2:$B$159,2,FALSE)</f>
        <v>0.26860000000000001</v>
      </c>
      <c r="I91" s="15" t="str">
        <f>VLOOKUP(A91,'Regional lookup table'!$A$2:$B$162,2,FALSE)</f>
        <v>Asia</v>
      </c>
    </row>
    <row r="92" spans="1:9" ht="15.5">
      <c r="A92" s="8" t="str">
        <f>'Sovereign Ratings (Moody''s,S&amp;P)'!A92</f>
        <v>Mali</v>
      </c>
      <c r="B92" s="120">
        <f>VLOOKUP(A92,'Country GDP'!$A$2:$B$181,2,FALSE)</f>
        <v>20904.898296250143</v>
      </c>
      <c r="C92" s="9" t="str">
        <f>VLOOKUP(A92,'Sovereign Ratings (Moody''s,S&amp;P)'!$A$2:$D$158,4,FALSE)</f>
        <v>Caa2</v>
      </c>
      <c r="D92" s="11" t="str">
        <f>VLOOKUP(A92,'10-year CDS Spreads'!$A$2:$C$158,3,FALSE)</f>
        <v>NA</v>
      </c>
      <c r="E92" s="21">
        <f>VLOOKUP(A92,'ERPs by country'!$A$8:$F$164,4,FALSE)</f>
        <v>8.9165654186296364E-2</v>
      </c>
      <c r="F92" s="10">
        <f>VLOOKUP(A92,'ERPs by country'!$A$8:$F$164,5,FALSE)</f>
        <v>0.13246565418629636</v>
      </c>
      <c r="G92" s="14">
        <f>VLOOKUP(A92,'ERPs by country'!$A$8:$F$164,6,FALSE)</f>
        <v>8.9165654186296364E-2</v>
      </c>
      <c r="H92" s="14">
        <f>VLOOKUP(A92,'Country Tax Rates'!$A$2:$B$159,2,FALSE)</f>
        <v>0.26860000000000001</v>
      </c>
      <c r="I92" s="15" t="str">
        <f>VLOOKUP(A92,'Regional lookup table'!$A$2:$B$162,2,FALSE)</f>
        <v>Africa</v>
      </c>
    </row>
    <row r="93" spans="1:9" ht="15.5">
      <c r="A93" s="8" t="str">
        <f>'Sovereign Ratings (Moody''s,S&amp;P)'!A93</f>
        <v>Malta</v>
      </c>
      <c r="B93" s="120">
        <f>VLOOKUP(A93,'Country GDP'!$A$2:$B$181,2,FALSE)</f>
        <v>20956.999452431664</v>
      </c>
      <c r="C93" s="9" t="str">
        <f>VLOOKUP(A93,'Sovereign Ratings (Moody''s,S&amp;P)'!$A$2:$D$158,4,FALSE)</f>
        <v>A2</v>
      </c>
      <c r="D93" s="11" t="str">
        <f>VLOOKUP(A93,'10-year CDS Spreads'!$A$2:$C$158,3,FALSE)</f>
        <v>NA</v>
      </c>
      <c r="E93" s="21">
        <f>VLOOKUP(A93,'ERPs by country'!$A$8:$F$164,4,FALSE)</f>
        <v>8.3811058765187203E-3</v>
      </c>
      <c r="F93" s="10">
        <f>VLOOKUP(A93,'ERPs by country'!$A$8:$F$164,5,FALSE)</f>
        <v>5.1681105876518717E-2</v>
      </c>
      <c r="G93" s="14">
        <f>VLOOKUP(A93,'ERPs by country'!$A$8:$F$164,6,FALSE)</f>
        <v>8.3811058765187203E-3</v>
      </c>
      <c r="H93" s="14">
        <f>VLOOKUP(A93,'Country Tax Rates'!$A$2:$B$159,2,FALSE)</f>
        <v>0.35</v>
      </c>
      <c r="I93" s="15" t="str">
        <f>VLOOKUP(A93,'Regional lookup table'!$A$2:$B$162,2,FALSE)</f>
        <v>Western Europe</v>
      </c>
    </row>
    <row r="94" spans="1:9" ht="15.5">
      <c r="A94" s="8" t="str">
        <f>'Sovereign Ratings (Moody''s,S&amp;P)'!A94</f>
        <v>Mauritius</v>
      </c>
      <c r="B94" s="120">
        <f>VLOOKUP(A94,'Country GDP'!$A$2:$B$181,2,FALSE)</f>
        <v>14397.127281382942</v>
      </c>
      <c r="C94" s="9" t="str">
        <f>VLOOKUP(A94,'Sovereign Ratings (Moody''s,S&amp;P)'!$A$2:$D$158,4,FALSE)</f>
        <v>Baa3</v>
      </c>
      <c r="D94" s="11" t="str">
        <f>VLOOKUP(A94,'10-year CDS Spreads'!$A$2:$C$158,3,FALSE)</f>
        <v>NA</v>
      </c>
      <c r="E94" s="21">
        <f>VLOOKUP(A94,'ERPs by country'!$A$8:$F$164,4,FALSE)</f>
        <v>2.1767594429291676E-2</v>
      </c>
      <c r="F94" s="10">
        <f>VLOOKUP(A94,'ERPs by country'!$A$8:$F$164,5,FALSE)</f>
        <v>6.5067594429291678E-2</v>
      </c>
      <c r="G94" s="14">
        <f>VLOOKUP(A94,'ERPs by country'!$A$8:$F$164,6,FALSE)</f>
        <v>2.1767594429291676E-2</v>
      </c>
      <c r="H94" s="14">
        <f>VLOOKUP(A94,'Country Tax Rates'!$A$2:$B$159,2,FALSE)</f>
        <v>0.15</v>
      </c>
      <c r="I94" s="15" t="str">
        <f>VLOOKUP(A94,'Regional lookup table'!$A$2:$B$162,2,FALSE)</f>
        <v>Africa</v>
      </c>
    </row>
    <row r="95" spans="1:9" ht="15.5">
      <c r="A95" s="8" t="str">
        <f>'Sovereign Ratings (Moody''s,S&amp;P)'!A95</f>
        <v>Mexico</v>
      </c>
      <c r="B95" s="120">
        <f>VLOOKUP(A95,'Country GDP'!$A$2:$B$181,2,FALSE)</f>
        <v>1788886.8210468132</v>
      </c>
      <c r="C95" s="9" t="str">
        <f>VLOOKUP(A95,'Sovereign Ratings (Moody''s,S&amp;P)'!$A$2:$D$158,4,FALSE)</f>
        <v>Baa2</v>
      </c>
      <c r="D95" s="11">
        <f>VLOOKUP(A95,'10-year CDS Spreads'!$A$2:$C$158,3,FALSE)</f>
        <v>2.2200000000000001E-2</v>
      </c>
      <c r="E95" s="21">
        <f>VLOOKUP(A95,'ERPs by country'!$A$8:$F$164,4,FALSE)</f>
        <v>1.885748822216712E-2</v>
      </c>
      <c r="F95" s="10">
        <f>VLOOKUP(A95,'ERPs by country'!$A$8:$F$164,5,FALSE)</f>
        <v>6.2157488222167115E-2</v>
      </c>
      <c r="G95" s="14">
        <f>VLOOKUP(A95,'ERPs by country'!$A$8:$F$164,6,FALSE)</f>
        <v>1.885748822216712E-2</v>
      </c>
      <c r="H95" s="14">
        <f>VLOOKUP(A95,'Country Tax Rates'!$A$2:$B$159,2,FALSE)</f>
        <v>0.3</v>
      </c>
      <c r="I95" s="15" t="str">
        <f>VLOOKUP(A95,'Regional lookup table'!$A$2:$B$162,2,FALSE)</f>
        <v>Central and South America</v>
      </c>
    </row>
    <row r="96" spans="1:9" ht="15.5">
      <c r="A96" s="8" t="str">
        <f>'Sovereign Ratings (Moody''s,S&amp;P)'!A96</f>
        <v>Moldova</v>
      </c>
      <c r="B96" s="120">
        <f>VLOOKUP(A96,'Country GDP'!$A$2:$B$181,2,FALSE)</f>
        <v>16539.436547294972</v>
      </c>
      <c r="C96" s="9" t="str">
        <f>VLOOKUP(A96,'Sovereign Ratings (Moody''s,S&amp;P)'!$A$2:$D$158,4,FALSE)</f>
        <v>B3</v>
      </c>
      <c r="D96" s="11" t="str">
        <f>VLOOKUP(A96,'10-year CDS Spreads'!$A$2:$C$158,3,FALSE)</f>
        <v>NA</v>
      </c>
      <c r="E96" s="21">
        <f>VLOOKUP(A96,'ERPs by country'!$A$8:$F$164,4,FALSE)</f>
        <v>6.4371549301595152E-2</v>
      </c>
      <c r="F96" s="10">
        <f>VLOOKUP(A96,'ERPs by country'!$A$8:$F$164,5,FALSE)</f>
        <v>0.10767154930159514</v>
      </c>
      <c r="G96" s="14">
        <f>VLOOKUP(A96,'ERPs by country'!$A$8:$F$164,6,FALSE)</f>
        <v>6.4371549301595152E-2</v>
      </c>
      <c r="H96" s="14">
        <f>VLOOKUP(A96,'Country Tax Rates'!$A$2:$B$159,2,FALSE)</f>
        <v>0.12</v>
      </c>
      <c r="I96" s="15" t="str">
        <f>VLOOKUP(A96,'Regional lookup table'!$A$2:$B$162,2,FALSE)</f>
        <v>Eastern Europe &amp; Russia</v>
      </c>
    </row>
    <row r="97" spans="1:9" ht="15.5">
      <c r="A97" s="8" t="str">
        <f>'Sovereign Ratings (Moody''s,S&amp;P)'!A97</f>
        <v>Mongolia</v>
      </c>
      <c r="B97" s="120">
        <f>VLOOKUP(A97,'Country GDP'!$A$2:$B$181,2,FALSE)</f>
        <v>19872.180369627498</v>
      </c>
      <c r="C97" s="9" t="str">
        <f>VLOOKUP(A97,'Sovereign Ratings (Moody''s,S&amp;P)'!$A$2:$D$158,4,FALSE)</f>
        <v>B2</v>
      </c>
      <c r="D97" s="11" t="str">
        <f>VLOOKUP(A97,'10-year CDS Spreads'!$A$2:$C$158,3,FALSE)</f>
        <v>NA</v>
      </c>
      <c r="E97" s="21">
        <f>VLOOKUP(A97,'ERPs by country'!$A$8:$F$164,4,FALSE)</f>
        <v>5.4477188197371677E-2</v>
      </c>
      <c r="F97" s="10">
        <f>VLOOKUP(A97,'ERPs by country'!$A$8:$F$164,5,FALSE)</f>
        <v>9.7777188197371676E-2</v>
      </c>
      <c r="G97" s="14">
        <f>VLOOKUP(A97,'ERPs by country'!$A$8:$F$164,6,FALSE)</f>
        <v>5.4477188197371677E-2</v>
      </c>
      <c r="H97" s="14">
        <f>VLOOKUP(A97,'Country Tax Rates'!$A$2:$B$159,2,FALSE)</f>
        <v>0.25</v>
      </c>
      <c r="I97" s="15" t="str">
        <f>VLOOKUP(A97,'Regional lookup table'!$A$2:$B$162,2,FALSE)</f>
        <v>Asia</v>
      </c>
    </row>
    <row r="98" spans="1:9" ht="15.5">
      <c r="A98" s="8" t="str">
        <f>'Sovereign Ratings (Moody''s,S&amp;P)'!A98</f>
        <v>Montenegro</v>
      </c>
      <c r="B98" s="120">
        <f>VLOOKUP(A98,'Country GDP'!$A$2:$B$181,2,FALSE)</f>
        <v>7404.5419645077918</v>
      </c>
      <c r="C98" s="9" t="str">
        <f>VLOOKUP(A98,'Sovereign Ratings (Moody''s,S&amp;P)'!$A$2:$D$158,4,FALSE)</f>
        <v>B1</v>
      </c>
      <c r="D98" s="11" t="str">
        <f>VLOOKUP(A98,'10-year CDS Spreads'!$A$2:$C$158,3,FALSE)</f>
        <v>NA</v>
      </c>
      <c r="E98" s="21">
        <f>VLOOKUP(A98,'ERPs by country'!$A$8:$F$164,4,FALSE)</f>
        <v>4.4582827093148182E-2</v>
      </c>
      <c r="F98" s="10">
        <f>VLOOKUP(A98,'ERPs by country'!$A$8:$F$164,5,FALSE)</f>
        <v>8.788282709314818E-2</v>
      </c>
      <c r="G98" s="14">
        <f>VLOOKUP(A98,'ERPs by country'!$A$8:$F$164,6,FALSE)</f>
        <v>4.4582827093148182E-2</v>
      </c>
      <c r="H98" s="14">
        <f>VLOOKUP(A98,'Country Tax Rates'!$A$2:$B$159,2,FALSE)</f>
        <v>0.15</v>
      </c>
      <c r="I98" s="15" t="str">
        <f>VLOOKUP(A98,'Regional lookup table'!$A$2:$B$162,2,FALSE)</f>
        <v>Eastern Europe &amp; Russia</v>
      </c>
    </row>
    <row r="99" spans="1:9" ht="15.5">
      <c r="A99" s="8" t="str">
        <f>'Sovereign Ratings (Moody''s,S&amp;P)'!A99</f>
        <v>Montserrat</v>
      </c>
      <c r="B99" s="120">
        <f>VLOOKUP(A99,'Country GDP'!$A$2:$B$181,2,FALSE)</f>
        <v>16199</v>
      </c>
      <c r="C99" s="9" t="str">
        <f>VLOOKUP(A99,'Sovereign Ratings (Moody''s,S&amp;P)'!$A$2:$D$158,4,FALSE)</f>
        <v>Baa3</v>
      </c>
      <c r="D99" s="11" t="str">
        <f>VLOOKUP(A99,'10-year CDS Spreads'!$A$2:$C$158,3,FALSE)</f>
        <v>NA</v>
      </c>
      <c r="E99" s="21">
        <f>VLOOKUP(A99,'ERPs by country'!$A$8:$F$164,4,FALSE)</f>
        <v>2.1767594429291676E-2</v>
      </c>
      <c r="F99" s="10">
        <f>VLOOKUP(A99,'ERPs by country'!$A$8:$F$164,5,FALSE)</f>
        <v>6.5067594429291678E-2</v>
      </c>
      <c r="G99" s="14">
        <f>VLOOKUP(A99,'ERPs by country'!$A$8:$F$164,6,FALSE)</f>
        <v>2.1767594429291676E-2</v>
      </c>
      <c r="H99" s="14">
        <f>VLOOKUP(A99,'Country Tax Rates'!$A$2:$B$159,2,FALSE)</f>
        <v>0.2853</v>
      </c>
      <c r="I99" s="15" t="str">
        <f>VLOOKUP(A99,'Regional lookup table'!$A$2:$B$162,2,FALSE)</f>
        <v>Caribbean</v>
      </c>
    </row>
    <row r="100" spans="1:9" ht="15.5">
      <c r="A100" s="8" t="str">
        <f>'Sovereign Ratings (Moody''s,S&amp;P)'!A100</f>
        <v>Morocco</v>
      </c>
      <c r="B100" s="120">
        <f>VLOOKUP(A100,'Country GDP'!$A$2:$B$181,2,FALSE)</f>
        <v>141109.37320941436</v>
      </c>
      <c r="C100" s="9" t="str">
        <f>VLOOKUP(A100,'Sovereign Ratings (Moody''s,S&amp;P)'!$A$2:$D$158,4,FALSE)</f>
        <v>Ba1</v>
      </c>
      <c r="D100" s="11">
        <f>VLOOKUP(A100,'10-year CDS Spreads'!$A$2:$C$158,3,FALSE)</f>
        <v>1.5100000000000001E-2</v>
      </c>
      <c r="E100" s="21">
        <f>VLOOKUP(A100,'ERPs by country'!$A$8:$F$164,4,FALSE)</f>
        <v>2.4794104884701216E-2</v>
      </c>
      <c r="F100" s="10">
        <f>VLOOKUP(A100,'ERPs by country'!$A$8:$F$164,5,FALSE)</f>
        <v>6.8094104884701218E-2</v>
      </c>
      <c r="G100" s="14">
        <f>VLOOKUP(A100,'ERPs by country'!$A$8:$F$164,6,FALSE)</f>
        <v>2.4794104884701216E-2</v>
      </c>
      <c r="H100" s="14">
        <f>VLOOKUP(A100,'Country Tax Rates'!$A$2:$B$159,2,FALSE)</f>
        <v>0.32</v>
      </c>
      <c r="I100" s="15" t="str">
        <f>VLOOKUP(A100,'Regional lookup table'!$A$2:$B$162,2,FALSE)</f>
        <v>Africa</v>
      </c>
    </row>
    <row r="101" spans="1:9" ht="15.5">
      <c r="A101" s="8" t="str">
        <f>'Sovereign Ratings (Moody''s,S&amp;P)'!A101</f>
        <v>Mozambique</v>
      </c>
      <c r="B101" s="120">
        <f>VLOOKUP(A101,'Country GDP'!$A$2:$B$181,2,FALSE)</f>
        <v>20624.597846549506</v>
      </c>
      <c r="C101" s="9" t="str">
        <f>VLOOKUP(A101,'Sovereign Ratings (Moody''s,S&amp;P)'!$A$2:$D$158,4,FALSE)</f>
        <v>Caa2</v>
      </c>
      <c r="D101" s="11" t="str">
        <f>VLOOKUP(A101,'10-year CDS Spreads'!$A$2:$C$158,3,FALSE)</f>
        <v>NA</v>
      </c>
      <c r="E101" s="21">
        <f>VLOOKUP(A101,'ERPs by country'!$A$8:$F$164,4,FALSE)</f>
        <v>8.9165654186296364E-2</v>
      </c>
      <c r="F101" s="10">
        <f>VLOOKUP(A101,'ERPs by country'!$A$8:$F$164,5,FALSE)</f>
        <v>0.13246565418629636</v>
      </c>
      <c r="G101" s="14">
        <f>VLOOKUP(A101,'ERPs by country'!$A$8:$F$164,6,FALSE)</f>
        <v>8.9165654186296364E-2</v>
      </c>
      <c r="H101" s="14">
        <f>VLOOKUP(A101,'Country Tax Rates'!$A$2:$B$159,2,FALSE)</f>
        <v>0.32</v>
      </c>
      <c r="I101" s="15" t="str">
        <f>VLOOKUP(A101,'Regional lookup table'!$A$2:$B$162,2,FALSE)</f>
        <v>Africa</v>
      </c>
    </row>
    <row r="102" spans="1:9" ht="15.5">
      <c r="A102" s="8" t="str">
        <f>'Sovereign Ratings (Moody''s,S&amp;P)'!A102</f>
        <v>Namibia</v>
      </c>
      <c r="B102" s="120">
        <f>VLOOKUP(A102,'Country GDP'!$A$2:$B$181,2,FALSE)</f>
        <v>12351.024843746696</v>
      </c>
      <c r="C102" s="9" t="str">
        <f>VLOOKUP(A102,'Sovereign Ratings (Moody''s,S&amp;P)'!$A$2:$D$158,4,FALSE)</f>
        <v>B1</v>
      </c>
      <c r="D102" s="11" t="str">
        <f>VLOOKUP(A102,'10-year CDS Spreads'!$A$2:$C$158,3,FALSE)</f>
        <v>NA</v>
      </c>
      <c r="E102" s="21">
        <f>VLOOKUP(A102,'ERPs by country'!$A$8:$F$164,4,FALSE)</f>
        <v>4.4582827093148182E-2</v>
      </c>
      <c r="F102" s="10">
        <f>VLOOKUP(A102,'ERPs by country'!$A$8:$F$164,5,FALSE)</f>
        <v>8.788282709314818E-2</v>
      </c>
      <c r="G102" s="14">
        <f>VLOOKUP(A102,'ERPs by country'!$A$8:$F$164,6,FALSE)</f>
        <v>4.4582827093148182E-2</v>
      </c>
      <c r="H102" s="14">
        <f>VLOOKUP(A102,'Country Tax Rates'!$A$2:$B$159,2,FALSE)</f>
        <v>0.32</v>
      </c>
      <c r="I102" s="15" t="str">
        <f>VLOOKUP(A102,'Regional lookup table'!$A$2:$B$162,2,FALSE)</f>
        <v>Africa</v>
      </c>
    </row>
    <row r="103" spans="1:9" ht="15.5">
      <c r="A103" s="8" t="str">
        <f>'Sovereign Ratings (Moody''s,S&amp;P)'!A103</f>
        <v>Nepal</v>
      </c>
      <c r="B103" s="120">
        <f>VLOOKUP(A103,'Country GDP'!$A$2:$B$181,2,FALSE)</f>
        <v>40908.073366845521</v>
      </c>
      <c r="C103" s="9" t="str">
        <f>VLOOKUP(A103,'Sovereign Ratings (Moody''s,S&amp;P)'!$A$2:$D$158,4,FALSE)</f>
        <v>Ba3</v>
      </c>
      <c r="D103" s="11" t="str">
        <f>VLOOKUP(A103,'10-year CDS Spreads'!$A$2:$C$158,3,FALSE)</f>
        <v>NA</v>
      </c>
      <c r="E103" s="21">
        <f>VLOOKUP(A103,'ERPs by country'!$A$8:$F$164,4,FALSE)</f>
        <v>3.5619699975204554E-2</v>
      </c>
      <c r="F103" s="10">
        <f>VLOOKUP(A103,'ERPs by country'!$A$8:$F$164,5,FALSE)</f>
        <v>7.8919699975204552E-2</v>
      </c>
      <c r="G103" s="14">
        <f>VLOOKUP(A103,'ERPs by country'!$A$8:$F$164,6,FALSE)</f>
        <v>3.5619699975204554E-2</v>
      </c>
      <c r="H103" s="14">
        <f>VLOOKUP(A103,'Country Tax Rates'!$A$2:$B$159,2,FALSE)</f>
        <v>0.25</v>
      </c>
      <c r="I103" s="15" t="str">
        <f>VLOOKUP(A103,'Regional lookup table'!$A$2:$B$162,2,FALSE)</f>
        <v>Asia</v>
      </c>
    </row>
    <row r="104" spans="1:9" ht="15.5">
      <c r="A104" s="8" t="str">
        <f>'Sovereign Ratings (Moody''s,S&amp;P)'!A104</f>
        <v>Netherlands</v>
      </c>
      <c r="B104" s="120">
        <f>VLOOKUP(A104,'Country GDP'!$A$2:$B$181,2,FALSE)</f>
        <v>1118124.7498862941</v>
      </c>
      <c r="C104" s="9" t="str">
        <f>VLOOKUP(A104,'Sovereign Ratings (Moody''s,S&amp;P)'!$A$2:$D$158,4,FALSE)</f>
        <v>Aaa</v>
      </c>
      <c r="D104" s="11">
        <f>VLOOKUP(A104,'10-year CDS Spreads'!$A$2:$C$158,3,FALSE)</f>
        <v>2.5000000000000001E-3</v>
      </c>
      <c r="E104" s="21">
        <f>VLOOKUP(A104,'ERPs by country'!$A$8:$F$164,4,FALSE)</f>
        <v>0</v>
      </c>
      <c r="F104" s="10">
        <f>VLOOKUP(A104,'ERPs by country'!$A$8:$F$164,5,FALSE)</f>
        <v>4.3299999999999998E-2</v>
      </c>
      <c r="G104" s="14">
        <f>VLOOKUP(A104,'ERPs by country'!$A$8:$F$164,6,FALSE)</f>
        <v>0</v>
      </c>
      <c r="H104" s="14">
        <f>VLOOKUP(A104,'Country Tax Rates'!$A$2:$B$159,2,FALSE)</f>
        <v>0.25800000000000001</v>
      </c>
      <c r="I104" s="15" t="str">
        <f>VLOOKUP(A104,'Regional lookup table'!$A$2:$B$162,2,FALSE)</f>
        <v>Western Europe</v>
      </c>
    </row>
    <row r="105" spans="1:9" ht="15.5">
      <c r="A105" s="8" t="str">
        <f>'Sovereign Ratings (Moody''s,S&amp;P)'!A105</f>
        <v>New Zealand</v>
      </c>
      <c r="B105" s="120">
        <f>VLOOKUP(A105,'Country GDP'!$A$2:$B$181,2,FALSE)</f>
        <v>253465.70323214593</v>
      </c>
      <c r="C105" s="9" t="str">
        <f>VLOOKUP(A105,'Sovereign Ratings (Moody''s,S&amp;P)'!$A$2:$D$158,4,FALSE)</f>
        <v>Aaa</v>
      </c>
      <c r="D105" s="11">
        <f>VLOOKUP(A105,'10-year CDS Spreads'!$A$2:$C$158,3,FALSE)</f>
        <v>2E-3</v>
      </c>
      <c r="E105" s="21">
        <f>VLOOKUP(A105,'ERPs by country'!$A$8:$F$164,4,FALSE)</f>
        <v>0</v>
      </c>
      <c r="F105" s="10">
        <f>VLOOKUP(A105,'ERPs by country'!$A$8:$F$164,5,FALSE)</f>
        <v>4.3299999999999998E-2</v>
      </c>
      <c r="G105" s="14">
        <f>VLOOKUP(A105,'ERPs by country'!$A$8:$F$164,6,FALSE)</f>
        <v>0</v>
      </c>
      <c r="H105" s="14">
        <f>VLOOKUP(A105,'Country Tax Rates'!$A$2:$B$159,2,FALSE)</f>
        <v>0.28000000000000003</v>
      </c>
      <c r="I105" s="15" t="str">
        <f>VLOOKUP(A105,'Regional lookup table'!$A$2:$B$162,2,FALSE)</f>
        <v>Australia &amp; New Zealand</v>
      </c>
    </row>
    <row r="106" spans="1:9" ht="15.5">
      <c r="A106" s="8" t="str">
        <f>'Sovereign Ratings (Moody''s,S&amp;P)'!A106</f>
        <v>Nicaragua</v>
      </c>
      <c r="B106" s="120">
        <f>VLOOKUP(A106,'Country GDP'!$A$2:$B$181,2,FALSE)</f>
        <v>17829.215283799655</v>
      </c>
      <c r="C106" s="9" t="str">
        <f>VLOOKUP(A106,'Sovereign Ratings (Moody''s,S&amp;P)'!$A$2:$D$158,4,FALSE)</f>
        <v>B2</v>
      </c>
      <c r="D106" s="11">
        <f>VLOOKUP(A106,'10-year CDS Spreads'!$A$2:$C$158,3,FALSE)</f>
        <v>6.5699999999999995E-2</v>
      </c>
      <c r="E106" s="21">
        <f>VLOOKUP(A106,'ERPs by country'!$A$8:$F$164,4,FALSE)</f>
        <v>5.4477188197371677E-2</v>
      </c>
      <c r="F106" s="10">
        <f>VLOOKUP(A106,'ERPs by country'!$A$8:$F$164,5,FALSE)</f>
        <v>9.7777188197371676E-2</v>
      </c>
      <c r="G106" s="14">
        <f>VLOOKUP(A106,'ERPs by country'!$A$8:$F$164,6,FALSE)</f>
        <v>5.4477188197371677E-2</v>
      </c>
      <c r="H106" s="14">
        <f>VLOOKUP(A106,'Country Tax Rates'!$A$2:$B$159,2,FALSE)</f>
        <v>0.3</v>
      </c>
      <c r="I106" s="15" t="str">
        <f>VLOOKUP(A106,'Regional lookup table'!$A$2:$B$162,2,FALSE)</f>
        <v>Central and South America</v>
      </c>
    </row>
    <row r="107" spans="1:9" ht="15.5">
      <c r="A107" s="8" t="str">
        <f>'Sovereign Ratings (Moody''s,S&amp;P)'!A107</f>
        <v>Niger</v>
      </c>
      <c r="B107" s="120">
        <f>VLOOKUP(A107,'Country GDP'!$A$2:$B$181,2,FALSE)</f>
        <v>16819.170420565319</v>
      </c>
      <c r="C107" s="9" t="str">
        <f>VLOOKUP(A107,'Sovereign Ratings (Moody''s,S&amp;P)'!$A$2:$D$158,4,FALSE)</f>
        <v>Caa3</v>
      </c>
      <c r="D107" s="11" t="str">
        <f>VLOOKUP(A107,'10-year CDS Spreads'!$A$2:$C$158,3,FALSE)</f>
        <v>NA</v>
      </c>
      <c r="E107" s="21">
        <f>VLOOKUP(A107,'ERPs by country'!$A$8:$F$164,4,FALSE)</f>
        <v>9.9060015290519873E-2</v>
      </c>
      <c r="F107" s="10">
        <f>VLOOKUP(A107,'ERPs by country'!$A$8:$F$164,5,FALSE)</f>
        <v>0.14236001529051986</v>
      </c>
      <c r="G107" s="14">
        <f>VLOOKUP(A107,'ERPs by country'!$A$8:$F$164,6,FALSE)</f>
        <v>9.9060015290519873E-2</v>
      </c>
      <c r="H107" s="14">
        <f>VLOOKUP(A107,'Country Tax Rates'!$A$2:$B$159,2,FALSE)</f>
        <v>0.26860000000000001</v>
      </c>
      <c r="I107" s="15" t="str">
        <f>VLOOKUP(A107,'Regional lookup table'!$A$2:$B$162,2,FALSE)</f>
        <v>Africa</v>
      </c>
    </row>
    <row r="108" spans="1:9" ht="15.5">
      <c r="A108" s="8" t="str">
        <f>'Sovereign Ratings (Moody''s,S&amp;P)'!A108</f>
        <v>Nigeria</v>
      </c>
      <c r="B108" s="120">
        <f>VLOOKUP(A108,'Country GDP'!$A$2:$B$181,2,FALSE)</f>
        <v>362814.95169607276</v>
      </c>
      <c r="C108" s="9" t="str">
        <f>VLOOKUP(A108,'Sovereign Ratings (Moody''s,S&amp;P)'!$A$2:$D$158,4,FALSE)</f>
        <v>Caa1</v>
      </c>
      <c r="D108" s="11">
        <f>VLOOKUP(A108,'10-year CDS Spreads'!$A$2:$C$158,3,FALSE)</f>
        <v>6.4399999999999999E-2</v>
      </c>
      <c r="E108" s="21">
        <f>VLOOKUP(A108,'ERPs by country'!$A$8:$F$164,4,FALSE)</f>
        <v>7.4265910405818647E-2</v>
      </c>
      <c r="F108" s="10">
        <f>VLOOKUP(A108,'ERPs by country'!$A$8:$F$164,5,FALSE)</f>
        <v>0.11756591040581865</v>
      </c>
      <c r="G108" s="14">
        <f>VLOOKUP(A108,'ERPs by country'!$A$8:$F$164,6,FALSE)</f>
        <v>7.4265910405818647E-2</v>
      </c>
      <c r="H108" s="14">
        <f>VLOOKUP(A108,'Country Tax Rates'!$A$2:$B$159,2,FALSE)</f>
        <v>0.3</v>
      </c>
      <c r="I108" s="15" t="str">
        <f>VLOOKUP(A108,'Regional lookup table'!$A$2:$B$162,2,FALSE)</f>
        <v>Africa</v>
      </c>
    </row>
    <row r="109" spans="1:9" ht="15.5">
      <c r="A109" s="8" t="str">
        <f>'Sovereign Ratings (Moody''s,S&amp;P)'!A109</f>
        <v>Norway</v>
      </c>
      <c r="B109" s="120">
        <f>VLOOKUP(A109,'Country GDP'!$A$2:$B$181,2,FALSE)</f>
        <v>485513.31650363043</v>
      </c>
      <c r="C109" s="9" t="str">
        <f>VLOOKUP(A109,'Sovereign Ratings (Moody''s,S&amp;P)'!$A$2:$D$158,4,FALSE)</f>
        <v>Aaa</v>
      </c>
      <c r="D109" s="11">
        <f>VLOOKUP(A109,'10-year CDS Spreads'!$A$2:$C$158,3,FALSE)</f>
        <v>1.9E-3</v>
      </c>
      <c r="E109" s="21">
        <f>VLOOKUP(A109,'ERPs by country'!$A$8:$F$164,4,FALSE)</f>
        <v>0</v>
      </c>
      <c r="F109" s="10">
        <f>VLOOKUP(A109,'ERPs by country'!$A$8:$F$164,5,FALSE)</f>
        <v>4.3299999999999998E-2</v>
      </c>
      <c r="G109" s="14">
        <f>VLOOKUP(A109,'ERPs by country'!$A$8:$F$164,6,FALSE)</f>
        <v>0</v>
      </c>
      <c r="H109" s="14">
        <f>VLOOKUP(A109,'Country Tax Rates'!$A$2:$B$159,2,FALSE)</f>
        <v>0.22</v>
      </c>
      <c r="I109" s="15" t="str">
        <f>VLOOKUP(A109,'Regional lookup table'!$A$2:$B$162,2,FALSE)</f>
        <v>Western Europe</v>
      </c>
    </row>
    <row r="110" spans="1:9" ht="15.5">
      <c r="A110" s="8" t="str">
        <f>'Sovereign Ratings (Moody''s,S&amp;P)'!A110</f>
        <v>Oman</v>
      </c>
      <c r="B110" s="120">
        <f>VLOOKUP(A110,'Country GDP'!$A$2:$B$181,2,FALSE)</f>
        <v>108192.45773732119</v>
      </c>
      <c r="C110" s="9" t="str">
        <f>VLOOKUP(A110,'Sovereign Ratings (Moody''s,S&amp;P)'!$A$2:$D$158,4,FALSE)</f>
        <v>Ba1</v>
      </c>
      <c r="D110" s="11">
        <f>VLOOKUP(A110,'10-year CDS Spreads'!$A$2:$C$158,3,FALSE)</f>
        <v>1.6299999999999999E-2</v>
      </c>
      <c r="E110" s="21">
        <f>VLOOKUP(A110,'ERPs by country'!$A$8:$F$164,4,FALSE)</f>
        <v>2.4794104884701216E-2</v>
      </c>
      <c r="F110" s="10">
        <f>VLOOKUP(A110,'ERPs by country'!$A$8:$F$164,5,FALSE)</f>
        <v>6.8094104884701218E-2</v>
      </c>
      <c r="G110" s="14">
        <f>VLOOKUP(A110,'ERPs by country'!$A$8:$F$164,6,FALSE)</f>
        <v>2.4794104884701216E-2</v>
      </c>
      <c r="H110" s="14">
        <f>VLOOKUP(A110,'Country Tax Rates'!$A$2:$B$159,2,FALSE)</f>
        <v>0.15</v>
      </c>
      <c r="I110" s="15" t="str">
        <f>VLOOKUP(A110,'Regional lookup table'!$A$2:$B$162,2,FALSE)</f>
        <v>Middle East</v>
      </c>
    </row>
    <row r="111" spans="1:9" ht="15.5">
      <c r="A111" s="8" t="str">
        <f>'Sovereign Ratings (Moody''s,S&amp;P)'!A111</f>
        <v>Pakistan</v>
      </c>
      <c r="B111" s="120">
        <f>VLOOKUP(A111,'Country GDP'!$A$2:$B$181,2,FALSE)</f>
        <v>338368.45531787578</v>
      </c>
      <c r="C111" s="9" t="str">
        <f>VLOOKUP(A111,'Sovereign Ratings (Moody''s,S&amp;P)'!$A$2:$D$158,4,FALSE)</f>
        <v>Caa2</v>
      </c>
      <c r="D111" s="11">
        <f>VLOOKUP(A111,'10-year CDS Spreads'!$A$2:$C$158,3,FALSE)</f>
        <v>0.16489999999999999</v>
      </c>
      <c r="E111" s="21">
        <f>VLOOKUP(A111,'ERPs by country'!$A$8:$F$164,4,FALSE)</f>
        <v>8.9165654186296364E-2</v>
      </c>
      <c r="F111" s="10">
        <f>VLOOKUP(A111,'ERPs by country'!$A$8:$F$164,5,FALSE)</f>
        <v>0.13246565418629636</v>
      </c>
      <c r="G111" s="14">
        <f>VLOOKUP(A111,'ERPs by country'!$A$8:$F$164,6,FALSE)</f>
        <v>8.9165654186296364E-2</v>
      </c>
      <c r="H111" s="14">
        <f>VLOOKUP(A111,'Country Tax Rates'!$A$2:$B$159,2,FALSE)</f>
        <v>0.28999999999999998</v>
      </c>
      <c r="I111" s="15" t="str">
        <f>VLOOKUP(A111,'Regional lookup table'!$A$2:$B$162,2,FALSE)</f>
        <v>Asia</v>
      </c>
    </row>
    <row r="112" spans="1:9" ht="15.5">
      <c r="A112" s="8" t="str">
        <f>'Sovereign Ratings (Moody''s,S&amp;P)'!A112</f>
        <v>Panama</v>
      </c>
      <c r="B112" s="120">
        <f>VLOOKUP(A112,'Country GDP'!$A$2:$B$181,2,FALSE)</f>
        <v>83382.399999999994</v>
      </c>
      <c r="C112" s="9" t="str">
        <f>VLOOKUP(A112,'Sovereign Ratings (Moody''s,S&amp;P)'!$A$2:$D$158,4,FALSE)</f>
        <v>Baa3</v>
      </c>
      <c r="D112" s="11">
        <f>VLOOKUP(A112,'10-year CDS Spreads'!$A$2:$C$158,3,FALSE)</f>
        <v>3.0800000000000001E-2</v>
      </c>
      <c r="E112" s="21">
        <f>VLOOKUP(A112,'ERPs by country'!$A$8:$F$164,4,FALSE)</f>
        <v>2.1767594429291676E-2</v>
      </c>
      <c r="F112" s="10">
        <f>VLOOKUP(A112,'ERPs by country'!$A$8:$F$164,5,FALSE)</f>
        <v>6.5067594429291678E-2</v>
      </c>
      <c r="G112" s="14">
        <f>VLOOKUP(A112,'ERPs by country'!$A$8:$F$164,6,FALSE)</f>
        <v>2.1767594429291676E-2</v>
      </c>
      <c r="H112" s="14">
        <f>VLOOKUP(A112,'Country Tax Rates'!$A$2:$B$159,2,FALSE)</f>
        <v>0.25</v>
      </c>
      <c r="I112" s="15" t="str">
        <f>VLOOKUP(A112,'Regional lookup table'!$A$2:$B$162,2,FALSE)</f>
        <v>Central and South America</v>
      </c>
    </row>
    <row r="113" spans="1:13" ht="15.5">
      <c r="A113" s="8" t="str">
        <f>'Sovereign Ratings (Moody''s,S&amp;P)'!A113</f>
        <v>Papua New Guinea</v>
      </c>
      <c r="B113" s="120">
        <f>VLOOKUP(A113,'Country GDP'!$A$2:$B$181,2,FALSE)</f>
        <v>30932.496249791653</v>
      </c>
      <c r="C113" s="9" t="str">
        <f>VLOOKUP(A113,'Sovereign Ratings (Moody''s,S&amp;P)'!$A$2:$D$158,4,FALSE)</f>
        <v>B2</v>
      </c>
      <c r="D113" s="11" t="str">
        <f>VLOOKUP(A113,'10-year CDS Spreads'!$A$2:$C$158,3,FALSE)</f>
        <v>NA</v>
      </c>
      <c r="E113" s="21">
        <f>VLOOKUP(A113,'ERPs by country'!$A$8:$F$164,4,FALSE)</f>
        <v>5.4477188197371677E-2</v>
      </c>
      <c r="F113" s="10">
        <f>VLOOKUP(A113,'ERPs by country'!$A$8:$F$164,5,FALSE)</f>
        <v>9.7777188197371676E-2</v>
      </c>
      <c r="G113" s="14">
        <f>VLOOKUP(A113,'ERPs by country'!$A$8:$F$164,6,FALSE)</f>
        <v>5.4477188197371677E-2</v>
      </c>
      <c r="H113" s="14">
        <f>VLOOKUP(A113,'Country Tax Rates'!$A$2:$B$159,2,FALSE)</f>
        <v>0.3</v>
      </c>
      <c r="I113" s="15" t="str">
        <f>VLOOKUP(A113,'Regional lookup table'!$A$2:$B$162,2,FALSE)</f>
        <v>Asia</v>
      </c>
    </row>
    <row r="114" spans="1:13" ht="15.5">
      <c r="A114" s="8" t="str">
        <f>'Sovereign Ratings (Moody''s,S&amp;P)'!A114</f>
        <v>Paraguay</v>
      </c>
      <c r="B114" s="120">
        <f>VLOOKUP(A114,'Country GDP'!$A$2:$B$181,2,FALSE)</f>
        <v>42956.263543948167</v>
      </c>
      <c r="C114" s="9" t="str">
        <f>VLOOKUP(A114,'Sovereign Ratings (Moody''s,S&amp;P)'!$A$2:$D$158,4,FALSE)</f>
        <v>Baa3</v>
      </c>
      <c r="D114" s="11" t="str">
        <f>VLOOKUP(A114,'10-year CDS Spreads'!$A$2:$C$158,3,FALSE)</f>
        <v>NA</v>
      </c>
      <c r="E114" s="21">
        <f>VLOOKUP(A114,'ERPs by country'!$A$8:$F$164,4,FALSE)</f>
        <v>2.1767594429291676E-2</v>
      </c>
      <c r="F114" s="10">
        <f>VLOOKUP(A114,'ERPs by country'!$A$8:$F$164,5,FALSE)</f>
        <v>6.5067594429291678E-2</v>
      </c>
      <c r="G114" s="14">
        <f>VLOOKUP(A114,'ERPs by country'!$A$8:$F$164,6,FALSE)</f>
        <v>2.1767594429291676E-2</v>
      </c>
      <c r="H114" s="14">
        <f>VLOOKUP(A114,'Country Tax Rates'!$A$2:$B$159,2,FALSE)</f>
        <v>0.1</v>
      </c>
      <c r="I114" s="15" t="str">
        <f>VLOOKUP(A114,'Regional lookup table'!$A$2:$B$162,2,FALSE)</f>
        <v>Central and South America</v>
      </c>
    </row>
    <row r="115" spans="1:13" ht="15.5">
      <c r="A115" s="8" t="str">
        <f>'Sovereign Ratings (Moody''s,S&amp;P)'!A115</f>
        <v>Peru</v>
      </c>
      <c r="B115" s="120">
        <f>VLOOKUP(A115,'Country GDP'!$A$2:$B$181,2,FALSE)</f>
        <v>267603.24865525268</v>
      </c>
      <c r="C115" s="9" t="str">
        <f>VLOOKUP(A115,'Sovereign Ratings (Moody''s,S&amp;P)'!$A$2:$D$158,4,FALSE)</f>
        <v>Baa1</v>
      </c>
      <c r="D115" s="11">
        <f>VLOOKUP(A115,'10-year CDS Spreads'!$A$2:$C$158,3,FALSE)</f>
        <v>1.47E-2</v>
      </c>
      <c r="E115" s="21">
        <f>VLOOKUP(A115,'ERPs by country'!$A$8:$F$164,4,FALSE)</f>
        <v>1.5830977766757577E-2</v>
      </c>
      <c r="F115" s="10">
        <f>VLOOKUP(A115,'ERPs by country'!$A$8:$F$164,5,FALSE)</f>
        <v>5.9130977766757575E-2</v>
      </c>
      <c r="G115" s="14">
        <f>VLOOKUP(A115,'ERPs by country'!$A$8:$F$164,6,FALSE)</f>
        <v>1.5830977766757577E-2</v>
      </c>
      <c r="H115" s="14">
        <f>VLOOKUP(A115,'Country Tax Rates'!$A$2:$B$159,2,FALSE)</f>
        <v>0.29499999999999998</v>
      </c>
      <c r="I115" s="15" t="str">
        <f>VLOOKUP(A115,'Regional lookup table'!$A$2:$B$162,2,FALSE)</f>
        <v>Central and South America</v>
      </c>
    </row>
    <row r="116" spans="1:13" ht="15.5">
      <c r="A116" s="8" t="str">
        <f>'Sovereign Ratings (Moody''s,S&amp;P)'!A116</f>
        <v>Philippines</v>
      </c>
      <c r="B116" s="120">
        <f>VLOOKUP(A116,'Country GDP'!$A$2:$B$181,2,FALSE)</f>
        <v>437146.37272994244</v>
      </c>
      <c r="C116" s="9" t="str">
        <f>VLOOKUP(A116,'Sovereign Ratings (Moody''s,S&amp;P)'!$A$2:$D$158,4,FALSE)</f>
        <v>Baa2</v>
      </c>
      <c r="D116" s="11">
        <f>VLOOKUP(A116,'10-year CDS Spreads'!$A$2:$C$158,3,FALSE)</f>
        <v>1.21E-2</v>
      </c>
      <c r="E116" s="21">
        <f>VLOOKUP(A116,'ERPs by country'!$A$8:$F$164,4,FALSE)</f>
        <v>1.885748822216712E-2</v>
      </c>
      <c r="F116" s="10">
        <f>VLOOKUP(A116,'ERPs by country'!$A$8:$F$164,5,FALSE)</f>
        <v>6.2157488222167115E-2</v>
      </c>
      <c r="G116" s="14">
        <f>VLOOKUP(A116,'ERPs by country'!$A$8:$F$164,6,FALSE)</f>
        <v>1.885748822216712E-2</v>
      </c>
      <c r="H116" s="14">
        <f>VLOOKUP(A116,'Country Tax Rates'!$A$2:$B$159,2,FALSE)</f>
        <v>0.25</v>
      </c>
      <c r="I116" s="15" t="str">
        <f>VLOOKUP(A116,'Regional lookup table'!$A$2:$B$162,2,FALSE)</f>
        <v>Asia</v>
      </c>
    </row>
    <row r="117" spans="1:13" ht="15.5">
      <c r="A117" s="8" t="str">
        <f>'Sovereign Ratings (Moody''s,S&amp;P)'!A117</f>
        <v>Poland</v>
      </c>
      <c r="B117" s="120">
        <f>VLOOKUP(A117,'Country GDP'!$A$2:$B$181,2,FALSE)</f>
        <v>811229.10068756633</v>
      </c>
      <c r="C117" s="9" t="str">
        <f>VLOOKUP(A117,'Sovereign Ratings (Moody''s,S&amp;P)'!$A$2:$D$158,4,FALSE)</f>
        <v>A2</v>
      </c>
      <c r="D117" s="11">
        <f>VLOOKUP(A117,'10-year CDS Spreads'!$A$2:$C$158,3,FALSE)</f>
        <v>1.0500000000000001E-2</v>
      </c>
      <c r="E117" s="21">
        <f>VLOOKUP(A117,'ERPs by country'!$A$8:$F$164,4,FALSE)</f>
        <v>8.3811058765187203E-3</v>
      </c>
      <c r="F117" s="10">
        <f>VLOOKUP(A117,'ERPs by country'!$A$8:$F$164,5,FALSE)</f>
        <v>5.1681105876518717E-2</v>
      </c>
      <c r="G117" s="14">
        <f>VLOOKUP(A117,'ERPs by country'!$A$8:$F$164,6,FALSE)</f>
        <v>8.3811058765187203E-3</v>
      </c>
      <c r="H117" s="14">
        <f>VLOOKUP(A117,'Country Tax Rates'!$A$2:$B$159,2,FALSE)</f>
        <v>0.19</v>
      </c>
      <c r="I117" s="15" t="str">
        <f>VLOOKUP(A117,'Regional lookup table'!$A$2:$B$162,2,FALSE)</f>
        <v>Eastern Europe &amp; Russia</v>
      </c>
    </row>
    <row r="118" spans="1:13" ht="15.5">
      <c r="A118" s="8" t="str">
        <f>'Sovereign Ratings (Moody''s,S&amp;P)'!A118</f>
        <v>Portugal</v>
      </c>
      <c r="B118" s="120">
        <f>VLOOKUP(A118,'Country GDP'!$A$2:$B$181,2,FALSE)</f>
        <v>287080.01357449719</v>
      </c>
      <c r="C118" s="9" t="str">
        <f>VLOOKUP(A118,'Sovereign Ratings (Moody''s,S&amp;P)'!$A$2:$D$158,4,FALSE)</f>
        <v>A3</v>
      </c>
      <c r="D118" s="11">
        <f>VLOOKUP(A118,'10-year CDS Spreads'!$A$2:$C$158,3,FALSE)</f>
        <v>5.7999999999999996E-3</v>
      </c>
      <c r="E118" s="21">
        <f>VLOOKUP(A118,'ERPs by country'!$A$8:$F$164,4,FALSE)</f>
        <v>1.1873233325068186E-2</v>
      </c>
      <c r="F118" s="10">
        <f>VLOOKUP(A118,'ERPs by country'!$A$8:$F$164,5,FALSE)</f>
        <v>5.5173233325068183E-2</v>
      </c>
      <c r="G118" s="14">
        <f>VLOOKUP(A118,'ERPs by country'!$A$8:$F$164,6,FALSE)</f>
        <v>1.1873233325068186E-2</v>
      </c>
      <c r="H118" s="14">
        <f>VLOOKUP(A118,'Country Tax Rates'!$A$2:$B$159,2,FALSE)</f>
        <v>0.21</v>
      </c>
      <c r="I118" s="15" t="str">
        <f>VLOOKUP(A118,'Regional lookup table'!$A$2:$B$162,2,FALSE)</f>
        <v>Western Europe</v>
      </c>
    </row>
    <row r="119" spans="1:13" ht="15.5">
      <c r="A119" s="8" t="str">
        <f>'Sovereign Ratings (Moody''s,S&amp;P)'!A119</f>
        <v>Qatar</v>
      </c>
      <c r="B119" s="120">
        <f>VLOOKUP(A119,'Country GDP'!$A$2:$B$181,2,FALSE)</f>
        <v>235770.4037349</v>
      </c>
      <c r="C119" s="9" t="str">
        <f>VLOOKUP(A119,'Sovereign Ratings (Moody''s,S&amp;P)'!$A$2:$D$158,4,FALSE)</f>
        <v>Aa2</v>
      </c>
      <c r="D119" s="11">
        <f>VLOOKUP(A119,'10-year CDS Spreads'!$A$2:$C$158,3,FALSE)</f>
        <v>7.7000000000000002E-3</v>
      </c>
      <c r="E119" s="21">
        <f>VLOOKUP(A119,'ERPs by country'!$A$8:$F$164,4,FALSE)</f>
        <v>4.8889784279692525E-3</v>
      </c>
      <c r="F119" s="10">
        <f>VLOOKUP(A119,'ERPs by country'!$A$8:$F$164,5,FALSE)</f>
        <v>4.8188978427969251E-2</v>
      </c>
      <c r="G119" s="14">
        <f>VLOOKUP(A119,'ERPs by country'!$A$8:$F$164,6,FALSE)</f>
        <v>4.8889784279692525E-3</v>
      </c>
      <c r="H119" s="14">
        <f>VLOOKUP(A119,'Country Tax Rates'!$A$2:$B$159,2,FALSE)</f>
        <v>0.1</v>
      </c>
      <c r="I119" s="15" t="str">
        <f>VLOOKUP(A119,'Regional lookup table'!$A$2:$B$162,2,FALSE)</f>
        <v>Middle East</v>
      </c>
    </row>
    <row r="120" spans="1:13" ht="15.5">
      <c r="A120" s="8" t="str">
        <f>'Sovereign Ratings (Moody''s,S&amp;P)'!A120</f>
        <v>Ras Al Khaimah (Emirate of)</v>
      </c>
      <c r="B120" s="120">
        <f>VLOOKUP(A120,'Country GDP'!$A$2:$B$181,2,FALSE)</f>
        <v>11000</v>
      </c>
      <c r="C120" s="9" t="str">
        <f>VLOOKUP(A120,'Sovereign Ratings (Moody''s,S&amp;P)'!$A$2:$D$158,4,FALSE)</f>
        <v>A3</v>
      </c>
      <c r="D120" s="11" t="str">
        <f>VLOOKUP(A120,'10-year CDS Spreads'!$A$2:$C$158,3,FALSE)</f>
        <v>NA</v>
      </c>
      <c r="E120" s="21">
        <f>VLOOKUP(A120,'ERPs by country'!$A$8:$F$164,4,FALSE)</f>
        <v>1.1873233325068186E-2</v>
      </c>
      <c r="F120" s="10">
        <f>VLOOKUP(A120,'ERPs by country'!$A$8:$F$164,5,FALSE)</f>
        <v>5.5173233325068183E-2</v>
      </c>
      <c r="G120" s="14">
        <f>VLOOKUP(A120,'ERPs by country'!$A$8:$F$164,6,FALSE)</f>
        <v>1.1873233325068186E-2</v>
      </c>
      <c r="H120" s="14">
        <f>VLOOKUP(A120,'Country Tax Rates'!$A$2:$B$159,2,FALSE)</f>
        <v>0</v>
      </c>
      <c r="I120" s="15" t="str">
        <f>VLOOKUP(A120,'Regional lookup table'!$A$2:$B$162,2,FALSE)</f>
        <v>Middle East</v>
      </c>
    </row>
    <row r="121" spans="1:13" ht="15.5">
      <c r="A121" s="8" t="str">
        <f>'Sovereign Ratings (Moody''s,S&amp;P)'!A121</f>
        <v>Romania</v>
      </c>
      <c r="B121" s="120">
        <f>VLOOKUP(A121,'Country GDP'!$A$2:$B$181,2,FALSE)</f>
        <v>351002.57962967013</v>
      </c>
      <c r="C121" s="9" t="str">
        <f>VLOOKUP(A121,'Sovereign Ratings (Moody''s,S&amp;P)'!$A$2:$D$158,4,FALSE)</f>
        <v>Baa3</v>
      </c>
      <c r="D121" s="11">
        <f>VLOOKUP(A121,'10-year CDS Spreads'!$A$2:$C$158,3,FALSE)</f>
        <v>2.3900000000000001E-2</v>
      </c>
      <c r="E121" s="21">
        <f>VLOOKUP(A121,'ERPs by country'!$A$8:$F$164,4,FALSE)</f>
        <v>2.1767594429291676E-2</v>
      </c>
      <c r="F121" s="10">
        <f>VLOOKUP(A121,'ERPs by country'!$A$8:$F$164,5,FALSE)</f>
        <v>6.5067594429291678E-2</v>
      </c>
      <c r="G121" s="14">
        <f>VLOOKUP(A121,'ERPs by country'!$A$8:$F$164,6,FALSE)</f>
        <v>2.1767594429291676E-2</v>
      </c>
      <c r="H121" s="14">
        <f>VLOOKUP(A121,'Country Tax Rates'!$A$2:$B$159,2,FALSE)</f>
        <v>0.16</v>
      </c>
      <c r="I121" s="15" t="str">
        <f>VLOOKUP(A121,'Regional lookup table'!$A$2:$B$162,2,FALSE)</f>
        <v>Eastern Europe &amp; Russia</v>
      </c>
    </row>
    <row r="122" spans="1:13" ht="15.5">
      <c r="A122" s="8" t="str">
        <f>'Sovereign Ratings (Moody''s,S&amp;P)'!A122</f>
        <v>Rwanda</v>
      </c>
      <c r="B122" s="120">
        <f>VLOOKUP(A122,'Country GDP'!$A$2:$B$181,2,FALSE)</f>
        <v>14097.76864766952</v>
      </c>
      <c r="C122" s="9" t="str">
        <f>VLOOKUP(A122,'Sovereign Ratings (Moody''s,S&amp;P)'!$A$2:$D$158,4,FALSE)</f>
        <v>B2</v>
      </c>
      <c r="D122" s="11">
        <f>VLOOKUP(A122,'10-year CDS Spreads'!$A$2:$C$158,3,FALSE)</f>
        <v>4.5499999999999999E-2</v>
      </c>
      <c r="E122" s="21">
        <f>VLOOKUP(A122,'ERPs by country'!$A$8:$F$164,4,FALSE)</f>
        <v>5.4477188197371677E-2</v>
      </c>
      <c r="F122" s="10">
        <f>VLOOKUP(A122,'ERPs by country'!$A$8:$F$164,5,FALSE)</f>
        <v>9.7777188197371676E-2</v>
      </c>
      <c r="G122" s="14">
        <f>VLOOKUP(A122,'ERPs by country'!$A$8:$F$164,6,FALSE)</f>
        <v>5.4477188197371677E-2</v>
      </c>
      <c r="H122" s="14">
        <f>VLOOKUP(A122,'Country Tax Rates'!$A$2:$B$159,2,FALSE)</f>
        <v>0.3</v>
      </c>
      <c r="I122" s="15" t="str">
        <f>VLOOKUP(A122,'Regional lookup table'!$A$2:$B$162,2,FALSE)</f>
        <v>Africa</v>
      </c>
      <c r="K122" s="201"/>
      <c r="L122" s="201"/>
      <c r="M122" s="201"/>
    </row>
    <row r="123" spans="1:13" ht="15.5">
      <c r="A123" s="8" t="str">
        <f>'Sovereign Ratings (Moody''s,S&amp;P)'!A123</f>
        <v>Saudi Arabia</v>
      </c>
      <c r="B123" s="120">
        <f>VLOOKUP(A123,'Country GDP'!$A$2:$B$181,2,FALSE)</f>
        <v>1067582.9333333333</v>
      </c>
      <c r="C123" s="9" t="str">
        <f>VLOOKUP(A123,'Sovereign Ratings (Moody''s,S&amp;P)'!$A$2:$D$158,4,FALSE)</f>
        <v>Aa3</v>
      </c>
      <c r="D123" s="11">
        <f>VLOOKUP(A123,'10-year CDS Spreads'!$A$2:$C$158,3,FALSE)</f>
        <v>1.0500000000000001E-2</v>
      </c>
      <c r="E123" s="21">
        <f>VLOOKUP(A123,'ERPs by country'!$A$8:$F$164,4,FALSE)</f>
        <v>5.9366166625340932E-3</v>
      </c>
      <c r="F123" s="10">
        <f>VLOOKUP(A123,'ERPs by country'!$A$8:$F$164,5,FALSE)</f>
        <v>4.9236616662534094E-2</v>
      </c>
      <c r="G123" s="14">
        <f>VLOOKUP(A123,'ERPs by country'!$A$8:$F$164,6,FALSE)</f>
        <v>5.9366166625340932E-3</v>
      </c>
      <c r="H123" s="14">
        <f>VLOOKUP(A123,'Country Tax Rates'!$A$2:$B$159,2,FALSE)</f>
        <v>0.2</v>
      </c>
      <c r="I123" s="15" t="str">
        <f>VLOOKUP(A123,'Regional lookup table'!$A$2:$B$162,2,FALSE)</f>
        <v>Middle East</v>
      </c>
    </row>
    <row r="124" spans="1:13" ht="15.5">
      <c r="A124" s="8" t="str">
        <f>'Sovereign Ratings (Moody''s,S&amp;P)'!A124</f>
        <v>Senegal</v>
      </c>
      <c r="B124" s="120">
        <f>VLOOKUP(A124,'Country GDP'!$A$2:$B$181,2,FALSE)</f>
        <v>31013.986429186058</v>
      </c>
      <c r="C124" s="9" t="str">
        <f>VLOOKUP(A124,'Sovereign Ratings (Moody''s,S&amp;P)'!$A$2:$D$158,4,FALSE)</f>
        <v>B1</v>
      </c>
      <c r="D124" s="11">
        <f>VLOOKUP(A124,'10-year CDS Spreads'!$A$2:$C$158,3,FALSE)</f>
        <v>6.2300000000000001E-2</v>
      </c>
      <c r="E124" s="21">
        <f>VLOOKUP(A124,'ERPs by country'!$A$8:$F$164,4,FALSE)</f>
        <v>4.4582827093148182E-2</v>
      </c>
      <c r="F124" s="10">
        <f>VLOOKUP(A124,'ERPs by country'!$A$8:$F$164,5,FALSE)</f>
        <v>8.788282709314818E-2</v>
      </c>
      <c r="G124" s="14">
        <f>VLOOKUP(A124,'ERPs by country'!$A$8:$F$164,6,FALSE)</f>
        <v>4.4582827093148182E-2</v>
      </c>
      <c r="H124" s="14">
        <f>VLOOKUP(A124,'Country Tax Rates'!$A$2:$B$159,2,FALSE)</f>
        <v>0.3</v>
      </c>
      <c r="I124" s="15" t="str">
        <f>VLOOKUP(A124,'Regional lookup table'!$A$2:$B$162,2,FALSE)</f>
        <v>Africa</v>
      </c>
    </row>
    <row r="125" spans="1:13" ht="15.5">
      <c r="A125" s="8" t="str">
        <f>'Sovereign Ratings (Moody''s,S&amp;P)'!A125</f>
        <v>Serbia</v>
      </c>
      <c r="B125" s="120">
        <f>VLOOKUP(A125,'Country GDP'!$A$2:$B$181,2,FALSE)</f>
        <v>75187.125426737548</v>
      </c>
      <c r="C125" s="9" t="str">
        <f>VLOOKUP(A125,'Sovereign Ratings (Moody''s,S&amp;P)'!$A$2:$D$158,4,FALSE)</f>
        <v>Ba2</v>
      </c>
      <c r="D125" s="11">
        <f>VLOOKUP(A125,'10-year CDS Spreads'!$A$2:$C$158,3,FALSE)</f>
        <v>1.26E-2</v>
      </c>
      <c r="E125" s="21">
        <f>VLOOKUP(A125,'ERPs by country'!$A$8:$F$164,4,FALSE)</f>
        <v>2.9799487560955448E-2</v>
      </c>
      <c r="F125" s="10">
        <f>VLOOKUP(A125,'ERPs by country'!$A$8:$F$164,5,FALSE)</f>
        <v>7.309948756095544E-2</v>
      </c>
      <c r="G125" s="14">
        <f>VLOOKUP(A125,'ERPs by country'!$A$8:$F$164,6,FALSE)</f>
        <v>2.9799487560955448E-2</v>
      </c>
      <c r="H125" s="14">
        <f>VLOOKUP(A125,'Country Tax Rates'!$A$2:$B$159,2,FALSE)</f>
        <v>0.15</v>
      </c>
      <c r="I125" s="15" t="str">
        <f>VLOOKUP(A125,'Regional lookup table'!$A$2:$B$162,2,FALSE)</f>
        <v>Eastern Europe &amp; Russia</v>
      </c>
    </row>
    <row r="126" spans="1:13" ht="15.5">
      <c r="A126" s="8" t="str">
        <f>'Sovereign Ratings (Moody''s,S&amp;P)'!A126</f>
        <v>Sharjah</v>
      </c>
      <c r="B126" s="120">
        <f>VLOOKUP(A126,'Country GDP'!$A$2:$B$181,2,FALSE)</f>
        <v>24800</v>
      </c>
      <c r="C126" s="9" t="str">
        <f>VLOOKUP(A126,'Sovereign Ratings (Moody''s,S&amp;P)'!$A$2:$D$158,4,FALSE)</f>
        <v>Ba1</v>
      </c>
      <c r="D126" s="11" t="e">
        <f>VLOOKUP(A126,'10-year CDS Spreads'!$A$2:$C$158,3,FALSE)</f>
        <v>#N/A</v>
      </c>
      <c r="E126" s="21">
        <f>VLOOKUP(A126,'ERPs by country'!$A$8:$F$164,4,FALSE)</f>
        <v>2.4794104884701216E-2</v>
      </c>
      <c r="F126" s="10">
        <f>VLOOKUP(A126,'ERPs by country'!$A$8:$F$164,5,FALSE)</f>
        <v>6.8094104884701218E-2</v>
      </c>
      <c r="G126" s="14">
        <f>VLOOKUP(A126,'ERPs by country'!$A$8:$F$164,6,FALSE)</f>
        <v>2.4794104884701216E-2</v>
      </c>
      <c r="H126" s="14">
        <f>VLOOKUP(A126,'Country Tax Rates'!$A$2:$B$159,2,FALSE)</f>
        <v>0</v>
      </c>
      <c r="I126" s="15" t="str">
        <f>VLOOKUP(A126,'Regional lookup table'!$A$2:$B$162,2,FALSE)</f>
        <v>Middle East</v>
      </c>
    </row>
    <row r="127" spans="1:13" ht="15.5">
      <c r="A127" s="8" t="str">
        <f>'Sovereign Ratings (Moody''s,S&amp;P)'!A127</f>
        <v>Singapore</v>
      </c>
      <c r="B127" s="120">
        <f>VLOOKUP(A127,'Country GDP'!$A$2:$B$181,2,FALSE)</f>
        <v>501427.50008005853</v>
      </c>
      <c r="C127" s="9" t="str">
        <f>VLOOKUP(A127,'Sovereign Ratings (Moody''s,S&amp;P)'!$A$2:$D$158,4,FALSE)</f>
        <v>Aaa</v>
      </c>
      <c r="D127" s="11" t="e">
        <f>VLOOKUP(A127,'10-year CDS Spreads'!$A$2:$C$158,3,FALSE)</f>
        <v>#N/A</v>
      </c>
      <c r="E127" s="21">
        <f>VLOOKUP(A127,'ERPs by country'!$A$8:$F$164,4,FALSE)</f>
        <v>0</v>
      </c>
      <c r="F127" s="10">
        <f>VLOOKUP(A127,'ERPs by country'!$A$8:$F$164,5,FALSE)</f>
        <v>4.3299999999999998E-2</v>
      </c>
      <c r="G127" s="14">
        <f>VLOOKUP(A127,'ERPs by country'!$A$8:$F$164,6,FALSE)</f>
        <v>0</v>
      </c>
      <c r="H127" s="14">
        <f>VLOOKUP(A127,'Country Tax Rates'!$A$2:$B$159,2,FALSE)</f>
        <v>0.17</v>
      </c>
      <c r="I127" s="15" t="str">
        <f>VLOOKUP(A127,'Regional lookup table'!$A$2:$B$162,2,FALSE)</f>
        <v>Asia</v>
      </c>
    </row>
    <row r="128" spans="1:13" ht="15.5">
      <c r="A128" s="8" t="str">
        <f>'Sovereign Ratings (Moody''s,S&amp;P)'!A128</f>
        <v>Slovakia</v>
      </c>
      <c r="B128" s="120">
        <f>VLOOKUP(A128,'Country GDP'!$A$2:$B$181,2,FALSE)</f>
        <v>132793.62228307096</v>
      </c>
      <c r="C128" s="9" t="str">
        <f>VLOOKUP(A128,'Sovereign Ratings (Moody''s,S&amp;P)'!$A$2:$D$158,4,FALSE)</f>
        <v>A3</v>
      </c>
      <c r="D128" s="11">
        <f>VLOOKUP(A128,'10-year CDS Spreads'!$A$2:$C$158,3,FALSE)</f>
        <v>5.4999999999999997E-3</v>
      </c>
      <c r="E128" s="21">
        <f>VLOOKUP(A128,'ERPs by country'!$A$8:$F$164,4,FALSE)</f>
        <v>1.1873233325068186E-2</v>
      </c>
      <c r="F128" s="10">
        <f>VLOOKUP(A128,'ERPs by country'!$A$8:$F$164,5,FALSE)</f>
        <v>5.5173233325068183E-2</v>
      </c>
      <c r="G128" s="14">
        <f>VLOOKUP(A128,'ERPs by country'!$A$8:$F$164,6,FALSE)</f>
        <v>1.1873233325068186E-2</v>
      </c>
      <c r="H128" s="14">
        <f>VLOOKUP(A128,'Country Tax Rates'!$A$2:$B$159,2,FALSE)</f>
        <v>0.21</v>
      </c>
      <c r="I128" s="15" t="str">
        <f>VLOOKUP(A128,'Regional lookup table'!$A$2:$B$162,2,FALSE)</f>
        <v>Eastern Europe &amp; Russia</v>
      </c>
    </row>
    <row r="129" spans="1:9" ht="15.5">
      <c r="A129" s="8" t="str">
        <f>'Sovereign Ratings (Moody''s,S&amp;P)'!A129</f>
        <v>Slovenia</v>
      </c>
      <c r="B129" s="120">
        <f>VLOOKUP(A129,'Country GDP'!$A$2:$B$181,2,FALSE)</f>
        <v>68216.781410522774</v>
      </c>
      <c r="C129" s="9" t="str">
        <f>VLOOKUP(A129,'Sovereign Ratings (Moody''s,S&amp;P)'!$A$2:$D$158,4,FALSE)</f>
        <v>A3</v>
      </c>
      <c r="D129" s="11">
        <f>VLOOKUP(A129,'10-year CDS Spreads'!$A$2:$C$158,3,FALSE)</f>
        <v>7.1999999999999998E-3</v>
      </c>
      <c r="E129" s="21">
        <f>VLOOKUP(A129,'ERPs by country'!$A$8:$F$164,4,FALSE)</f>
        <v>1.1873233325068186E-2</v>
      </c>
      <c r="F129" s="10">
        <f>VLOOKUP(A129,'ERPs by country'!$A$8:$F$164,5,FALSE)</f>
        <v>5.5173233325068183E-2</v>
      </c>
      <c r="G129" s="14">
        <f>VLOOKUP(A129,'ERPs by country'!$A$8:$F$164,6,FALSE)</f>
        <v>1.1873233325068186E-2</v>
      </c>
      <c r="H129" s="14">
        <f>VLOOKUP(A129,'Country Tax Rates'!$A$2:$B$159,2,FALSE)</f>
        <v>0.19</v>
      </c>
      <c r="I129" s="15" t="str">
        <f>VLOOKUP(A129,'Regional lookup table'!$A$2:$B$162,2,FALSE)</f>
        <v>Eastern Europe &amp; Russia</v>
      </c>
    </row>
    <row r="130" spans="1:9" ht="15.5">
      <c r="A130" s="8" t="str">
        <f>'Sovereign Ratings (Moody''s,S&amp;P)'!A130</f>
        <v>Solomon Islands</v>
      </c>
      <c r="B130" s="120">
        <f>VLOOKUP(A130,'Country GDP'!$A$2:$B$181,2,FALSE)</f>
        <v>1631.2867011151561</v>
      </c>
      <c r="C130" s="9" t="str">
        <f>VLOOKUP(A130,'Sovereign Ratings (Moody''s,S&amp;P)'!$A$2:$D$158,4,FALSE)</f>
        <v>Caa1</v>
      </c>
      <c r="D130" s="11" t="e">
        <f>VLOOKUP(A130,'10-year CDS Spreads'!$A$2:$C$158,3,FALSE)</f>
        <v>#N/A</v>
      </c>
      <c r="E130" s="21">
        <f>VLOOKUP(A130,'ERPs by country'!$A$8:$F$164,4,FALSE)</f>
        <v>7.4265910405818647E-2</v>
      </c>
      <c r="F130" s="10">
        <f>VLOOKUP(A130,'ERPs by country'!$A$8:$F$164,5,FALSE)</f>
        <v>0.11756591040581865</v>
      </c>
      <c r="G130" s="14">
        <f>VLOOKUP(A130,'ERPs by country'!$A$8:$F$164,6,FALSE)</f>
        <v>7.4265910405818647E-2</v>
      </c>
      <c r="H130" s="14">
        <f>VLOOKUP(A130,'Country Tax Rates'!$A$2:$B$159,2,FALSE)</f>
        <v>0.3</v>
      </c>
      <c r="I130" s="15" t="str">
        <f>VLOOKUP(A130,'Regional lookup table'!$A$2:$B$162,2,FALSE)</f>
        <v>Asia</v>
      </c>
    </row>
    <row r="131" spans="1:9" ht="15.5">
      <c r="A131" s="8" t="str">
        <f>'Sovereign Ratings (Moody''s,S&amp;P)'!A131</f>
        <v>South Africa</v>
      </c>
      <c r="B131" s="120">
        <f>VLOOKUP(A131,'Country GDP'!$A$2:$B$181,2,FALSE)</f>
        <v>377781.60098587308</v>
      </c>
      <c r="C131" s="9" t="str">
        <f>VLOOKUP(A131,'Sovereign Ratings (Moody''s,S&amp;P)'!$A$2:$D$158,4,FALSE)</f>
        <v>Ba2</v>
      </c>
      <c r="D131" s="11">
        <f>VLOOKUP(A131,'10-year CDS Spreads'!$A$2:$C$158,3,FALSE)</f>
        <v>0.03</v>
      </c>
      <c r="E131" s="21">
        <f>VLOOKUP(A131,'ERPs by country'!$A$8:$F$164,4,FALSE)</f>
        <v>2.9799487560955448E-2</v>
      </c>
      <c r="F131" s="10">
        <f>VLOOKUP(A131,'ERPs by country'!$A$8:$F$164,5,FALSE)</f>
        <v>7.309948756095544E-2</v>
      </c>
      <c r="G131" s="14">
        <f>VLOOKUP(A131,'ERPs by country'!$A$8:$F$164,6,FALSE)</f>
        <v>2.9799487560955448E-2</v>
      </c>
      <c r="H131" s="14">
        <f>VLOOKUP(A131,'Country Tax Rates'!$A$2:$B$159,2,FALSE)</f>
        <v>0.27</v>
      </c>
      <c r="I131" s="15" t="str">
        <f>VLOOKUP(A131,'Regional lookup table'!$A$2:$B$162,2,FALSE)</f>
        <v>Africa</v>
      </c>
    </row>
    <row r="132" spans="1:9" ht="15.5">
      <c r="A132" s="8" t="str">
        <f>'Sovereign Ratings (Moody''s,S&amp;P)'!A132</f>
        <v>Spain</v>
      </c>
      <c r="B132" s="120">
        <f>VLOOKUP(A132,'Country GDP'!$A$2:$B$181,2,FALSE)</f>
        <v>1580694.7125157141</v>
      </c>
      <c r="C132" s="9" t="str">
        <f>VLOOKUP(A132,'Sovereign Ratings (Moody''s,S&amp;P)'!$A$2:$D$158,4,FALSE)</f>
        <v>Baa1</v>
      </c>
      <c r="D132" s="11">
        <f>VLOOKUP(A132,'10-year CDS Spreads'!$A$2:$C$158,3,FALSE)</f>
        <v>6.7000000000000002E-3</v>
      </c>
      <c r="E132" s="21">
        <f>VLOOKUP(A132,'ERPs by country'!$A$8:$F$164,4,FALSE)</f>
        <v>1.5830977766757577E-2</v>
      </c>
      <c r="F132" s="10">
        <f>VLOOKUP(A132,'ERPs by country'!$A$8:$F$164,5,FALSE)</f>
        <v>5.9130977766757575E-2</v>
      </c>
      <c r="G132" s="14">
        <f>VLOOKUP(A132,'ERPs by country'!$A$8:$F$164,6,FALSE)</f>
        <v>1.5830977766757577E-2</v>
      </c>
      <c r="H132" s="14">
        <f>VLOOKUP(A132,'Country Tax Rates'!$A$2:$B$159,2,FALSE)</f>
        <v>0.25</v>
      </c>
      <c r="I132" s="15" t="str">
        <f>VLOOKUP(A132,'Regional lookup table'!$A$2:$B$162,2,FALSE)</f>
        <v>Western Europe</v>
      </c>
    </row>
    <row r="133" spans="1:9" ht="15.5">
      <c r="A133" s="8" t="str">
        <f>'Sovereign Ratings (Moody''s,S&amp;P)'!A133</f>
        <v>Sri Lanka</v>
      </c>
      <c r="B133" s="120">
        <f>VLOOKUP(A133,'Country GDP'!$A$2:$B$181,2,FALSE)</f>
        <v>84356.860421129953</v>
      </c>
      <c r="C133" s="9" t="str">
        <f>VLOOKUP(A133,'Sovereign Ratings (Moody''s,S&amp;P)'!$A$2:$D$158,4,FALSE)</f>
        <v>Ca</v>
      </c>
      <c r="D133" s="11" t="str">
        <f>VLOOKUP(A133,'10-year CDS Spreads'!$A$2:$C$158,3,FALSE)</f>
        <v>NA</v>
      </c>
      <c r="E133" s="21">
        <f>VLOOKUP(A133,'ERPs by country'!$A$8:$F$164,4,FALSE)</f>
        <v>0.11884873749896685</v>
      </c>
      <c r="F133" s="10">
        <f>VLOOKUP(A133,'ERPs by country'!$A$8:$F$164,5,FALSE)</f>
        <v>0.16214873749896686</v>
      </c>
      <c r="G133" s="14">
        <f>VLOOKUP(A133,'ERPs by country'!$A$8:$F$164,6,FALSE)</f>
        <v>0.11884873749896685</v>
      </c>
      <c r="H133" s="14">
        <f>VLOOKUP(A133,'Country Tax Rates'!$A$2:$B$159,2,FALSE)</f>
        <v>0.24</v>
      </c>
      <c r="I133" s="15" t="str">
        <f>VLOOKUP(A133,'Regional lookup table'!$A$2:$B$162,2,FALSE)</f>
        <v>Asia</v>
      </c>
    </row>
    <row r="134" spans="1:9" ht="15.5">
      <c r="A134" s="8" t="str">
        <f>'Sovereign Ratings (Moody''s,S&amp;P)'!A134</f>
        <v>St. Maarten</v>
      </c>
      <c r="B134" s="120">
        <f>VLOOKUP(A134,'Country GDP'!$A$2:$B$181,2,FALSE)</f>
        <v>11900</v>
      </c>
      <c r="C134" s="9" t="str">
        <f>VLOOKUP(A134,'Sovereign Ratings (Moody''s,S&amp;P)'!$A$2:$D$158,4,FALSE)</f>
        <v>Ba2</v>
      </c>
      <c r="D134" s="11" t="e">
        <f>VLOOKUP(A134,'10-year CDS Spreads'!$A$2:$C$158,3,FALSE)</f>
        <v>#N/A</v>
      </c>
      <c r="E134" s="21">
        <f>VLOOKUP(A134,'ERPs by country'!$A$8:$F$164,4,FALSE)</f>
        <v>2.9799487560955448E-2</v>
      </c>
      <c r="F134" s="10">
        <f>VLOOKUP(A134,'ERPs by country'!$A$8:$F$164,5,FALSE)</f>
        <v>7.309948756095544E-2</v>
      </c>
      <c r="G134" s="14">
        <f>VLOOKUP(A134,'ERPs by country'!$A$8:$F$164,6,FALSE)</f>
        <v>2.9799487560955448E-2</v>
      </c>
      <c r="H134" s="14">
        <f>VLOOKUP(A134,'Country Tax Rates'!$A$2:$B$159,2,FALSE)</f>
        <v>0.2853</v>
      </c>
      <c r="I134" s="15" t="str">
        <f>VLOOKUP(A134,'Regional lookup table'!$A$2:$B$162,2,FALSE)</f>
        <v>Caribbean</v>
      </c>
    </row>
    <row r="135" spans="1:9" ht="15.5">
      <c r="A135" s="8" t="str">
        <f>'Sovereign Ratings (Moody''s,S&amp;P)'!A135</f>
        <v>St. Vincent &amp; the Grenadines</v>
      </c>
      <c r="B135" s="120">
        <f>VLOOKUP(A135,'Country GDP'!$A$2:$B$181,2,FALSE)</f>
        <v>8100</v>
      </c>
      <c r="C135" s="9" t="str">
        <f>VLOOKUP(A135,'Sovereign Ratings (Moody''s,S&amp;P)'!$A$2:$D$158,4,FALSE)</f>
        <v>B3</v>
      </c>
      <c r="D135" s="11" t="e">
        <f>VLOOKUP(A135,'10-year CDS Spreads'!$A$2:$C$158,3,FALSE)</f>
        <v>#N/A</v>
      </c>
      <c r="E135" s="21">
        <f>VLOOKUP(A135,'ERPs by country'!$A$8:$F$164,4,FALSE)</f>
        <v>6.4371549301595152E-2</v>
      </c>
      <c r="F135" s="10">
        <f>VLOOKUP(A135,'ERPs by country'!$A$8:$F$164,5,FALSE)</f>
        <v>0.10767154930159514</v>
      </c>
      <c r="G135" s="14">
        <f>VLOOKUP(A135,'ERPs by country'!$A$8:$F$164,6,FALSE)</f>
        <v>6.4371549301595152E-2</v>
      </c>
      <c r="H135" s="14">
        <f>VLOOKUP(A135,'Country Tax Rates'!$A$2:$B$159,2,FALSE)</f>
        <v>0.2853</v>
      </c>
      <c r="I135" s="15" t="str">
        <f>VLOOKUP(A135,'Regional lookup table'!$A$2:$B$162,2,FALSE)</f>
        <v>Caribbean</v>
      </c>
    </row>
    <row r="136" spans="1:9" ht="15.5">
      <c r="A136" s="8" t="str">
        <f>'Sovereign Ratings (Moody''s,S&amp;P)'!A136</f>
        <v>Suriname</v>
      </c>
      <c r="B136" s="120">
        <f>VLOOKUP(A136,'Country GDP'!$A$2:$B$181,2,FALSE)</f>
        <v>3782.4372960432288</v>
      </c>
      <c r="C136" s="9" t="str">
        <f>VLOOKUP(A136,'Sovereign Ratings (Moody''s,S&amp;P)'!$A$2:$D$158,4,FALSE)</f>
        <v>Caa1</v>
      </c>
      <c r="D136" s="11" t="e">
        <f>VLOOKUP(A136,'10-year CDS Spreads'!$A$2:$C$158,3,FALSE)</f>
        <v>#N/A</v>
      </c>
      <c r="E136" s="21">
        <f>VLOOKUP(A136,'ERPs by country'!$A$8:$F$164,4,FALSE)</f>
        <v>7.4265910405818647E-2</v>
      </c>
      <c r="F136" s="10">
        <f>VLOOKUP(A136,'ERPs by country'!$A$8:$F$164,5,FALSE)</f>
        <v>0.11756591040581865</v>
      </c>
      <c r="G136" s="14">
        <f>VLOOKUP(A136,'ERPs by country'!$A$8:$F$164,6,FALSE)</f>
        <v>7.4265910405818647E-2</v>
      </c>
      <c r="H136" s="14">
        <f>VLOOKUP(A136,'Country Tax Rates'!$A$2:$B$159,2,FALSE)</f>
        <v>0.36</v>
      </c>
      <c r="I136" s="15" t="str">
        <f>VLOOKUP(A136,'Regional lookup table'!$A$2:$B$162,2,FALSE)</f>
        <v>Central and South America</v>
      </c>
    </row>
    <row r="137" spans="1:9" ht="15.5">
      <c r="A137" s="8" t="str">
        <f>'Sovereign Ratings (Moody''s,S&amp;P)'!A137</f>
        <v>Swaziland</v>
      </c>
      <c r="B137" s="120">
        <f>VLOOKUP(A137,'Country GDP'!$A$2:$B$181,2,FALSE)</f>
        <v>4597.8558450427581</v>
      </c>
      <c r="C137" s="9" t="str">
        <f>VLOOKUP(A137,'Sovereign Ratings (Moody''s,S&amp;P)'!$A$2:$D$158,4,FALSE)</f>
        <v>B2</v>
      </c>
      <c r="D137" s="11" t="e">
        <f>VLOOKUP(A137,'10-year CDS Spreads'!$A$2:$C$158,3,FALSE)</f>
        <v>#N/A</v>
      </c>
      <c r="E137" s="21">
        <f>VLOOKUP(A137,'ERPs by country'!$A$8:$F$164,4,FALSE)</f>
        <v>5.4477188197371677E-2</v>
      </c>
      <c r="F137" s="10">
        <f>VLOOKUP(A137,'ERPs by country'!$A$8:$F$164,5,FALSE)</f>
        <v>9.7777188197371676E-2</v>
      </c>
      <c r="G137" s="14">
        <f>VLOOKUP(A137,'ERPs by country'!$A$8:$F$164,6,FALSE)</f>
        <v>5.4477188197371677E-2</v>
      </c>
      <c r="H137" s="14">
        <f>VLOOKUP(A137,'Country Tax Rates'!$A$2:$B$159,2,FALSE)</f>
        <v>0.27500000000000002</v>
      </c>
      <c r="I137" s="15" t="str">
        <f>VLOOKUP(A137,'Regional lookup table'!$A$2:$B$162,2,FALSE)</f>
        <v>Africa</v>
      </c>
    </row>
    <row r="138" spans="1:9" ht="15.5">
      <c r="A138" s="8" t="str">
        <f>'Sovereign Ratings (Moody''s,S&amp;P)'!A138</f>
        <v>Sweden</v>
      </c>
      <c r="B138" s="120">
        <f>VLOOKUP(A138,'Country GDP'!$A$2:$B$181,2,FALSE)</f>
        <v>593267.70103340817</v>
      </c>
      <c r="C138" s="9" t="str">
        <f>VLOOKUP(A138,'Sovereign Ratings (Moody''s,S&amp;P)'!$A$2:$D$158,4,FALSE)</f>
        <v>Aaa</v>
      </c>
      <c r="D138" s="11">
        <f>VLOOKUP(A138,'10-year CDS Spreads'!$A$2:$C$158,3,FALSE)</f>
        <v>2E-3</v>
      </c>
      <c r="E138" s="21">
        <f>VLOOKUP(A138,'ERPs by country'!$A$8:$F$164,4,FALSE)</f>
        <v>0</v>
      </c>
      <c r="F138" s="10">
        <f>VLOOKUP(A138,'ERPs by country'!$A$8:$F$164,5,FALSE)</f>
        <v>4.3299999999999998E-2</v>
      </c>
      <c r="G138" s="14">
        <f>VLOOKUP(A138,'ERPs by country'!$A$8:$F$164,6,FALSE)</f>
        <v>0</v>
      </c>
      <c r="H138" s="14">
        <f>VLOOKUP(A138,'Country Tax Rates'!$A$2:$B$159,2,FALSE)</f>
        <v>0.20600000000000002</v>
      </c>
      <c r="I138" s="15" t="str">
        <f>VLOOKUP(A138,'Regional lookup table'!$A$2:$B$162,2,FALSE)</f>
        <v>Western Europe</v>
      </c>
    </row>
    <row r="139" spans="1:9" ht="15.5">
      <c r="A139" s="8" t="str">
        <f>'Sovereign Ratings (Moody''s,S&amp;P)'!A139</f>
        <v>Switzerland</v>
      </c>
      <c r="B139" s="120">
        <f>VLOOKUP(A139,'Country GDP'!$A$2:$B$181,2,FALSE)</f>
        <v>884940.40223040886</v>
      </c>
      <c r="C139" s="9" t="str">
        <f>VLOOKUP(A139,'Sovereign Ratings (Moody''s,S&amp;P)'!$A$2:$D$158,4,FALSE)</f>
        <v>Aaa</v>
      </c>
      <c r="D139" s="11">
        <f>VLOOKUP(A139,'10-year CDS Spreads'!$A$2:$C$158,3,FALSE)</f>
        <v>1.4E-3</v>
      </c>
      <c r="E139" s="21">
        <f>VLOOKUP(A139,'ERPs by country'!$A$8:$F$164,4,FALSE)</f>
        <v>0</v>
      </c>
      <c r="F139" s="10">
        <f>VLOOKUP(A139,'ERPs by country'!$A$8:$F$164,5,FALSE)</f>
        <v>4.3299999999999998E-2</v>
      </c>
      <c r="G139" s="14">
        <f>VLOOKUP(A139,'ERPs by country'!$A$8:$F$164,6,FALSE)</f>
        <v>0</v>
      </c>
      <c r="H139" s="14">
        <f>VLOOKUP(A139,'Country Tax Rates'!$A$2:$B$159,2,FALSE)</f>
        <v>0.14599999999999999</v>
      </c>
      <c r="I139" s="15" t="str">
        <f>VLOOKUP(A139,'Regional lookup table'!$A$2:$B$162,2,FALSE)</f>
        <v>Western Europe</v>
      </c>
    </row>
    <row r="140" spans="1:9" ht="15.5">
      <c r="A140" s="8" t="str">
        <f>'Sovereign Ratings (Moody''s,S&amp;P)'!A140</f>
        <v>Taiwan</v>
      </c>
      <c r="B140" s="120">
        <f>VLOOKUP(A140,'Country GDP'!$A$2:$B$181,2,FALSE)</f>
        <v>791610</v>
      </c>
      <c r="C140" s="9" t="str">
        <f>VLOOKUP(A140,'Sovereign Ratings (Moody''s,S&amp;P)'!$A$2:$D$158,4,FALSE)</f>
        <v>Aa3</v>
      </c>
      <c r="D140" s="11" t="e">
        <f>VLOOKUP(A140,'10-year CDS Spreads'!$A$2:$C$158,3,FALSE)</f>
        <v>#N/A</v>
      </c>
      <c r="E140" s="21">
        <f>VLOOKUP(A140,'ERPs by country'!$A$8:$F$164,4,FALSE)</f>
        <v>5.9366166625340932E-3</v>
      </c>
      <c r="F140" s="10">
        <f>VLOOKUP(A140,'ERPs by country'!$A$8:$F$164,5,FALSE)</f>
        <v>4.9236616662534094E-2</v>
      </c>
      <c r="G140" s="14">
        <f>VLOOKUP(A140,'ERPs by country'!$A$8:$F$164,6,FALSE)</f>
        <v>5.9366166625340932E-3</v>
      </c>
      <c r="H140" s="14">
        <f>VLOOKUP(A140,'Country Tax Rates'!$A$2:$B$159,2,FALSE)</f>
        <v>0.2</v>
      </c>
      <c r="I140" s="15" t="str">
        <f>VLOOKUP(A140,'Regional lookup table'!$A$2:$B$162,2,FALSE)</f>
        <v>Asia</v>
      </c>
    </row>
    <row r="141" spans="1:9" ht="15.5">
      <c r="A141" s="8" t="str">
        <f>'Sovereign Ratings (Moody''s,S&amp;P)'!A141</f>
        <v>Tajikistan</v>
      </c>
      <c r="B141" s="120">
        <f>VLOOKUP(A141,'Country GDP'!$A$2:$B$181,2,FALSE)</f>
        <v>12060.602008847782</v>
      </c>
      <c r="C141" s="9" t="str">
        <f>VLOOKUP(A141,'Sovereign Ratings (Moody''s,S&amp;P)'!$A$2:$D$158,4,FALSE)</f>
        <v>B3</v>
      </c>
      <c r="D141" s="11" t="e">
        <f>VLOOKUP(A141,'10-year CDS Spreads'!$A$2:$C$158,3,FALSE)</f>
        <v>#N/A</v>
      </c>
      <c r="E141" s="21">
        <f>VLOOKUP(A141,'ERPs by country'!$A$8:$F$164,4,FALSE)</f>
        <v>6.4371549301595152E-2</v>
      </c>
      <c r="F141" s="10">
        <f>VLOOKUP(A141,'ERPs by country'!$A$8:$F$164,5,FALSE)</f>
        <v>0.10767154930159514</v>
      </c>
      <c r="G141" s="14">
        <f>VLOOKUP(A141,'ERPs by country'!$A$8:$F$164,6,FALSE)</f>
        <v>6.4371549301595152E-2</v>
      </c>
      <c r="H141" s="14">
        <f>VLOOKUP(A141,'Country Tax Rates'!$A$2:$B$159,2,FALSE)</f>
        <v>0.18</v>
      </c>
      <c r="I141" s="15" t="str">
        <f>VLOOKUP(A141,'Regional lookup table'!$A$2:$B$162,2,FALSE)</f>
        <v>Eastern Europe &amp; Russia</v>
      </c>
    </row>
    <row r="142" spans="1:9" ht="15.5">
      <c r="A142" s="8" t="str">
        <f>'Sovereign Ratings (Moody''s,S&amp;P)'!A142</f>
        <v>Tanzania</v>
      </c>
      <c r="B142" s="120">
        <f>VLOOKUP(A142,'Country GDP'!$A$2:$B$181,2,FALSE)</f>
        <v>79158.286333523982</v>
      </c>
      <c r="C142" s="9" t="str">
        <f>VLOOKUP(A142,'Sovereign Ratings (Moody''s,S&amp;P)'!$A$2:$D$158,4,FALSE)</f>
        <v>B1</v>
      </c>
      <c r="D142" s="11" t="e">
        <f>VLOOKUP(A142,'10-year CDS Spreads'!$A$2:$C$158,3,FALSE)</f>
        <v>#N/A</v>
      </c>
      <c r="E142" s="21">
        <f>VLOOKUP(A142,'ERPs by country'!$A$8:$F$164,4,FALSE)</f>
        <v>4.4582827093148182E-2</v>
      </c>
      <c r="F142" s="10">
        <f>VLOOKUP(A142,'ERPs by country'!$A$8:$F$164,5,FALSE)</f>
        <v>8.788282709314818E-2</v>
      </c>
      <c r="G142" s="14">
        <f>VLOOKUP(A142,'ERPs by country'!$A$8:$F$164,6,FALSE)</f>
        <v>4.4582827093148182E-2</v>
      </c>
      <c r="H142" s="14">
        <f>VLOOKUP(A142,'Country Tax Rates'!$A$2:$B$159,2,FALSE)</f>
        <v>0.3</v>
      </c>
      <c r="I142" s="15" t="str">
        <f>VLOOKUP(A142,'Regional lookup table'!$A$2:$B$162,2,FALSE)</f>
        <v>Africa</v>
      </c>
    </row>
    <row r="143" spans="1:9" ht="15.5">
      <c r="A143" s="8" t="str">
        <f>'Sovereign Ratings (Moody''s,S&amp;P)'!A143</f>
        <v>Thailand</v>
      </c>
      <c r="B143" s="120">
        <f>VLOOKUP(A143,'Country GDP'!$A$2:$B$181,2,FALSE)</f>
        <v>514944.99383357755</v>
      </c>
      <c r="C143" s="9" t="str">
        <f>VLOOKUP(A143,'Sovereign Ratings (Moody''s,S&amp;P)'!$A$2:$D$158,4,FALSE)</f>
        <v>Baa1</v>
      </c>
      <c r="D143" s="11">
        <f>VLOOKUP(A143,'10-year CDS Spreads'!$A$2:$C$158,3,FALSE)</f>
        <v>7.0000000000000001E-3</v>
      </c>
      <c r="E143" s="21">
        <f>VLOOKUP(A143,'ERPs by country'!$A$8:$F$164,4,FALSE)</f>
        <v>1.5830977766757577E-2</v>
      </c>
      <c r="F143" s="10">
        <f>VLOOKUP(A143,'ERPs by country'!$A$8:$F$164,5,FALSE)</f>
        <v>5.9130977766757575E-2</v>
      </c>
      <c r="G143" s="14">
        <f>VLOOKUP(A143,'ERPs by country'!$A$8:$F$164,6,FALSE)</f>
        <v>1.5830977766757577E-2</v>
      </c>
      <c r="H143" s="14">
        <f>VLOOKUP(A143,'Country Tax Rates'!$A$2:$B$159,2,FALSE)</f>
        <v>0.2</v>
      </c>
      <c r="I143" s="15" t="str">
        <f>VLOOKUP(A143,'Regional lookup table'!$A$2:$B$162,2,FALSE)</f>
        <v>Asia</v>
      </c>
    </row>
    <row r="144" spans="1:9" ht="15.5">
      <c r="A144" s="8" t="str">
        <f>'Sovereign Ratings (Moody''s,S&amp;P)'!A144</f>
        <v>Togo</v>
      </c>
      <c r="B144" s="120">
        <f>VLOOKUP(A144,'Country GDP'!$A$2:$B$181,2,FALSE)</f>
        <v>9171.2618350626417</v>
      </c>
      <c r="C144" s="9" t="str">
        <f>VLOOKUP(A144,'Sovereign Ratings (Moody''s,S&amp;P)'!$A$2:$D$158,4,FALSE)</f>
        <v>B3</v>
      </c>
      <c r="D144" s="11" t="e">
        <f>VLOOKUP(A144,'10-year CDS Spreads'!$A$2:$C$158,3,FALSE)</f>
        <v>#N/A</v>
      </c>
      <c r="E144" s="21">
        <f>VLOOKUP(A144,'ERPs by country'!$A$8:$F$164,4,FALSE)</f>
        <v>6.4371549301595152E-2</v>
      </c>
      <c r="F144" s="10">
        <f>VLOOKUP(A144,'ERPs by country'!$A$8:$F$164,5,FALSE)</f>
        <v>0.10767154930159514</v>
      </c>
      <c r="G144" s="14">
        <f>VLOOKUP(A144,'ERPs by country'!$A$8:$F$164,6,FALSE)</f>
        <v>6.4371549301595152E-2</v>
      </c>
      <c r="H144" s="14">
        <f>VLOOKUP(A144,'Country Tax Rates'!$A$2:$B$159,2,FALSE)</f>
        <v>0.26860000000000001</v>
      </c>
      <c r="I144" s="15" t="str">
        <f>VLOOKUP(A144,'Regional lookup table'!$A$2:$B$162,2,FALSE)</f>
        <v>Africa</v>
      </c>
    </row>
    <row r="145" spans="1:9" ht="15.5">
      <c r="A145" s="8" t="str">
        <f>'Sovereign Ratings (Moody''s,S&amp;P)'!A145</f>
        <v>Trinidad and Tobago</v>
      </c>
      <c r="B145" s="120">
        <f>VLOOKUP(A145,'Country GDP'!$A$2:$B$181,2,FALSE)</f>
        <v>28139.944790291105</v>
      </c>
      <c r="C145" s="9" t="str">
        <f>VLOOKUP(A145,'Sovereign Ratings (Moody''s,S&amp;P)'!$A$2:$D$158,4,FALSE)</f>
        <v>Ba2</v>
      </c>
      <c r="D145" s="11" t="e">
        <f>VLOOKUP(A145,'10-year CDS Spreads'!$A$2:$C$158,3,FALSE)</f>
        <v>#N/A</v>
      </c>
      <c r="E145" s="21">
        <f>VLOOKUP(A145,'ERPs by country'!$A$8:$F$164,4,FALSE)</f>
        <v>2.9799487560955448E-2</v>
      </c>
      <c r="F145" s="10">
        <f>VLOOKUP(A145,'ERPs by country'!$A$8:$F$164,5,FALSE)</f>
        <v>7.309948756095544E-2</v>
      </c>
      <c r="G145" s="14">
        <f>VLOOKUP(A145,'ERPs by country'!$A$8:$F$164,6,FALSE)</f>
        <v>2.9799487560955448E-2</v>
      </c>
      <c r="H145" s="14">
        <f>VLOOKUP(A145,'Country Tax Rates'!$A$2:$B$159,2,FALSE)</f>
        <v>0.3</v>
      </c>
      <c r="I145" s="15" t="str">
        <f>VLOOKUP(A145,'Regional lookup table'!$A$2:$B$162,2,FALSE)</f>
        <v>Caribbean</v>
      </c>
    </row>
    <row r="146" spans="1:9" ht="15.5">
      <c r="A146" s="8" t="str">
        <f>'Sovereign Ratings (Moody''s,S&amp;P)'!A146</f>
        <v>Tunisia</v>
      </c>
      <c r="B146" s="120">
        <f>VLOOKUP(A146,'Country GDP'!$A$2:$B$181,2,FALSE)</f>
        <v>48529.595416653261</v>
      </c>
      <c r="C146" s="9" t="str">
        <f>VLOOKUP(A146,'Sovereign Ratings (Moody''s,S&amp;P)'!$A$2:$D$158,4,FALSE)</f>
        <v>Caa2</v>
      </c>
      <c r="D146" s="11">
        <f>VLOOKUP(A146,'10-year CDS Spreads'!$A$2:$C$158,3,FALSE)</f>
        <v>0.1024</v>
      </c>
      <c r="E146" s="21">
        <f>VLOOKUP(A146,'ERPs by country'!$A$8:$F$164,4,FALSE)</f>
        <v>8.9165654186296364E-2</v>
      </c>
      <c r="F146" s="10">
        <f>VLOOKUP(A146,'ERPs by country'!$A$8:$F$164,5,FALSE)</f>
        <v>0.13246565418629636</v>
      </c>
      <c r="G146" s="14">
        <f>VLOOKUP(A146,'ERPs by country'!$A$8:$F$164,6,FALSE)</f>
        <v>8.9165654186296364E-2</v>
      </c>
      <c r="H146" s="14">
        <f>VLOOKUP(A146,'Country Tax Rates'!$A$2:$B$159,2,FALSE)</f>
        <v>0.15</v>
      </c>
      <c r="I146" s="15" t="str">
        <f>VLOOKUP(A146,'Regional lookup table'!$A$2:$B$162,2,FALSE)</f>
        <v>Africa</v>
      </c>
    </row>
    <row r="147" spans="1:9" ht="15.5">
      <c r="A147" s="8" t="str">
        <f>'Sovereign Ratings (Moody''s,S&amp;P)'!A147</f>
        <v>Turkey</v>
      </c>
      <c r="B147" s="120">
        <f>VLOOKUP(A147,'Country GDP'!$A$2:$B$181,2,FALSE)</f>
        <v>1108022.3732595111</v>
      </c>
      <c r="C147" s="9" t="str">
        <f>VLOOKUP(A147,'Sovereign Ratings (Moody''s,S&amp;P)'!$A$2:$D$158,4,FALSE)</f>
        <v>B1</v>
      </c>
      <c r="D147" s="11">
        <f>VLOOKUP(A147,'10-year CDS Spreads'!$A$2:$C$158,3,FALSE)</f>
        <v>3.6200000000000003E-2</v>
      </c>
      <c r="E147" s="21">
        <f>VLOOKUP(A147,'ERPs by country'!$A$8:$F$164,4,FALSE)</f>
        <v>4.4582827093148182E-2</v>
      </c>
      <c r="F147" s="10">
        <f>VLOOKUP(A147,'ERPs by country'!$A$8:$F$164,5,FALSE)</f>
        <v>8.788282709314818E-2</v>
      </c>
      <c r="G147" s="14">
        <f>VLOOKUP(A147,'ERPs by country'!$A$8:$F$164,6,FALSE)</f>
        <v>4.4582827093148182E-2</v>
      </c>
      <c r="H147" s="14">
        <f>VLOOKUP(A147,'Country Tax Rates'!$A$2:$B$159,2,FALSE)</f>
        <v>0.25</v>
      </c>
      <c r="I147" s="15" t="str">
        <f>VLOOKUP(A147,'Regional lookup table'!$A$2:$B$162,2,FALSE)</f>
        <v>Western Europe</v>
      </c>
    </row>
    <row r="148" spans="1:9" ht="15.5">
      <c r="A148" s="8" t="str">
        <f>'Sovereign Ratings (Moody''s,S&amp;P)'!A148</f>
        <v>Turks and Caicos Islands</v>
      </c>
      <c r="B148" s="120">
        <f>VLOOKUP(A148,'Country GDP'!$A$2:$B$181,2,FALSE)</f>
        <v>1402.0543909473399</v>
      </c>
      <c r="C148" s="9" t="str">
        <f>VLOOKUP(A148,'Sovereign Ratings (Moody''s,S&amp;P)'!$A$2:$D$158,4,FALSE)</f>
        <v>Baa1</v>
      </c>
      <c r="D148" s="11" t="e">
        <f>VLOOKUP(A148,'10-year CDS Spreads'!$A$2:$C$158,3,FALSE)</f>
        <v>#N/A</v>
      </c>
      <c r="E148" s="21">
        <f>VLOOKUP(A148,'ERPs by country'!$A$8:$F$164,4,FALSE)</f>
        <v>1.5830977766757577E-2</v>
      </c>
      <c r="F148" s="10">
        <f>VLOOKUP(A148,'ERPs by country'!$A$8:$F$164,5,FALSE)</f>
        <v>5.9130977766757575E-2</v>
      </c>
      <c r="G148" s="14">
        <f>VLOOKUP(A148,'ERPs by country'!$A$8:$F$164,6,FALSE)</f>
        <v>1.5830977766757577E-2</v>
      </c>
      <c r="H148" s="14">
        <f>VLOOKUP(A148,'Country Tax Rates'!$A$2:$B$159,2,FALSE)</f>
        <v>0</v>
      </c>
      <c r="I148" s="15" t="str">
        <f>VLOOKUP(A148,'Regional lookup table'!$A$2:$B$162,2,FALSE)</f>
        <v>Caribbean</v>
      </c>
    </row>
    <row r="149" spans="1:9" ht="15.5">
      <c r="A149" s="8" t="str">
        <f>'Sovereign Ratings (Moody''s,S&amp;P)'!A149</f>
        <v>Uganda</v>
      </c>
      <c r="B149" s="120">
        <f>VLOOKUP(A149,'Country GDP'!$A$2:$B$181,2,FALSE)</f>
        <v>49272.882213623001</v>
      </c>
      <c r="C149" s="9" t="str">
        <f>VLOOKUP(A149,'Sovereign Ratings (Moody''s,S&amp;P)'!$A$2:$D$158,4,FALSE)</f>
        <v>B3</v>
      </c>
      <c r="D149" s="11" t="e">
        <f>VLOOKUP(A149,'10-year CDS Spreads'!$A$2:$C$158,3,FALSE)</f>
        <v>#N/A</v>
      </c>
      <c r="E149" s="21">
        <f>VLOOKUP(A149,'ERPs by country'!$A$8:$F$164,4,FALSE)</f>
        <v>6.4371549301595152E-2</v>
      </c>
      <c r="F149" s="10">
        <f>VLOOKUP(A149,'ERPs by country'!$A$8:$F$164,5,FALSE)</f>
        <v>0.10767154930159514</v>
      </c>
      <c r="G149" s="14">
        <f>VLOOKUP(A149,'ERPs by country'!$A$8:$F$164,6,FALSE)</f>
        <v>6.4371549301595152E-2</v>
      </c>
      <c r="H149" s="14">
        <f>VLOOKUP(A149,'Country Tax Rates'!$A$2:$B$159,2,FALSE)</f>
        <v>0.3</v>
      </c>
      <c r="I149" s="15" t="str">
        <f>VLOOKUP(A149,'Regional lookup table'!$A$2:$B$162,2,FALSE)</f>
        <v>Africa</v>
      </c>
    </row>
    <row r="150" spans="1:9" ht="15.5">
      <c r="A150" s="8" t="str">
        <f>'Sovereign Ratings (Moody''s,S&amp;P)'!A150</f>
        <v>Ukraine</v>
      </c>
      <c r="B150" s="120">
        <f>VLOOKUP(A150,'Country GDP'!$A$2:$B$181,2,FALSE)</f>
        <v>178757.02138680895</v>
      </c>
      <c r="C150" s="9" t="str">
        <f>VLOOKUP(A150,'Sovereign Ratings (Moody''s,S&amp;P)'!$A$2:$D$158,4,FALSE)</f>
        <v>Ca</v>
      </c>
      <c r="D150" s="11" t="str">
        <f>VLOOKUP(A150,'10-year CDS Spreads'!$A$2:$C$158,3,FALSE)</f>
        <v>NA</v>
      </c>
      <c r="E150" s="21">
        <f>VLOOKUP(A150,'ERPs by country'!$A$8:$F$164,4,FALSE)</f>
        <v>0.11884873749896685</v>
      </c>
      <c r="F150" s="10">
        <f>VLOOKUP(A150,'ERPs by country'!$A$8:$F$164,5,FALSE)</f>
        <v>0.16214873749896686</v>
      </c>
      <c r="G150" s="14">
        <f>VLOOKUP(A150,'ERPs by country'!$A$8:$F$164,6,FALSE)</f>
        <v>0.11884873749896685</v>
      </c>
      <c r="H150" s="14">
        <f>VLOOKUP(A150,'Country Tax Rates'!$A$2:$B$159,2,FALSE)</f>
        <v>0.18</v>
      </c>
      <c r="I150" s="15" t="str">
        <f>VLOOKUP(A150,'Regional lookup table'!$A$2:$B$162,2,FALSE)</f>
        <v>Eastern Europe &amp; Russia</v>
      </c>
    </row>
    <row r="151" spans="1:9" ht="15.5">
      <c r="A151" s="8" t="str">
        <f>'Sovereign Ratings (Moody''s,S&amp;P)'!A151</f>
        <v>United Arab Emirates</v>
      </c>
      <c r="B151" s="120">
        <f>VLOOKUP(A151,'Country GDP'!$A$2:$B$181,2,FALSE)</f>
        <v>504173.45132743364</v>
      </c>
      <c r="C151" s="9" t="str">
        <f>VLOOKUP(A151,'Sovereign Ratings (Moody''s,S&amp;P)'!$A$2:$D$158,4,FALSE)</f>
        <v>Aa2</v>
      </c>
      <c r="D151" s="11" t="e">
        <f>VLOOKUP(A151,'10-year CDS Spreads'!$A$2:$C$158,3,FALSE)</f>
        <v>#N/A</v>
      </c>
      <c r="E151" s="21">
        <f>VLOOKUP(A151,'ERPs by country'!$A$8:$F$164,4,FALSE)</f>
        <v>4.8889784279692525E-3</v>
      </c>
      <c r="F151" s="10">
        <f>VLOOKUP(A151,'ERPs by country'!$A$8:$F$164,5,FALSE)</f>
        <v>4.8188978427969251E-2</v>
      </c>
      <c r="G151" s="14">
        <f>VLOOKUP(A151,'ERPs by country'!$A$8:$F$164,6,FALSE)</f>
        <v>4.8889784279692525E-3</v>
      </c>
      <c r="H151" s="14">
        <f>VLOOKUP(A151,'Country Tax Rates'!$A$2:$B$159,2,FALSE)</f>
        <v>0.25</v>
      </c>
      <c r="I151" s="15" t="str">
        <f>VLOOKUP(A151,'Regional lookup table'!$A$2:$B$162,2,FALSE)</f>
        <v>Middle East</v>
      </c>
    </row>
    <row r="152" spans="1:9" ht="15.5">
      <c r="A152" s="8" t="str">
        <f>'Sovereign Ratings (Moody''s,S&amp;P)'!A152</f>
        <v>United Kingdom</v>
      </c>
      <c r="B152" s="120">
        <f>VLOOKUP(A152,'Country GDP'!$A$2:$B$181,2,FALSE)</f>
        <v>3340032.3806680357</v>
      </c>
      <c r="C152" s="9" t="str">
        <f>VLOOKUP(A152,'Sovereign Ratings (Moody''s,S&amp;P)'!$A$2:$D$158,4,FALSE)</f>
        <v>Aa3</v>
      </c>
      <c r="D152" s="11">
        <f>VLOOKUP(A152,'10-year CDS Spreads'!$A$2:$C$158,3,FALSE)</f>
        <v>3.8999999999999998E-3</v>
      </c>
      <c r="E152" s="21">
        <f>VLOOKUP(A152,'ERPs by country'!$A$8:$F$164,4,FALSE)</f>
        <v>5.9366166625340932E-3</v>
      </c>
      <c r="F152" s="10">
        <f>VLOOKUP(A152,'ERPs by country'!$A$8:$F$164,5,FALSE)</f>
        <v>4.9236616662534094E-2</v>
      </c>
      <c r="G152" s="14">
        <f>VLOOKUP(A152,'ERPs by country'!$A$8:$F$164,6,FALSE)</f>
        <v>5.9366166625340932E-3</v>
      </c>
      <c r="H152" s="14">
        <f>VLOOKUP(A152,'Country Tax Rates'!$A$2:$B$159,2,FALSE)</f>
        <v>0.25</v>
      </c>
      <c r="I152" s="15" t="str">
        <f>VLOOKUP(A152,'Regional lookup table'!$A$2:$B$162,2,FALSE)</f>
        <v>Western Europe</v>
      </c>
    </row>
    <row r="153" spans="1:9" ht="15.5">
      <c r="A153" s="8" t="str">
        <f>'Sovereign Ratings (Moody''s,S&amp;P)'!A153</f>
        <v>United States</v>
      </c>
      <c r="B153" s="120">
        <f>VLOOKUP(A153,'Country GDP'!$A$2:$B$181,2,FALSE)</f>
        <v>27360935</v>
      </c>
      <c r="C153" s="9" t="str">
        <f>VLOOKUP(A153,'Sovereign Ratings (Moody''s,S&amp;P)'!$A$2:$D$158,4,FALSE)</f>
        <v>Aaa</v>
      </c>
      <c r="D153" s="11">
        <f>VLOOKUP(A153,'10-year CDS Spreads'!$A$2:$C$158,3,FALSE)</f>
        <v>4.1000000000000003E-3</v>
      </c>
      <c r="E153" s="21">
        <f>VLOOKUP(A153,'ERPs by country'!$A$8:$F$164,4,FALSE)</f>
        <v>0</v>
      </c>
      <c r="F153" s="10">
        <f>VLOOKUP(A153,'ERPs by country'!$A$8:$F$164,5,FALSE)</f>
        <v>4.3299999999999998E-2</v>
      </c>
      <c r="G153" s="14">
        <f>VLOOKUP(A153,'ERPs by country'!$A$8:$F$164,6,FALSE)</f>
        <v>0</v>
      </c>
      <c r="H153" s="14">
        <f>VLOOKUP(A153,'Country Tax Rates'!$A$2:$B$159,2,FALSE)</f>
        <v>0.25</v>
      </c>
      <c r="I153" s="15" t="str">
        <f>VLOOKUP(A153,'Regional lookup table'!$A$2:$B$162,2,FALSE)</f>
        <v>North America</v>
      </c>
    </row>
    <row r="154" spans="1:9" ht="15" customHeight="1">
      <c r="A154" s="8" t="str">
        <f>'Sovereign Ratings (Moody''s,S&amp;P)'!A154</f>
        <v>Uruguay</v>
      </c>
      <c r="B154" s="120">
        <f>VLOOKUP(A154,'Country GDP'!$A$2:$B$181,2,FALSE)</f>
        <v>77240.831587166962</v>
      </c>
      <c r="C154" s="9" t="str">
        <f>VLOOKUP(A154,'Sovereign Ratings (Moody''s,S&amp;P)'!$A$2:$D$158,4,FALSE)</f>
        <v>Baa1</v>
      </c>
      <c r="D154" s="11">
        <f>VLOOKUP(A154,'10-year CDS Spreads'!$A$2:$C$158,3,FALSE)</f>
        <v>1.2699999999999999E-2</v>
      </c>
      <c r="E154" s="21">
        <f>VLOOKUP(A154,'ERPs by country'!$A$8:$F$164,4,FALSE)</f>
        <v>1.5830977766757577E-2</v>
      </c>
      <c r="F154" s="10">
        <f>VLOOKUP(A154,'ERPs by country'!$A$8:$F$164,5,FALSE)</f>
        <v>5.9130977766757575E-2</v>
      </c>
      <c r="G154" s="14">
        <f>VLOOKUP(A154,'ERPs by country'!$A$8:$F$164,6,FALSE)</f>
        <v>1.5830977766757577E-2</v>
      </c>
      <c r="H154" s="14">
        <f>VLOOKUP(A154,'Country Tax Rates'!$A$2:$B$159,2,FALSE)</f>
        <v>0.25</v>
      </c>
      <c r="I154" s="15" t="str">
        <f>VLOOKUP(A154,'Regional lookup table'!$A$2:$B$162,2,FALSE)</f>
        <v>Central and South America</v>
      </c>
    </row>
    <row r="155" spans="1:9" ht="15.5">
      <c r="A155" s="8" t="str">
        <f>'Sovereign Ratings (Moody''s,S&amp;P)'!A155</f>
        <v>Uzbekistan</v>
      </c>
      <c r="B155" s="120">
        <f>VLOOKUP(A155,'Country GDP'!$A$2:$B$181,2,FALSE)</f>
        <v>90889.149306731269</v>
      </c>
      <c r="C155" s="9" t="str">
        <f>VLOOKUP(A155,'Sovereign Ratings (Moody''s,S&amp;P)'!$A$2:$D$158,4,FALSE)</f>
        <v>Ba3</v>
      </c>
      <c r="D155" s="11" t="e">
        <f>VLOOKUP(A155,'10-year CDS Spreads'!$A$2:$C$158,3,FALSE)</f>
        <v>#N/A</v>
      </c>
      <c r="E155" s="21">
        <f>VLOOKUP(A155,'ERPs by country'!$A$8:$F$164,4,FALSE)</f>
        <v>3.5619699975204554E-2</v>
      </c>
      <c r="F155" s="10">
        <f>VLOOKUP(A155,'ERPs by country'!$A$8:$F$164,5,FALSE)</f>
        <v>7.8919699975204552E-2</v>
      </c>
      <c r="G155" s="14">
        <f>VLOOKUP(A155,'ERPs by country'!$A$8:$F$164,6,FALSE)</f>
        <v>3.5619699975204554E-2</v>
      </c>
      <c r="H155" s="14">
        <f>VLOOKUP(A155,'Country Tax Rates'!$A$2:$B$159,2,FALSE)</f>
        <v>0.15</v>
      </c>
      <c r="I155" s="15" t="str">
        <f>VLOOKUP(A155,'Regional lookup table'!$A$2:$B$162,2,FALSE)</f>
        <v>Eastern Europe &amp; Russia</v>
      </c>
    </row>
    <row r="156" spans="1:9" ht="15.5">
      <c r="A156" s="8" t="str">
        <f>'Sovereign Ratings (Moody''s,S&amp;P)'!A156</f>
        <v>Venezuela</v>
      </c>
      <c r="B156" s="120">
        <f>VLOOKUP(A156,'Country GDP'!$A$2:$B$181,2,FALSE)</f>
        <v>98400</v>
      </c>
      <c r="C156" s="9" t="str">
        <f>VLOOKUP(A156,'Sovereign Ratings (Moody''s,S&amp;P)'!$A$2:$D$158,4,FALSE)</f>
        <v>C</v>
      </c>
      <c r="D156" s="11">
        <f>VLOOKUP(A156,'10-year CDS Spreads'!$A$2:$C$158,3,FALSE)</f>
        <v>0.1008</v>
      </c>
      <c r="E156" s="21">
        <f>VLOOKUP(A156,'ERPs by country'!$A$8:$F$164,4,FALSE)</f>
        <v>0.17499999999999999</v>
      </c>
      <c r="F156" s="10">
        <f>VLOOKUP(A156,'ERPs by country'!$A$8:$F$164,5,FALSE)</f>
        <v>0.21829999999999999</v>
      </c>
      <c r="G156" s="14">
        <f>VLOOKUP(A156,'ERPs by country'!$A$8:$F$164,6,FALSE)</f>
        <v>0.17499999999999999</v>
      </c>
      <c r="H156" s="14">
        <f>VLOOKUP(A156,'Country Tax Rates'!$A$2:$B$159,2,FALSE)</f>
        <v>0.34</v>
      </c>
      <c r="I156" s="15" t="str">
        <f>VLOOKUP(A156,'Regional lookup table'!$A$2:$B$162,2,FALSE)</f>
        <v>Central and South America</v>
      </c>
    </row>
    <row r="157" spans="1:9" ht="15.5">
      <c r="A157" s="8" t="str">
        <f>'Sovereign Ratings (Moody''s,S&amp;P)'!A157</f>
        <v>Vietnam</v>
      </c>
      <c r="B157" s="120">
        <f>VLOOKUP(A157,'Country GDP'!$A$2:$B$181,2,FALSE)</f>
        <v>429716.96904959279</v>
      </c>
      <c r="C157" s="9" t="str">
        <f>VLOOKUP(A157,'Sovereign Ratings (Moody''s,S&amp;P)'!$A$2:$D$158,4,FALSE)</f>
        <v>Ba2</v>
      </c>
      <c r="D157" s="11">
        <f>VLOOKUP(A157,'10-year CDS Spreads'!$A$2:$C$158,3,FALSE)</f>
        <v>1.6500000000000001E-2</v>
      </c>
      <c r="E157" s="21">
        <f>VLOOKUP(A157,'ERPs by country'!$A$8:$F$164,4,FALSE)</f>
        <v>2.9799487560955448E-2</v>
      </c>
      <c r="F157" s="10">
        <f>VLOOKUP(A157,'ERPs by country'!$A$8:$F$164,5,FALSE)</f>
        <v>7.309948756095544E-2</v>
      </c>
      <c r="G157" s="14">
        <f>VLOOKUP(A157,'ERPs by country'!$A$8:$F$164,6,FALSE)</f>
        <v>2.9799487560955448E-2</v>
      </c>
      <c r="H157" s="14">
        <f>VLOOKUP(A157,'Country Tax Rates'!$A$2:$B$159,2,FALSE)</f>
        <v>0.2</v>
      </c>
      <c r="I157" s="15" t="str">
        <f>VLOOKUP(A157,'Regional lookup table'!$A$2:$B$162,2,FALSE)</f>
        <v>Asia</v>
      </c>
    </row>
    <row r="158" spans="1:9" ht="15.5">
      <c r="A158" s="8" t="str">
        <f>'Sovereign Ratings (Moody''s,S&amp;P)'!A158</f>
        <v>Zambia</v>
      </c>
      <c r="B158" s="120">
        <f>VLOOKUP(A158,'Country GDP'!$A$2:$B$181,2,FALSE)</f>
        <v>28162.630953928499</v>
      </c>
      <c r="C158" s="9" t="str">
        <f>VLOOKUP(A158,'Sovereign Ratings (Moody''s,S&amp;P)'!$A$2:$D$158,4,FALSE)</f>
        <v>Caa2</v>
      </c>
      <c r="D158" s="11" t="str">
        <f>VLOOKUP(A158,'10-year CDS Spreads'!$A$2:$C$158,3,FALSE)</f>
        <v>NA</v>
      </c>
      <c r="E158" s="21">
        <f>VLOOKUP(A158,'ERPs by country'!$A$8:$F$164,4,FALSE)</f>
        <v>8.9165654186296364E-2</v>
      </c>
      <c r="F158" s="10">
        <f>VLOOKUP(A158,'ERPs by country'!$A$8:$F$164,5,FALSE)</f>
        <v>0.13246565418629636</v>
      </c>
      <c r="G158" s="14">
        <f>VLOOKUP(A158,'ERPs by country'!$A$8:$F$164,6,FALSE)</f>
        <v>8.9165654186296364E-2</v>
      </c>
      <c r="H158" s="14">
        <f>VLOOKUP(A158,'Country Tax Rates'!$A$2:$B$159,2,FALSE)</f>
        <v>0.35</v>
      </c>
      <c r="I158" s="15" t="str">
        <f>VLOOKUP(A158,'Regional lookup table'!$A$2:$B$162,2,FALSE)</f>
        <v>Africa</v>
      </c>
    </row>
  </sheetData>
  <phoneticPr fontId="13" type="noConversion"/>
  <pageMargins left="0.75" right="0.75" top="1" bottom="1" header="0.5" footer="0.5"/>
  <pageSetup orientation="portrait" horizontalDpi="4294967292" verticalDpi="429496729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58"/>
  <sheetViews>
    <sheetView topLeftCell="A121" zoomScaleNormal="100" workbookViewId="0">
      <selection activeCell="D104" sqref="D104"/>
    </sheetView>
  </sheetViews>
  <sheetFormatPr defaultColWidth="11.19921875" defaultRowHeight="15.5"/>
  <cols>
    <col min="1" max="1" width="24.796875" style="38" bestFit="1" customWidth="1"/>
    <col min="2" max="2" width="16.19921875" style="38" bestFit="1" customWidth="1"/>
    <col min="3" max="3" width="16.19921875" style="38" customWidth="1"/>
    <col min="4" max="4" width="19.69921875" style="38" bestFit="1" customWidth="1"/>
    <col min="5" max="5" width="19.296875" style="236" customWidth="1"/>
  </cols>
  <sheetData>
    <row r="1" spans="1:16">
      <c r="A1" s="66" t="s">
        <v>74</v>
      </c>
      <c r="B1" s="67" t="s">
        <v>267</v>
      </c>
      <c r="C1" s="67" t="s">
        <v>603</v>
      </c>
      <c r="D1" s="67" t="s">
        <v>268</v>
      </c>
      <c r="E1" s="235" t="s">
        <v>570</v>
      </c>
    </row>
    <row r="2" spans="1:16">
      <c r="A2" s="46" t="str">
        <f>'Ratings worksheet'!A2</f>
        <v>Abu Dhabi</v>
      </c>
      <c r="B2" s="56" t="e">
        <f>VLOOKUP(A2,'Ratings worksheet'!$A$2:$C$159,2,FALSE)</f>
        <v>#N/A</v>
      </c>
      <c r="C2" s="56" t="e">
        <f>VLOOKUP(A2,'Ratings worksheet'!$E$2:$H$159,4,FALSE)</f>
        <v>#N/A</v>
      </c>
      <c r="D2" s="56" t="str">
        <f>IF(E2="NR",VLOOKUP(B2,'Sovereign Ratings (Moody''s,S&amp;P)'!$G$9:$H$34,2,FALSE),E2)</f>
        <v>Aa2</v>
      </c>
      <c r="E2" s="236" t="str">
        <f>VLOOKUP(A2,'Ratings worksheet'!$A$2:$C$159,3,FALSE)</f>
        <v>Aa2</v>
      </c>
      <c r="G2" s="269" t="s">
        <v>92</v>
      </c>
      <c r="H2" s="269"/>
      <c r="I2" s="269"/>
      <c r="J2" s="269"/>
      <c r="K2" s="269"/>
      <c r="L2" s="269"/>
      <c r="M2" s="269"/>
      <c r="N2" s="269"/>
      <c r="O2" s="269"/>
      <c r="P2" s="269"/>
    </row>
    <row r="3" spans="1:16">
      <c r="A3" s="46" t="str">
        <f>'Ratings worksheet'!A3</f>
        <v>Albania</v>
      </c>
      <c r="B3" s="56" t="str">
        <f>VLOOKUP(A3,'Ratings worksheet'!$A$2:$C$159,2,FALSE)</f>
        <v>BB-</v>
      </c>
      <c r="C3" s="56" t="str">
        <f>VLOOKUP(A3,'Ratings worksheet'!$E$2:$H$159,4,FALSE)</f>
        <v>NR</v>
      </c>
      <c r="D3" s="56" t="str">
        <f>IF(E3="NR",VLOOKUP(B3,'Sovereign Ratings (Moody''s,S&amp;P)'!$G$9:$H$34,2,FALSE),E3)</f>
        <v>Ba3</v>
      </c>
      <c r="E3" s="236" t="str">
        <f>VLOOKUP(A3,'Ratings worksheet'!$A$2:$C$159,3,FALSE)</f>
        <v>Ba3</v>
      </c>
      <c r="G3" s="269" t="s">
        <v>226</v>
      </c>
      <c r="H3" s="269"/>
      <c r="I3" s="269"/>
      <c r="J3" s="269"/>
      <c r="K3" s="269"/>
      <c r="L3" s="269"/>
      <c r="M3" s="269"/>
      <c r="N3" s="269"/>
      <c r="O3" s="269"/>
      <c r="P3" s="269"/>
    </row>
    <row r="4" spans="1:16">
      <c r="A4" s="46" t="str">
        <f>'Ratings worksheet'!A4</f>
        <v>Andorra (Principality of)</v>
      </c>
      <c r="B4" s="56" t="str">
        <f>VLOOKUP(A4,'Ratings worksheet'!$A$2:$C$159,2,FALSE)</f>
        <v>A- </v>
      </c>
      <c r="C4" s="56" t="e">
        <f>VLOOKUP(A4,'Ratings worksheet'!$E$2:$H$159,4,FALSE)</f>
        <v>#N/A</v>
      </c>
      <c r="D4" s="56" t="str">
        <f>IF(E4="NR",VLOOKUP(B4,'Sovereign Ratings (Moody''s,S&amp;P)'!$G$9:$H$34,2,FALSE),E4)</f>
        <v>Baa1</v>
      </c>
      <c r="E4" s="236" t="str">
        <f>VLOOKUP(A4,'Ratings worksheet'!$A$2:$C$159,3,FALSE)</f>
        <v>Baa1</v>
      </c>
      <c r="G4" s="270" t="s">
        <v>227</v>
      </c>
      <c r="H4" s="270"/>
      <c r="I4" s="270"/>
      <c r="J4" s="270"/>
      <c r="K4" s="270"/>
      <c r="L4" s="270"/>
      <c r="M4" s="270"/>
      <c r="N4" s="270"/>
      <c r="O4" s="270"/>
      <c r="P4" s="270"/>
    </row>
    <row r="5" spans="1:16">
      <c r="A5" s="46" t="str">
        <f>'Ratings worksheet'!A5</f>
        <v>Angola</v>
      </c>
      <c r="B5" s="56" t="str">
        <f>VLOOKUP(A5,'Ratings worksheet'!$A$2:$C$159,2,FALSE)</f>
        <v>B-</v>
      </c>
      <c r="C5" s="56" t="str">
        <f>VLOOKUP(A5,'Ratings worksheet'!$E$2:$H$159,4,FALSE)</f>
        <v>B-</v>
      </c>
      <c r="D5" s="56" t="str">
        <f>IF(E5="NR",VLOOKUP(B5,'Sovereign Ratings (Moody''s,S&amp;P)'!$G$9:$H$34,2,FALSE),E5)</f>
        <v>B3</v>
      </c>
      <c r="E5" s="236" t="str">
        <f>VLOOKUP(A5,'Ratings worksheet'!$A$2:$C$159,3,FALSE)</f>
        <v>B3</v>
      </c>
      <c r="G5" s="270" t="s">
        <v>228</v>
      </c>
      <c r="H5" s="270"/>
      <c r="I5" s="270"/>
      <c r="J5" s="270"/>
      <c r="K5" s="270"/>
      <c r="L5" s="270"/>
      <c r="M5" s="270"/>
      <c r="N5" s="270"/>
      <c r="O5" s="270"/>
      <c r="P5" s="270"/>
    </row>
    <row r="6" spans="1:16">
      <c r="A6" s="46" t="str">
        <f>'Ratings worksheet'!A6</f>
        <v>Argentina</v>
      </c>
      <c r="B6" s="56" t="str">
        <f>VLOOKUP(A6,'Ratings worksheet'!$A$2:$C$159,2,FALSE)</f>
        <v>CCC</v>
      </c>
      <c r="C6" s="56" t="str">
        <f>VLOOKUP(A6,'Ratings worksheet'!$E$2:$H$159,4,FALSE)</f>
        <v>CCC</v>
      </c>
      <c r="D6" s="56" t="str">
        <f>IF(E6="NR",VLOOKUP(B6,'Sovereign Ratings (Moody''s,S&amp;P)'!$G$9:$H$34,2,FALSE),E6)</f>
        <v>Ca</v>
      </c>
      <c r="E6" s="236" t="str">
        <f>VLOOKUP(A6,'Ratings worksheet'!$A$2:$C$159,3,FALSE)</f>
        <v>Ca</v>
      </c>
      <c r="G6" s="35" t="s">
        <v>249</v>
      </c>
    </row>
    <row r="7" spans="1:16">
      <c r="A7" s="46" t="str">
        <f>'Ratings worksheet'!A7</f>
        <v>Armenia</v>
      </c>
      <c r="B7" s="56" t="str">
        <f>VLOOKUP(A7,'Ratings worksheet'!$A$2:$C$159,2,FALSE)</f>
        <v>BB-</v>
      </c>
      <c r="C7" s="56" t="str">
        <f>VLOOKUP(A7,'Ratings worksheet'!$E$2:$H$159,4,FALSE)</f>
        <v>B+</v>
      </c>
      <c r="D7" s="56" t="str">
        <f>IF(E7="NR",VLOOKUP(B7,'Sovereign Ratings (Moody''s,S&amp;P)'!$G$9:$H$34,2,FALSE),E7)</f>
        <v>Ba3</v>
      </c>
      <c r="E7" s="236" t="str">
        <f>VLOOKUP(A7,'Ratings worksheet'!$A$2:$C$159,3,FALSE)</f>
        <v>Ba3</v>
      </c>
      <c r="G7" s="35" t="s">
        <v>229</v>
      </c>
    </row>
    <row r="8" spans="1:16">
      <c r="A8" s="46" t="str">
        <f>'Ratings worksheet'!A8</f>
        <v>Aruba</v>
      </c>
      <c r="B8" s="56" t="str">
        <f>VLOOKUP(A8,'Ratings worksheet'!$A$2:$C$159,2,FALSE)</f>
        <v>BBB </v>
      </c>
      <c r="C8" s="56" t="e">
        <f>VLOOKUP(A8,'Ratings worksheet'!$E$2:$H$159,4,FALSE)</f>
        <v>#N/A</v>
      </c>
      <c r="D8" s="56" t="str">
        <f>IF(E8="NR",VLOOKUP(B8,'Sovereign Ratings (Moody''s,S&amp;P)'!$G$9:$H$34,2,FALSE),E8)</f>
        <v>Baa3</v>
      </c>
      <c r="E8" s="236" t="str">
        <f>VLOOKUP(A8,'Ratings worksheet'!$A$2:$C$159,3,FALSE)</f>
        <v>Baa3</v>
      </c>
      <c r="G8" s="28" t="s">
        <v>602</v>
      </c>
      <c r="H8" s="29" t="s">
        <v>231</v>
      </c>
    </row>
    <row r="9" spans="1:16">
      <c r="A9" s="46" t="str">
        <f>'Ratings worksheet'!A9</f>
        <v>Australia</v>
      </c>
      <c r="B9" s="56" t="str">
        <f>VLOOKUP(A9,'Ratings worksheet'!$A$2:$C$159,2,FALSE)</f>
        <v>AAA</v>
      </c>
      <c r="C9" s="56" t="str">
        <f>VLOOKUP(A9,'Ratings worksheet'!$E$2:$H$159,4,FALSE)</f>
        <v>AAA</v>
      </c>
      <c r="D9" s="56" t="str">
        <f>IF(E9="NR",VLOOKUP(B9,'Sovereign Ratings (Moody''s,S&amp;P)'!$G$9:$H$34,2,FALSE),E9)</f>
        <v>Aaa</v>
      </c>
      <c r="E9" s="236" t="str">
        <f>VLOOKUP(A9,'Ratings worksheet'!$A$2:$C$159,3,FALSE)</f>
        <v>Aaa</v>
      </c>
      <c r="G9" s="30" t="s">
        <v>221</v>
      </c>
      <c r="H9" s="15" t="s">
        <v>42</v>
      </c>
    </row>
    <row r="10" spans="1:16">
      <c r="A10" s="46" t="str">
        <f>'Ratings worksheet'!A10</f>
        <v>Austria</v>
      </c>
      <c r="B10" s="56" t="str">
        <f>VLOOKUP(A10,'Ratings worksheet'!$A$2:$C$159,2,FALSE)</f>
        <v>AA+ </v>
      </c>
      <c r="C10" s="56" t="str">
        <f>VLOOKUP(A10,'Ratings worksheet'!$E$2:$H$159,4,FALSE)</f>
        <v>AA+</v>
      </c>
      <c r="D10" s="56" t="str">
        <f>IF(E10="NR",VLOOKUP(B10,'Sovereign Ratings (Moody''s,S&amp;P)'!$G$9:$H$34,2,FALSE),E10)</f>
        <v>Aa1</v>
      </c>
      <c r="E10" s="236" t="str">
        <f>VLOOKUP(A10,'Ratings worksheet'!$A$2:$C$159,3,FALSE)</f>
        <v>Aa1</v>
      </c>
      <c r="G10" s="30" t="s">
        <v>195</v>
      </c>
      <c r="H10" s="15" t="s">
        <v>43</v>
      </c>
    </row>
    <row r="11" spans="1:16">
      <c r="A11" s="46" t="str">
        <f>'Ratings worksheet'!A11</f>
        <v>Azerbaijan</v>
      </c>
      <c r="B11" s="56" t="str">
        <f>VLOOKUP(A11,'Ratings worksheet'!$A$2:$C$159,2,FALSE)</f>
        <v>BB+</v>
      </c>
      <c r="C11" s="56" t="str">
        <f>VLOOKUP(A11,'Ratings worksheet'!$E$2:$H$159,4,FALSE)</f>
        <v>BB+</v>
      </c>
      <c r="D11" s="56" t="str">
        <f>IF(E11="NR",VLOOKUP(B11,'Sovereign Ratings (Moody''s,S&amp;P)'!$G$9:$H$34,2,FALSE),E11)</f>
        <v>Ba1</v>
      </c>
      <c r="E11" s="236" t="str">
        <f>VLOOKUP(A11,'Ratings worksheet'!$A$2:$C$159,3,FALSE)</f>
        <v>Ba1</v>
      </c>
      <c r="G11" s="30" t="s">
        <v>219</v>
      </c>
      <c r="H11" s="15" t="s">
        <v>41</v>
      </c>
    </row>
    <row r="12" spans="1:16">
      <c r="A12" s="46" t="str">
        <f>'Ratings worksheet'!A12</f>
        <v>Bahamas</v>
      </c>
      <c r="B12" s="56" t="str">
        <f>VLOOKUP(A12,'Ratings worksheet'!$A$2:$C$159,2,FALSE)</f>
        <v>B+</v>
      </c>
      <c r="C12" s="56" t="str">
        <f>VLOOKUP(A12,'Ratings worksheet'!$E$2:$H$159,4,FALSE)</f>
        <v>NR</v>
      </c>
      <c r="D12" s="56" t="str">
        <f>IF(E12="NR",VLOOKUP(B12,'Sovereign Ratings (Moody''s,S&amp;P)'!$G$9:$H$34,2,FALSE),E12)</f>
        <v>B1</v>
      </c>
      <c r="E12" s="236" t="str">
        <f>VLOOKUP(A12,'Ratings worksheet'!$A$2:$C$159,3,FALSE)</f>
        <v>B1</v>
      </c>
      <c r="G12" s="30" t="s">
        <v>204</v>
      </c>
      <c r="H12" s="15" t="s">
        <v>45</v>
      </c>
    </row>
    <row r="13" spans="1:16">
      <c r="A13" s="46" t="str">
        <f>'Ratings worksheet'!A13</f>
        <v>Bahrain</v>
      </c>
      <c r="B13" s="56" t="str">
        <f>VLOOKUP(A13,'Ratings worksheet'!$A$2:$C$159,2,FALSE)</f>
        <v>B+</v>
      </c>
      <c r="C13" s="56" t="str">
        <f>VLOOKUP(A13,'Ratings worksheet'!$E$2:$H$159,4,FALSE)</f>
        <v>B+</v>
      </c>
      <c r="D13" s="56" t="str">
        <f>IF(E13="NR",VLOOKUP(B13,'Sovereign Ratings (Moody''s,S&amp;P)'!$G$9:$H$34,2,FALSE),E13)</f>
        <v>B2</v>
      </c>
      <c r="E13" s="236" t="str">
        <f>VLOOKUP(A13,'Ratings worksheet'!$A$2:$C$159,3,FALSE)</f>
        <v>B2</v>
      </c>
      <c r="G13" s="30" t="s">
        <v>207</v>
      </c>
      <c r="H13" s="15" t="s">
        <v>46</v>
      </c>
    </row>
    <row r="14" spans="1:16">
      <c r="A14" s="46" t="str">
        <f>'Ratings worksheet'!A14</f>
        <v>Bangladesh</v>
      </c>
      <c r="B14" s="56" t="str">
        <f>VLOOKUP(A14,'Ratings worksheet'!$A$2:$C$159,2,FALSE)</f>
        <v>B+</v>
      </c>
      <c r="C14" s="56" t="str">
        <f>VLOOKUP(A14,'Ratings worksheet'!$E$2:$H$159,4,FALSE)</f>
        <v>B+</v>
      </c>
      <c r="D14" s="56" t="str">
        <f>IF(E14="NR",VLOOKUP(B14,'Sovereign Ratings (Moody''s,S&amp;P)'!$G$9:$H$34,2,FALSE),E14)</f>
        <v>B2</v>
      </c>
      <c r="E14" s="236" t="str">
        <f>VLOOKUP(A14,'Ratings worksheet'!$A$2:$C$159,3,FALSE)</f>
        <v>B2</v>
      </c>
      <c r="G14" s="30" t="s">
        <v>201</v>
      </c>
      <c r="H14" s="15" t="s">
        <v>44</v>
      </c>
    </row>
    <row r="15" spans="1:16">
      <c r="A15" s="46" t="str">
        <f>'Ratings worksheet'!A15</f>
        <v>Barbados</v>
      </c>
      <c r="B15" s="56" t="str">
        <f>VLOOKUP(A15,'Ratings worksheet'!$A$2:$C$159,2,FALSE)</f>
        <v>B </v>
      </c>
      <c r="C15" s="56" t="str">
        <f>VLOOKUP(A15,'Ratings worksheet'!$E$2:$H$159,4,FALSE)</f>
        <v>B+</v>
      </c>
      <c r="D15" s="56" t="str">
        <f>IF(E15="NR",VLOOKUP(B15,'Sovereign Ratings (Moody''s,S&amp;P)'!$G$9:$H$34,2,FALSE),E15)</f>
        <v>B3</v>
      </c>
      <c r="E15" s="236" t="str">
        <f>VLOOKUP(A15,'Ratings worksheet'!$A$2:$C$159,3,FALSE)</f>
        <v>B3</v>
      </c>
      <c r="G15" s="30" t="s">
        <v>200</v>
      </c>
      <c r="H15" s="15" t="s">
        <v>47</v>
      </c>
    </row>
    <row r="16" spans="1:16">
      <c r="A16" s="46" t="str">
        <f>'Ratings worksheet'!A16</f>
        <v>Belarus</v>
      </c>
      <c r="B16" s="56" t="str">
        <f>VLOOKUP(A16,'Ratings worksheet'!$A$2:$C$159,2,FALSE)</f>
        <v>NR</v>
      </c>
      <c r="C16" s="56" t="str">
        <f>VLOOKUP(A16,'Ratings worksheet'!$E$2:$H$159,4,FALSE)</f>
        <v>NR</v>
      </c>
      <c r="D16" s="56" t="str">
        <f>IF(E16="NR",VLOOKUP(B16,'Sovereign Ratings (Moody''s,S&amp;P)'!$G$9:$H$34,2,FALSE),E16)</f>
        <v>C</v>
      </c>
      <c r="E16" s="236" t="str">
        <f>VLOOKUP(A16,'Ratings worksheet'!$A$2:$C$159,3,FALSE)</f>
        <v>C</v>
      </c>
      <c r="G16" s="30" t="s">
        <v>206</v>
      </c>
      <c r="H16" s="15" t="s">
        <v>49</v>
      </c>
    </row>
    <row r="17" spans="1:8">
      <c r="A17" s="46" t="str">
        <f>'Ratings worksheet'!A17</f>
        <v>Belgium</v>
      </c>
      <c r="B17" s="56" t="str">
        <f>VLOOKUP(A17,'Ratings worksheet'!$A$2:$C$159,2,FALSE)</f>
        <v>AA</v>
      </c>
      <c r="C17" s="56" t="str">
        <f>VLOOKUP(A17,'Ratings worksheet'!$E$2:$H$159,4,FALSE)</f>
        <v>AA-</v>
      </c>
      <c r="D17" s="56" t="str">
        <f>IF(E17="NR",VLOOKUP(B17,'Sovereign Ratings (Moody''s,S&amp;P)'!$G$9:$H$34,2,FALSE),E17)</f>
        <v>Aa3</v>
      </c>
      <c r="E17" s="236" t="str">
        <f>VLOOKUP(A17,'Ratings worksheet'!$A$2:$C$159,3,FALSE)</f>
        <v>Aa3</v>
      </c>
      <c r="G17" s="30" t="s">
        <v>197</v>
      </c>
      <c r="H17" s="15" t="s">
        <v>77</v>
      </c>
    </row>
    <row r="18" spans="1:8">
      <c r="A18" s="46" t="str">
        <f>'Ratings worksheet'!A18</f>
        <v>Belize</v>
      </c>
      <c r="B18" s="56" t="str">
        <f>VLOOKUP(A18,'Ratings worksheet'!$A$2:$C$159,2,FALSE)</f>
        <v>B-</v>
      </c>
      <c r="C18" s="56" t="str">
        <f>VLOOKUP(A18,'Ratings worksheet'!$E$2:$H$159,4,FALSE)</f>
        <v>NR</v>
      </c>
      <c r="D18" s="56" t="str">
        <f>IF(E18="NR",VLOOKUP(B18,'Sovereign Ratings (Moody''s,S&amp;P)'!$G$9:$H$34,2,FALSE),E18)</f>
        <v>Caa1</v>
      </c>
      <c r="E18" s="236" t="str">
        <f>VLOOKUP(A18,'Ratings worksheet'!$A$2:$C$159,3,FALSE)</f>
        <v>Caa1</v>
      </c>
      <c r="G18" s="30" t="s">
        <v>193</v>
      </c>
      <c r="H18" s="15" t="s">
        <v>48</v>
      </c>
    </row>
    <row r="19" spans="1:8">
      <c r="A19" s="46" t="str">
        <f>'Ratings worksheet'!A19</f>
        <v>Benin</v>
      </c>
      <c r="B19" s="56" t="str">
        <f>VLOOKUP(A19,'Ratings worksheet'!$A$2:$C$159,2,FALSE)</f>
        <v>BB- </v>
      </c>
      <c r="C19" s="56" t="str">
        <f>VLOOKUP(A19,'Ratings worksheet'!$E$2:$H$159,4,FALSE)</f>
        <v>B+</v>
      </c>
      <c r="D19" s="56" t="str">
        <f>IF(E19="NR",VLOOKUP(B19,'Sovereign Ratings (Moody''s,S&amp;P)'!$G$9:$H$34,2,FALSE),E19)</f>
        <v>B1</v>
      </c>
      <c r="E19" s="236" t="str">
        <f>VLOOKUP(A19,'Ratings worksheet'!$A$2:$C$159,3,FALSE)</f>
        <v>B1</v>
      </c>
      <c r="G19" s="30" t="s">
        <v>212</v>
      </c>
      <c r="H19" s="15" t="s">
        <v>79</v>
      </c>
    </row>
    <row r="20" spans="1:8">
      <c r="A20" s="46" t="str">
        <f>'Ratings worksheet'!A20</f>
        <v>Bermuda</v>
      </c>
      <c r="B20" s="56" t="str">
        <f>VLOOKUP(A20,'Ratings worksheet'!$A$2:$C$159,2,FALSE)</f>
        <v>A+</v>
      </c>
      <c r="C20" s="56" t="e">
        <f>VLOOKUP(A20,'Ratings worksheet'!$E$2:$H$159,4,FALSE)</f>
        <v>#N/A</v>
      </c>
      <c r="D20" s="56" t="str">
        <f>IF(E20="NR",VLOOKUP(B20,'Sovereign Ratings (Moody''s,S&amp;P)'!$G$9:$H$34,2,FALSE),E20)</f>
        <v>A2</v>
      </c>
      <c r="E20" s="236" t="str">
        <f>VLOOKUP(A20,'Ratings worksheet'!$A$2:$C$159,3,FALSE)</f>
        <v>A2</v>
      </c>
      <c r="G20" s="30" t="s">
        <v>196</v>
      </c>
      <c r="H20" s="15" t="s">
        <v>80</v>
      </c>
    </row>
    <row r="21" spans="1:8">
      <c r="A21" s="46" t="str">
        <f>'Ratings worksheet'!A21</f>
        <v>Bolivia</v>
      </c>
      <c r="B21" s="56" t="str">
        <f>VLOOKUP(A21,'Ratings worksheet'!$A$2:$C$159,2,FALSE)</f>
        <v>CCC+ </v>
      </c>
      <c r="C21" s="56" t="str">
        <f>VLOOKUP(A21,'Ratings worksheet'!$E$2:$H$159,4,FALSE)</f>
        <v>CCC</v>
      </c>
      <c r="D21" s="56" t="str">
        <f>IF(E21="NR",VLOOKUP(B21,'Sovereign Ratings (Moody''s,S&amp;P)'!$G$9:$H$34,2,FALSE),E21)</f>
        <v>Caa3</v>
      </c>
      <c r="E21" s="236" t="str">
        <f>VLOOKUP(A21,'Ratings worksheet'!$A$2:$C$159,3,FALSE)</f>
        <v>Caa3</v>
      </c>
      <c r="G21" s="30" t="s">
        <v>213</v>
      </c>
      <c r="H21" s="15" t="s">
        <v>78</v>
      </c>
    </row>
    <row r="22" spans="1:8">
      <c r="A22" s="46" t="str">
        <f>'Ratings worksheet'!A22</f>
        <v>Bosnia and Herzegovina</v>
      </c>
      <c r="B22" s="56" t="str">
        <f>VLOOKUP(A22,'Ratings worksheet'!$A$2:$C$159,2,FALSE)</f>
        <v>B+</v>
      </c>
      <c r="C22" s="56" t="str">
        <f>VLOOKUP(A22,'Ratings worksheet'!$E$2:$H$159,4,FALSE)</f>
        <v>NR</v>
      </c>
      <c r="D22" s="56" t="str">
        <f>IF(E22="NR",VLOOKUP(B22,'Sovereign Ratings (Moody''s,S&amp;P)'!$G$9:$H$34,2,FALSE),E22)</f>
        <v>B3</v>
      </c>
      <c r="E22" s="236" t="str">
        <f>VLOOKUP(A22,'Ratings worksheet'!$A$2:$C$159,3,FALSE)</f>
        <v>B3</v>
      </c>
      <c r="G22" s="30" t="s">
        <v>203</v>
      </c>
      <c r="H22" s="15" t="s">
        <v>82</v>
      </c>
    </row>
    <row r="23" spans="1:8">
      <c r="A23" s="46" t="str">
        <f>'Ratings worksheet'!A23</f>
        <v>Botswana</v>
      </c>
      <c r="B23" s="56" t="str">
        <f>VLOOKUP(A23,'Ratings worksheet'!$A$2:$C$159,2,FALSE)</f>
        <v>BBB+</v>
      </c>
      <c r="C23" s="56" t="str">
        <f>VLOOKUP(A23,'Ratings worksheet'!$E$2:$H$159,4,FALSE)</f>
        <v>NR</v>
      </c>
      <c r="D23" s="56" t="str">
        <f>IF(E23="NR",VLOOKUP(B23,'Sovereign Ratings (Moody''s,S&amp;P)'!$G$9:$H$34,2,FALSE),E23)</f>
        <v>A3</v>
      </c>
      <c r="E23" s="236" t="str">
        <f>VLOOKUP(A23,'Ratings worksheet'!$A$2:$C$159,3,FALSE)</f>
        <v>A3</v>
      </c>
      <c r="G23" s="30" t="s">
        <v>202</v>
      </c>
      <c r="H23" s="15" t="s">
        <v>123</v>
      </c>
    </row>
    <row r="24" spans="1:8">
      <c r="A24" s="46" t="str">
        <f>'Ratings worksheet'!A24</f>
        <v>Brazil</v>
      </c>
      <c r="B24" s="56" t="str">
        <f>VLOOKUP(A24,'Ratings worksheet'!$A$2:$C$159,2,FALSE)</f>
        <v>BB</v>
      </c>
      <c r="C24" s="56" t="str">
        <f>VLOOKUP(A24,'Ratings worksheet'!$E$2:$H$159,4,FALSE)</f>
        <v>BB</v>
      </c>
      <c r="D24" s="56" t="str">
        <f>IF(E24="NR",VLOOKUP(B24,'Sovereign Ratings (Moody''s,S&amp;P)'!$G$9:$H$34,2,FALSE),E24)</f>
        <v>Ba1</v>
      </c>
      <c r="E24" s="236" t="str">
        <f>VLOOKUP(A24,'Ratings worksheet'!$A$2:$C$159,3,FALSE)</f>
        <v>Ba1</v>
      </c>
      <c r="G24" s="30" t="s">
        <v>199</v>
      </c>
      <c r="H24" s="15" t="s">
        <v>81</v>
      </c>
    </row>
    <row r="25" spans="1:8">
      <c r="A25" s="46" t="str">
        <f>'Ratings worksheet'!A25</f>
        <v>Bulgaria</v>
      </c>
      <c r="B25" s="56" t="str">
        <f>VLOOKUP(A25,'Ratings worksheet'!$A$2:$C$159,2,FALSE)</f>
        <v>BBB </v>
      </c>
      <c r="C25" s="56" t="str">
        <f>VLOOKUP(A25,'Ratings worksheet'!$E$2:$H$159,4,FALSE)</f>
        <v>BBB</v>
      </c>
      <c r="D25" s="56" t="str">
        <f>IF(E25="NR",VLOOKUP(B25,'Sovereign Ratings (Moody''s,S&amp;P)'!$G$9:$H$34,2,FALSE),E25)</f>
        <v>Baa1</v>
      </c>
      <c r="E25" s="236" t="str">
        <f>VLOOKUP(A25,'Ratings worksheet'!$A$2:$C$159,3,FALSE)</f>
        <v>Baa1</v>
      </c>
      <c r="G25" s="30" t="s">
        <v>136</v>
      </c>
      <c r="H25" s="15" t="s">
        <v>241</v>
      </c>
    </row>
    <row r="26" spans="1:8">
      <c r="A26" s="46" t="str">
        <f>'Ratings worksheet'!A26</f>
        <v>Burkina Faso</v>
      </c>
      <c r="B26" s="56" t="str">
        <f>VLOOKUP(A26,'Ratings worksheet'!$A$2:$C$159,2,FALSE)</f>
        <v>CCC+</v>
      </c>
      <c r="C26" s="56" t="str">
        <f>VLOOKUP(A26,'Ratings worksheet'!$E$2:$H$159,4,FALSE)</f>
        <v>NR</v>
      </c>
      <c r="D26" s="56" t="str">
        <f>IF(E26="NR",VLOOKUP(B26,'Sovereign Ratings (Moody''s,S&amp;P)'!$G$9:$H$34,2,FALSE),E26)</f>
        <v>Caa1</v>
      </c>
      <c r="E26" s="236" t="str">
        <f>VLOOKUP(A26,'Ratings worksheet'!$A$2:$C$159,3,FALSE)</f>
        <v>NR</v>
      </c>
      <c r="G26" s="30" t="s">
        <v>242</v>
      </c>
      <c r="H26" s="15" t="s">
        <v>243</v>
      </c>
    </row>
    <row r="27" spans="1:8">
      <c r="A27" s="46" t="str">
        <f>'Ratings worksheet'!A27</f>
        <v>Cambodia</v>
      </c>
      <c r="B27" s="56" t="str">
        <f>VLOOKUP(A27,'Ratings worksheet'!$A$2:$C$159,2,FALSE)</f>
        <v>N/A</v>
      </c>
      <c r="C27" s="56" t="str">
        <f>VLOOKUP(A27,'Ratings worksheet'!$E$2:$H$159,4,FALSE)</f>
        <v>NR</v>
      </c>
      <c r="D27" s="56" t="str">
        <f>IF(E27="NR",VLOOKUP(B27,'Sovereign Ratings (Moody''s,S&amp;P)'!$G$9:$H$34,2,FALSE),E27)</f>
        <v>B2</v>
      </c>
      <c r="E27" s="236" t="str">
        <f>VLOOKUP(A27,'Ratings worksheet'!$A$2:$C$159,3,FALSE)</f>
        <v>B2</v>
      </c>
      <c r="G27" s="30" t="s">
        <v>239</v>
      </c>
      <c r="H27" s="15" t="s">
        <v>240</v>
      </c>
    </row>
    <row r="28" spans="1:8">
      <c r="A28" s="46" t="str">
        <f>'Ratings worksheet'!A28</f>
        <v>Cameroon</v>
      </c>
      <c r="B28" s="56" t="str">
        <f>VLOOKUP(A28,'Ratings worksheet'!$A$2:$C$159,2,FALSE)</f>
        <v>B-</v>
      </c>
      <c r="C28" s="56" t="str">
        <f>VLOOKUP(A28,'Ratings worksheet'!$E$2:$H$159,4,FALSE)</f>
        <v>B</v>
      </c>
      <c r="D28" s="56" t="str">
        <f>IF(E28="NR",VLOOKUP(B28,'Sovereign Ratings (Moody''s,S&amp;P)'!$G$9:$H$34,2,FALSE),E28)</f>
        <v>Caa1</v>
      </c>
      <c r="E28" s="236" t="str">
        <f>VLOOKUP(A28,'Ratings worksheet'!$A$2:$C$159,3,FALSE)</f>
        <v>Caa1</v>
      </c>
      <c r="G28" s="30" t="s">
        <v>235</v>
      </c>
      <c r="H28" s="15" t="s">
        <v>236</v>
      </c>
    </row>
    <row r="29" spans="1:8" s="16" customFormat="1">
      <c r="A29" s="46" t="str">
        <f>'Ratings worksheet'!A29</f>
        <v>Canada</v>
      </c>
      <c r="B29" s="56" t="str">
        <f>VLOOKUP(A29,'Ratings worksheet'!$A$2:$C$159,2,FALSE)</f>
        <v>AAA</v>
      </c>
      <c r="C29" s="56" t="str">
        <f>VLOOKUP(A29,'Ratings worksheet'!$E$2:$H$159,4,FALSE)</f>
        <v>AA+</v>
      </c>
      <c r="D29" s="56" t="str">
        <f>IF(E29="NR",VLOOKUP(B29,'Sovereign Ratings (Moody''s,S&amp;P)'!$G$9:$H$34,2,FALSE),E29)</f>
        <v>Aaa</v>
      </c>
      <c r="E29" s="236" t="str">
        <f>VLOOKUP(A29,'Ratings worksheet'!$A$2:$C$159,3,FALSE)</f>
        <v>Aaa</v>
      </c>
      <c r="G29" s="30" t="s">
        <v>237</v>
      </c>
      <c r="H29" s="15" t="s">
        <v>238</v>
      </c>
    </row>
    <row r="30" spans="1:8">
      <c r="A30" s="46" t="str">
        <f>'Ratings worksheet'!A30</f>
        <v>Cape Verde</v>
      </c>
      <c r="B30" s="56" t="str">
        <f>VLOOKUP(A30,'Ratings worksheet'!$A$2:$C$159,2,FALSE)</f>
        <v>B</v>
      </c>
      <c r="C30" s="56" t="str">
        <f>VLOOKUP(A30,'Ratings worksheet'!$E$2:$H$159,4,FALSE)</f>
        <v>B</v>
      </c>
      <c r="D30" s="56" t="str">
        <f>IF(E30="NR",VLOOKUP(B30,'Sovereign Ratings (Moody''s,S&amp;P)'!$G$9:$H$34,2,FALSE),E30)</f>
        <v>B2</v>
      </c>
      <c r="E30" s="236" t="str">
        <f>VLOOKUP(A30,'Ratings worksheet'!$A$2:$C$159,3,FALSE)</f>
        <v>NR</v>
      </c>
      <c r="G30" s="30" t="s">
        <v>234</v>
      </c>
      <c r="H30" s="15" t="s">
        <v>250</v>
      </c>
    </row>
    <row r="31" spans="1:8">
      <c r="A31" s="46" t="str">
        <f>'Ratings worksheet'!A31</f>
        <v>Cayman Islands</v>
      </c>
      <c r="B31" s="56" t="e">
        <f>VLOOKUP(A31,'Ratings worksheet'!$A$2:$C$159,2,FALSE)</f>
        <v>#N/A</v>
      </c>
      <c r="C31" s="56" t="e">
        <f>VLOOKUP(A31,'Ratings worksheet'!$E$2:$H$159,4,FALSE)</f>
        <v>#N/A</v>
      </c>
      <c r="D31" s="56" t="str">
        <f>IF(E31="NR",VLOOKUP(B31,'Sovereign Ratings (Moody''s,S&amp;P)'!$G$9:$H$34,2,FALSE),E31)</f>
        <v>Aa3</v>
      </c>
      <c r="E31" s="236" t="str">
        <f>VLOOKUP(A31,'Ratings worksheet'!$A$2:$C$159,3,FALSE)</f>
        <v>Aa3</v>
      </c>
      <c r="G31" s="30" t="s">
        <v>232</v>
      </c>
      <c r="H31" s="15" t="s">
        <v>58</v>
      </c>
    </row>
    <row r="32" spans="1:8">
      <c r="A32" s="46" t="str">
        <f>'Ratings worksheet'!A32</f>
        <v>Chile</v>
      </c>
      <c r="B32" s="56" t="str">
        <f>VLOOKUP(A32,'Ratings worksheet'!$A$2:$C$159,2,FALSE)</f>
        <v>A</v>
      </c>
      <c r="C32" s="56" t="str">
        <f>VLOOKUP(A32,'Ratings worksheet'!$E$2:$H$159,4,FALSE)</f>
        <v>A-</v>
      </c>
      <c r="D32" s="56" t="str">
        <f>IF(E32="NR",VLOOKUP(B32,'Sovereign Ratings (Moody''s,S&amp;P)'!$G$9:$H$34,2,FALSE),E32)</f>
        <v>A2</v>
      </c>
      <c r="E32" s="236" t="str">
        <f>VLOOKUP(A32,'Ratings worksheet'!$A$2:$C$159,3,FALSE)</f>
        <v>A2</v>
      </c>
      <c r="G32" s="30" t="s">
        <v>233</v>
      </c>
      <c r="H32" s="15" t="s">
        <v>62</v>
      </c>
    </row>
    <row r="33" spans="1:8">
      <c r="A33" s="46" t="str">
        <f>'Ratings worksheet'!A33</f>
        <v>China</v>
      </c>
      <c r="B33" s="56" t="str">
        <f>VLOOKUP(A33,'Ratings worksheet'!$A$2:$C$159,2,FALSE)</f>
        <v>A+</v>
      </c>
      <c r="C33" s="56" t="e">
        <f>VLOOKUP(A33,'Ratings worksheet'!$E$2:$H$159,4,FALSE)</f>
        <v>#N/A</v>
      </c>
      <c r="D33" s="56" t="str">
        <f>IF(E33="NR",VLOOKUP(B33,'Sovereign Ratings (Moody''s,S&amp;P)'!$G$9:$H$34,2,FALSE),E33)</f>
        <v>A1</v>
      </c>
      <c r="E33" s="236" t="str">
        <f>VLOOKUP(A33,'Ratings worksheet'!$A$2:$C$159,3,FALSE)</f>
        <v>A1</v>
      </c>
      <c r="G33" s="30" t="s">
        <v>215</v>
      </c>
      <c r="H33" s="15" t="s">
        <v>99</v>
      </c>
    </row>
    <row r="34" spans="1:8">
      <c r="A34" s="46" t="str">
        <f>'Ratings worksheet'!A34</f>
        <v>Colombia</v>
      </c>
      <c r="B34" s="56" t="str">
        <f>VLOOKUP(A34,'Ratings worksheet'!$A$2:$C$159,2,FALSE)</f>
        <v>BB+ </v>
      </c>
      <c r="C34" s="56" t="str">
        <f>VLOOKUP(A34,'Ratings worksheet'!$E$2:$H$159,4,FALSE)</f>
        <v>BB+</v>
      </c>
      <c r="D34" s="56" t="str">
        <f>IF(E34="NR",VLOOKUP(B34,'Sovereign Ratings (Moody''s,S&amp;P)'!$G$9:$H$34,2,FALSE),E34)</f>
        <v>Baa2</v>
      </c>
      <c r="E34" s="236" t="str">
        <f>VLOOKUP(A34,'Ratings worksheet'!$A$2:$C$159,3,FALSE)</f>
        <v>Baa2</v>
      </c>
      <c r="G34" s="234" t="s">
        <v>273</v>
      </c>
      <c r="H34" s="200" t="s">
        <v>142</v>
      </c>
    </row>
    <row r="35" spans="1:8">
      <c r="A35" s="46" t="str">
        <f>'Ratings worksheet'!A35</f>
        <v>Congo (Democratic Republic of)</v>
      </c>
      <c r="B35" s="56" t="str">
        <f>VLOOKUP(A35,'Ratings worksheet'!$A$2:$C$159,2,FALSE)</f>
        <v>B-</v>
      </c>
      <c r="C35" s="56" t="e">
        <f>VLOOKUP(A35,'Ratings worksheet'!$E$2:$H$159,4,FALSE)</f>
        <v>#N/A</v>
      </c>
      <c r="D35" s="56" t="str">
        <f>IF(E35="NR",VLOOKUP(B35,'Sovereign Ratings (Moody''s,S&amp;P)'!$G$9:$H$34,2,FALSE),E35)</f>
        <v>B3</v>
      </c>
      <c r="E35" s="236" t="str">
        <f>VLOOKUP(A35,'Ratings worksheet'!$A$2:$C$159,3,FALSE)</f>
        <v>B3</v>
      </c>
    </row>
    <row r="36" spans="1:8">
      <c r="A36" s="46" t="str">
        <f>'Ratings worksheet'!A36</f>
        <v>Congo (Republic of)</v>
      </c>
      <c r="B36" s="56" t="str">
        <f>VLOOKUP(A36,'Ratings worksheet'!$A$2:$C$159,2,FALSE)</f>
        <v>CCC+</v>
      </c>
      <c r="C36" s="56" t="e">
        <f>VLOOKUP(A36,'Ratings worksheet'!$E$2:$H$159,4,FALSE)</f>
        <v>#N/A</v>
      </c>
      <c r="D36" s="56" t="str">
        <f>IF(E36="NR",VLOOKUP(B36,'Sovereign Ratings (Moody''s,S&amp;P)'!$G$9:$H$34,2,FALSE),E36)</f>
        <v>Caa2</v>
      </c>
      <c r="E36" s="236" t="str">
        <f>VLOOKUP(A36,'Ratings worksheet'!$A$2:$C$159,3,FALSE)</f>
        <v>Caa2</v>
      </c>
    </row>
    <row r="37" spans="1:8">
      <c r="A37" s="46" t="str">
        <f>'Ratings worksheet'!A37</f>
        <v>Cook Islands</v>
      </c>
      <c r="B37" s="56" t="str">
        <f>VLOOKUP(A37,'Ratings worksheet'!$A$2:$C$159,2,FALSE)</f>
        <v>B+</v>
      </c>
      <c r="C37" s="56" t="e">
        <f>VLOOKUP(A37,'Ratings worksheet'!$E$2:$H$159,4,FALSE)</f>
        <v>#N/A</v>
      </c>
      <c r="D37" s="56" t="str">
        <f>IF(E37="NR",VLOOKUP(B37,'Sovereign Ratings (Moody''s,S&amp;P)'!$G$9:$H$34,2,FALSE),E37)</f>
        <v>B1</v>
      </c>
      <c r="E37" s="236" t="str">
        <f>VLOOKUP(A37,'Ratings worksheet'!$A$2:$C$159,3,FALSE)</f>
        <v>B1</v>
      </c>
    </row>
    <row r="38" spans="1:8">
      <c r="A38" s="46" t="str">
        <f>'Ratings worksheet'!A38</f>
        <v>Costa Rica</v>
      </c>
      <c r="B38" s="56" t="str">
        <f>VLOOKUP(A38,'Ratings worksheet'!$A$2:$C$159,2,FALSE)</f>
        <v>BB- </v>
      </c>
      <c r="C38" s="56" t="str">
        <f>VLOOKUP(A38,'Ratings worksheet'!$E$2:$H$159,4,FALSE)</f>
        <v>BB</v>
      </c>
      <c r="D38" s="56" t="str">
        <f>IF(E38="NR",VLOOKUP(B38,'Sovereign Ratings (Moody''s,S&amp;P)'!$G$9:$H$34,2,FALSE),E38)</f>
        <v>Ba3</v>
      </c>
      <c r="E38" s="236" t="str">
        <f>VLOOKUP(A38,'Ratings worksheet'!$A$2:$C$159,3,FALSE)</f>
        <v>Ba3</v>
      </c>
    </row>
    <row r="39" spans="1:8">
      <c r="A39" s="46" t="str">
        <f>'Ratings worksheet'!A39</f>
        <v>Côte d'Ivoire</v>
      </c>
      <c r="B39" s="56" t="e">
        <f>VLOOKUP(A39,'Ratings worksheet'!$A$2:$C$159,2,FALSE)</f>
        <v>#N/A</v>
      </c>
      <c r="C39" s="56" t="e">
        <f>VLOOKUP(A39,'Ratings worksheet'!$E$2:$H$159,4,FALSE)</f>
        <v>#N/A</v>
      </c>
      <c r="D39" s="56" t="str">
        <f>IF(E39="NR",VLOOKUP(B39,'Sovereign Ratings (Moody''s,S&amp;P)'!$G$9:$H$34,2,FALSE),E39)</f>
        <v>Ba2</v>
      </c>
      <c r="E39" s="236" t="str">
        <f>VLOOKUP(A39,'Ratings worksheet'!$A$2:$C$159,3,FALSE)</f>
        <v>Ba2</v>
      </c>
    </row>
    <row r="40" spans="1:8">
      <c r="A40" s="46" t="str">
        <f>'Ratings worksheet'!A40</f>
        <v>Croatia</v>
      </c>
      <c r="B40" s="56" t="str">
        <f>VLOOKUP(A40,'Ratings worksheet'!$A$2:$C$159,2,FALSE)</f>
        <v>A- </v>
      </c>
      <c r="C40" s="56" t="str">
        <f>VLOOKUP(A40,'Ratings worksheet'!$E$2:$H$159,4,FALSE)</f>
        <v>BBB+</v>
      </c>
      <c r="D40" s="56" t="str">
        <f>IF(E40="NR",VLOOKUP(B40,'Sovereign Ratings (Moody''s,S&amp;P)'!$G$9:$H$34,2,FALSE),E40)</f>
        <v>A3</v>
      </c>
      <c r="E40" s="236" t="str">
        <f>VLOOKUP(A40,'Ratings worksheet'!$A$2:$C$159,3,FALSE)</f>
        <v>A3</v>
      </c>
    </row>
    <row r="41" spans="1:8">
      <c r="A41" s="46" t="str">
        <f>'Ratings worksheet'!A41</f>
        <v>Cuba</v>
      </c>
      <c r="B41" s="56">
        <f>VLOOKUP(A41,'Ratings worksheet'!$A$2:$C$159,2,FALSE)</f>
        <v>0</v>
      </c>
      <c r="C41" s="56" t="str">
        <f>VLOOKUP(A41,'Ratings worksheet'!$E$2:$H$159,4,FALSE)</f>
        <v>NR</v>
      </c>
      <c r="D41" s="56" t="str">
        <f>IF(E41="NR",VLOOKUP(B41,'Sovereign Ratings (Moody''s,S&amp;P)'!$G$9:$H$34,2,FALSE),E41)</f>
        <v>Ca</v>
      </c>
      <c r="E41" s="236" t="str">
        <f>VLOOKUP(A41,'Ratings worksheet'!$A$2:$C$159,3,FALSE)</f>
        <v>Ca</v>
      </c>
    </row>
    <row r="42" spans="1:8">
      <c r="A42" s="46" t="str">
        <f>'Ratings worksheet'!A42</f>
        <v>Curacao</v>
      </c>
      <c r="B42" s="56" t="str">
        <f>VLOOKUP(A42,'Ratings worksheet'!$A$2:$C$159,2,FALSE)</f>
        <v>BBB-</v>
      </c>
      <c r="C42" s="56" t="e">
        <f>VLOOKUP(A42,'Ratings worksheet'!$E$2:$H$159,4,FALSE)</f>
        <v>#N/A</v>
      </c>
      <c r="D42" s="56" t="str">
        <f>IF(E42="NR",VLOOKUP(B42,'Sovereign Ratings (Moody''s,S&amp;P)'!$G$9:$H$34,2,FALSE),E42)</f>
        <v>Baa3</v>
      </c>
      <c r="E42" s="236" t="str">
        <f>VLOOKUP(A42,'Ratings worksheet'!$A$2:$C$159,3,FALSE)</f>
        <v>NR</v>
      </c>
    </row>
    <row r="43" spans="1:8">
      <c r="A43" s="46" t="str">
        <f>'Ratings worksheet'!A43</f>
        <v>Cyprus</v>
      </c>
      <c r="B43" s="56" t="str">
        <f>VLOOKUP(A43,'Ratings worksheet'!$A$2:$C$159,2,FALSE)</f>
        <v>A-</v>
      </c>
      <c r="C43" s="56" t="str">
        <f>VLOOKUP(A43,'Ratings worksheet'!$E$2:$H$159,4,FALSE)</f>
        <v>A-</v>
      </c>
      <c r="D43" s="56" t="str">
        <f>IF(E43="NR",VLOOKUP(B43,'Sovereign Ratings (Moody''s,S&amp;P)'!$G$9:$H$34,2,FALSE),E43)</f>
        <v>A3</v>
      </c>
      <c r="E43" s="236" t="str">
        <f>VLOOKUP(A43,'Ratings worksheet'!$A$2:$C$159,3,FALSE)</f>
        <v>A3</v>
      </c>
    </row>
    <row r="44" spans="1:8">
      <c r="A44" s="46" t="str">
        <f>'Ratings worksheet'!A44</f>
        <v>Czech Republic</v>
      </c>
      <c r="B44" s="56" t="str">
        <f>VLOOKUP(A44,'Ratings worksheet'!$A$2:$C$159,2,FALSE)</f>
        <v>AA-</v>
      </c>
      <c r="C44" s="56" t="str">
        <f>VLOOKUP(A44,'Ratings worksheet'!$E$2:$H$159,4,FALSE)</f>
        <v>AA-</v>
      </c>
      <c r="D44" s="56" t="str">
        <f>IF(E44="NR",VLOOKUP(B44,'Sovereign Ratings (Moody''s,S&amp;P)'!$G$9:$H$34,2,FALSE),E44)</f>
        <v>Aa3</v>
      </c>
      <c r="E44" s="236" t="str">
        <f>VLOOKUP(A44,'Ratings worksheet'!$A$2:$C$159,3,FALSE)</f>
        <v>Aa3</v>
      </c>
    </row>
    <row r="45" spans="1:8">
      <c r="A45" s="46" t="str">
        <f>'Ratings worksheet'!A45</f>
        <v>Denmark</v>
      </c>
      <c r="B45" s="56" t="str">
        <f>VLOOKUP(A45,'Ratings worksheet'!$A$2:$C$159,2,FALSE)</f>
        <v>AAA</v>
      </c>
      <c r="C45" s="56" t="str">
        <f>VLOOKUP(A45,'Ratings worksheet'!$E$2:$H$159,4,FALSE)</f>
        <v>AAA</v>
      </c>
      <c r="D45" s="56" t="str">
        <f>IF(E45="NR",VLOOKUP(B45,'Sovereign Ratings (Moody''s,S&amp;P)'!$G$9:$H$34,2,FALSE),E45)</f>
        <v>Aaa</v>
      </c>
      <c r="E45" s="236" t="str">
        <f>VLOOKUP(A45,'Ratings worksheet'!$A$2:$C$159,3,FALSE)</f>
        <v>Aaa</v>
      </c>
    </row>
    <row r="46" spans="1:8">
      <c r="A46" s="46" t="str">
        <f>'Ratings worksheet'!A46</f>
        <v>Dominican Republic</v>
      </c>
      <c r="B46" s="56" t="str">
        <f>VLOOKUP(A46,'Ratings worksheet'!$A$2:$C$159,2,FALSE)</f>
        <v>BB</v>
      </c>
      <c r="C46" s="56" t="str">
        <f>VLOOKUP(A46,'Ratings worksheet'!$E$2:$H$159,4,FALSE)</f>
        <v>BB-</v>
      </c>
      <c r="D46" s="56" t="str">
        <f>IF(E46="NR",VLOOKUP(B46,'Sovereign Ratings (Moody''s,S&amp;P)'!$G$9:$H$34,2,FALSE),E46)</f>
        <v>Ba3</v>
      </c>
      <c r="E46" s="236" t="str">
        <f>VLOOKUP(A46,'Ratings worksheet'!$A$2:$C$159,3,FALSE)</f>
        <v>Ba3</v>
      </c>
    </row>
    <row r="47" spans="1:8">
      <c r="A47" s="46" t="str">
        <f>'Ratings worksheet'!A47</f>
        <v>Ecuador</v>
      </c>
      <c r="B47" s="56" t="str">
        <f>VLOOKUP(A47,'Ratings worksheet'!$A$2:$C$159,2,FALSE)</f>
        <v>B- </v>
      </c>
      <c r="C47" s="56" t="str">
        <f>VLOOKUP(A47,'Ratings worksheet'!$E$2:$H$159,4,FALSE)</f>
        <v>CCC+</v>
      </c>
      <c r="D47" s="56" t="str">
        <f>IF(E47="NR",VLOOKUP(B47,'Sovereign Ratings (Moody''s,S&amp;P)'!$G$9:$H$34,2,FALSE),E47)</f>
        <v>Caa3</v>
      </c>
      <c r="E47" s="236" t="str">
        <f>VLOOKUP(A47,'Ratings worksheet'!$A$2:$C$159,3,FALSE)</f>
        <v>Caa3</v>
      </c>
    </row>
    <row r="48" spans="1:8">
      <c r="A48" s="46" t="str">
        <f>'Ratings worksheet'!A48</f>
        <v>Egypt</v>
      </c>
      <c r="B48" s="56" t="str">
        <f>VLOOKUP(A48,'Ratings worksheet'!$A$2:$C$159,2,FALSE)</f>
        <v>B- </v>
      </c>
      <c r="C48" s="56" t="str">
        <f>VLOOKUP(A48,'Ratings worksheet'!$E$2:$H$159,4,FALSE)</f>
        <v>B-</v>
      </c>
      <c r="D48" s="56" t="str">
        <f>IF(E48="NR",VLOOKUP(B48,'Sovereign Ratings (Moody''s,S&amp;P)'!$G$9:$H$34,2,FALSE),E48)</f>
        <v>Caa1</v>
      </c>
      <c r="E48" s="236" t="str">
        <f>VLOOKUP(A48,'Ratings worksheet'!$A$2:$C$159,3,FALSE)</f>
        <v>Caa1</v>
      </c>
    </row>
    <row r="49" spans="1:5">
      <c r="A49" s="46" t="str">
        <f>'Ratings worksheet'!A49</f>
        <v>El Salvador</v>
      </c>
      <c r="B49" s="56" t="str">
        <f>VLOOKUP(A49,'Ratings worksheet'!$A$2:$C$159,2,FALSE)</f>
        <v>B-</v>
      </c>
      <c r="C49" s="56" t="str">
        <f>VLOOKUP(A49,'Ratings worksheet'!$E$2:$H$159,4,FALSE)</f>
        <v>CC</v>
      </c>
      <c r="D49" s="56" t="str">
        <f>IF(E49="NR",VLOOKUP(B49,'Sovereign Ratings (Moody''s,S&amp;P)'!$G$9:$H$34,2,FALSE),E49)</f>
        <v>B3</v>
      </c>
      <c r="E49" s="236" t="str">
        <f>VLOOKUP(A49,'Ratings worksheet'!$A$2:$C$159,3,FALSE)</f>
        <v>B3</v>
      </c>
    </row>
    <row r="50" spans="1:5">
      <c r="A50" s="46" t="str">
        <f>'Ratings worksheet'!A50</f>
        <v>Estonia</v>
      </c>
      <c r="B50" s="56" t="str">
        <f>VLOOKUP(A50,'Ratings worksheet'!$A$2:$C$159,2,FALSE)</f>
        <v>NR</v>
      </c>
      <c r="C50" s="56" t="str">
        <f>VLOOKUP(A50,'Ratings worksheet'!$E$2:$H$159,4,FALSE)</f>
        <v>AA-</v>
      </c>
      <c r="D50" s="56" t="str">
        <f>IF(E50="NR",VLOOKUP(B50,'Sovereign Ratings (Moody''s,S&amp;P)'!$G$9:$H$34,2,FALSE),E50)</f>
        <v>A1</v>
      </c>
      <c r="E50" s="236" t="str">
        <f>VLOOKUP(A50,'Ratings worksheet'!$A$2:$C$159,3,FALSE)</f>
        <v>A1</v>
      </c>
    </row>
    <row r="51" spans="1:5">
      <c r="A51" s="46" t="str">
        <f>'Ratings worksheet'!A51</f>
        <v>Ethiopia</v>
      </c>
      <c r="B51" s="56" t="str">
        <f>VLOOKUP(A51,'Ratings worksheet'!$A$2:$C$159,2,FALSE)</f>
        <v>SD</v>
      </c>
      <c r="C51" s="56" t="str">
        <f>VLOOKUP(A51,'Ratings worksheet'!$E$2:$H$159,4,FALSE)</f>
        <v>NR</v>
      </c>
      <c r="D51" s="56" t="str">
        <f>IF(E51="NR",VLOOKUP(B51,'Sovereign Ratings (Moody''s,S&amp;P)'!$G$9:$H$34,2,FALSE),E51)</f>
        <v>Caa2</v>
      </c>
      <c r="E51" s="236" t="str">
        <f>VLOOKUP(A51,'Ratings worksheet'!$A$2:$C$159,3,FALSE)</f>
        <v>Caa2</v>
      </c>
    </row>
    <row r="52" spans="1:5">
      <c r="A52" s="46" t="str">
        <f>'Ratings worksheet'!A52</f>
        <v>Fiji</v>
      </c>
      <c r="B52" s="56" t="str">
        <f>VLOOKUP(A52,'Ratings worksheet'!$A$2:$C$159,2,FALSE)</f>
        <v>B+</v>
      </c>
      <c r="C52" s="56" t="str">
        <f>VLOOKUP(A52,'Ratings worksheet'!$E$2:$H$159,4,FALSE)</f>
        <v>NR</v>
      </c>
      <c r="D52" s="56" t="str">
        <f>IF(E52="NR",VLOOKUP(B52,'Sovereign Ratings (Moody''s,S&amp;P)'!$G$9:$H$34,2,FALSE),E52)</f>
        <v>B1</v>
      </c>
      <c r="E52" s="236" t="str">
        <f>VLOOKUP(A52,'Ratings worksheet'!$A$2:$C$159,3,FALSE)</f>
        <v>B1</v>
      </c>
    </row>
    <row r="53" spans="1:5">
      <c r="A53" s="46" t="str">
        <f>'Ratings worksheet'!A53</f>
        <v>Finland</v>
      </c>
      <c r="B53" s="56" t="str">
        <f>VLOOKUP(A53,'Ratings worksheet'!$A$2:$C$159,2,FALSE)</f>
        <v>AA+</v>
      </c>
      <c r="C53" s="56" t="str">
        <f>VLOOKUP(A53,'Ratings worksheet'!$E$2:$H$159,4,FALSE)</f>
        <v>AA+</v>
      </c>
      <c r="D53" s="56" t="str">
        <f>IF(E53="NR",VLOOKUP(B53,'Sovereign Ratings (Moody''s,S&amp;P)'!$G$9:$H$34,2,FALSE),E53)</f>
        <v>Aa1</v>
      </c>
      <c r="E53" s="236" t="str">
        <f>VLOOKUP(A53,'Ratings worksheet'!$A$2:$C$159,3,FALSE)</f>
        <v>Aa1</v>
      </c>
    </row>
    <row r="54" spans="1:5">
      <c r="A54" s="46" t="str">
        <f>'Ratings worksheet'!A54</f>
        <v>France</v>
      </c>
      <c r="B54" s="56" t="str">
        <f>VLOOKUP(A54,'Ratings worksheet'!$A$2:$C$159,2,FALSE)</f>
        <v>AA-</v>
      </c>
      <c r="C54" s="56" t="str">
        <f>VLOOKUP(A54,'Ratings worksheet'!$E$2:$H$159,4,FALSE)</f>
        <v>AA-</v>
      </c>
      <c r="D54" s="56" t="str">
        <f>IF(E54="NR",VLOOKUP(B54,'Sovereign Ratings (Moody''s,S&amp;P)'!$G$9:$H$34,2,FALSE),E54)</f>
        <v>Aa3</v>
      </c>
      <c r="E54" s="236" t="str">
        <f>VLOOKUP(A54,'Ratings worksheet'!$A$2:$C$159,3,FALSE)</f>
        <v>Aa3</v>
      </c>
    </row>
    <row r="55" spans="1:5">
      <c r="A55" s="46" t="str">
        <f>'Ratings worksheet'!A55</f>
        <v>Gabon</v>
      </c>
      <c r="B55" s="56" t="str">
        <f>VLOOKUP(A55,'Ratings worksheet'!$A$2:$C$159,2,FALSE)</f>
        <v>N/A</v>
      </c>
      <c r="C55" s="56" t="str">
        <f>VLOOKUP(A55,'Ratings worksheet'!$E$2:$H$159,4,FALSE)</f>
        <v>B-</v>
      </c>
      <c r="D55" s="56" t="str">
        <f>IF(E55="NR",VLOOKUP(B55,'Sovereign Ratings (Moody''s,S&amp;P)'!$G$9:$H$34,2,FALSE),E55)</f>
        <v>Caa2</v>
      </c>
      <c r="E55" s="236" t="str">
        <f>VLOOKUP(A55,'Ratings worksheet'!$A$2:$C$159,3,FALSE)</f>
        <v>Caa2</v>
      </c>
    </row>
    <row r="56" spans="1:5">
      <c r="A56" s="46" t="str">
        <f>'Ratings worksheet'!A56</f>
        <v>Georgia</v>
      </c>
      <c r="B56" s="56" t="str">
        <f>VLOOKUP(A56,'Ratings worksheet'!$A$2:$C$159,2,FALSE)</f>
        <v>BB</v>
      </c>
      <c r="C56" s="56" t="str">
        <f>VLOOKUP(A56,'Ratings worksheet'!$E$2:$H$159,4,FALSE)</f>
        <v>BB</v>
      </c>
      <c r="D56" s="56" t="str">
        <f>IF(E56="NR",VLOOKUP(B56,'Sovereign Ratings (Moody''s,S&amp;P)'!$G$9:$H$34,2,FALSE),E56)</f>
        <v>Ba2</v>
      </c>
      <c r="E56" s="236" t="str">
        <f>VLOOKUP(A56,'Ratings worksheet'!$A$2:$C$159,3,FALSE)</f>
        <v>Ba2</v>
      </c>
    </row>
    <row r="57" spans="1:5">
      <c r="A57" s="46" t="str">
        <f>'Ratings worksheet'!A57</f>
        <v>Germany</v>
      </c>
      <c r="B57" s="56" t="str">
        <f>VLOOKUP(A57,'Ratings worksheet'!$A$2:$C$159,2,FALSE)</f>
        <v>AAA</v>
      </c>
      <c r="C57" s="56" t="str">
        <f>VLOOKUP(A57,'Ratings worksheet'!$E$2:$H$159,4,FALSE)</f>
        <v>AAA</v>
      </c>
      <c r="D57" s="56" t="str">
        <f>IF(E57="NR",VLOOKUP(B57,'Sovereign Ratings (Moody''s,S&amp;P)'!$G$9:$H$34,2,FALSE),E57)</f>
        <v>Aaa</v>
      </c>
      <c r="E57" s="236" t="str">
        <f>VLOOKUP(A57,'Ratings worksheet'!$A$2:$C$159,3,FALSE)</f>
        <v>Aaa</v>
      </c>
    </row>
    <row r="58" spans="1:5">
      <c r="A58" s="46" t="str">
        <f>'Ratings worksheet'!A58</f>
        <v>Ghana</v>
      </c>
      <c r="B58" s="56" t="str">
        <f>VLOOKUP(A58,'Ratings worksheet'!$A$2:$C$159,2,FALSE)</f>
        <v>SD</v>
      </c>
      <c r="C58" s="56" t="str">
        <f>VLOOKUP(A58,'Ratings worksheet'!$E$2:$H$159,4,FALSE)</f>
        <v>NR</v>
      </c>
      <c r="D58" s="56" t="str">
        <f>IF(E58="NR",VLOOKUP(B58,'Sovereign Ratings (Moody''s,S&amp;P)'!$G$9:$H$34,2,FALSE),E58)</f>
        <v>Caa2</v>
      </c>
      <c r="E58" s="236" t="str">
        <f>VLOOKUP(A58,'Ratings worksheet'!$A$2:$C$159,3,FALSE)</f>
        <v>Caa2</v>
      </c>
    </row>
    <row r="59" spans="1:5">
      <c r="A59" s="46" t="str">
        <f>'Ratings worksheet'!A59</f>
        <v>Greece</v>
      </c>
      <c r="B59" s="56" t="str">
        <f>VLOOKUP(A59,'Ratings worksheet'!$A$2:$C$159,2,FALSE)</f>
        <v>BBB- </v>
      </c>
      <c r="C59" s="56" t="str">
        <f>VLOOKUP(A59,'Ratings worksheet'!$E$2:$H$159,4,FALSE)</f>
        <v>BBB-</v>
      </c>
      <c r="D59" s="56" t="str">
        <f>IF(E59="NR",VLOOKUP(B59,'Sovereign Ratings (Moody''s,S&amp;P)'!$G$9:$H$34,2,FALSE),E59)</f>
        <v>Ba1</v>
      </c>
      <c r="E59" s="236" t="str">
        <f>VLOOKUP(A59,'Ratings worksheet'!$A$2:$C$159,3,FALSE)</f>
        <v>Ba1</v>
      </c>
    </row>
    <row r="60" spans="1:5">
      <c r="A60" s="46" t="str">
        <f>'Ratings worksheet'!A60</f>
        <v>Guatemala</v>
      </c>
      <c r="B60" s="56" t="str">
        <f>VLOOKUP(A60,'Ratings worksheet'!$A$2:$C$159,2,FALSE)</f>
        <v>BB </v>
      </c>
      <c r="C60" s="56" t="str">
        <f>VLOOKUP(A60,'Ratings worksheet'!$E$2:$H$159,4,FALSE)</f>
        <v>BB</v>
      </c>
      <c r="D60" s="56" t="str">
        <f>IF(E60="NR",VLOOKUP(B60,'Sovereign Ratings (Moody''s,S&amp;P)'!$G$9:$H$34,2,FALSE),E60)</f>
        <v>Ba1</v>
      </c>
      <c r="E60" s="236" t="str">
        <f>VLOOKUP(A60,'Ratings worksheet'!$A$2:$C$159,3,FALSE)</f>
        <v>Ba1</v>
      </c>
    </row>
    <row r="61" spans="1:5">
      <c r="A61" s="46" t="str">
        <f>'Ratings worksheet'!A61</f>
        <v>Guernsey (States of)</v>
      </c>
      <c r="B61" s="56" t="e">
        <f>VLOOKUP(A61,'Ratings worksheet'!$A$2:$C$159,2,FALSE)</f>
        <v>#N/A</v>
      </c>
      <c r="C61" s="56" t="e">
        <f>VLOOKUP(A61,'Ratings worksheet'!$E$2:$H$159,4,FALSE)</f>
        <v>#N/A</v>
      </c>
      <c r="D61" s="56" t="str">
        <f>IF(E61="NR",VLOOKUP(B61,'Sovereign Ratings (Moody''s,S&amp;P)'!$G$9:$H$34,2,FALSE),E61)</f>
        <v>A1</v>
      </c>
      <c r="E61" s="236" t="str">
        <f>VLOOKUP(A61,'Ratings worksheet'!$A$2:$C$159,3,FALSE)</f>
        <v>A1</v>
      </c>
    </row>
    <row r="62" spans="1:5">
      <c r="A62" s="46" t="str">
        <f>'Ratings worksheet'!A62</f>
        <v>Honduras</v>
      </c>
      <c r="B62" s="56" t="str">
        <f>VLOOKUP(A62,'Ratings worksheet'!$A$2:$C$159,2,FALSE)</f>
        <v>BB- </v>
      </c>
      <c r="C62" s="56" t="str">
        <f>VLOOKUP(A62,'Ratings worksheet'!$E$2:$H$159,4,FALSE)</f>
        <v>NR</v>
      </c>
      <c r="D62" s="56" t="str">
        <f>IF(E62="NR",VLOOKUP(B62,'Sovereign Ratings (Moody''s,S&amp;P)'!$G$9:$H$34,2,FALSE),E62)</f>
        <v>B1</v>
      </c>
      <c r="E62" s="236" t="str">
        <f>VLOOKUP(A62,'Ratings worksheet'!$A$2:$C$159,3,FALSE)</f>
        <v>B1</v>
      </c>
    </row>
    <row r="63" spans="1:5">
      <c r="A63" s="46" t="str">
        <f>'Ratings worksheet'!A63</f>
        <v>Hong Kong</v>
      </c>
      <c r="B63" s="56" t="str">
        <f>VLOOKUP(A63,'Ratings worksheet'!$A$2:$C$159,2,FALSE)</f>
        <v>AA+</v>
      </c>
      <c r="C63" s="56" t="str">
        <f>VLOOKUP(A63,'Ratings worksheet'!$E$2:$H$159,4,FALSE)</f>
        <v>AA-</v>
      </c>
      <c r="D63" s="56" t="str">
        <f>IF(E63="NR",VLOOKUP(B63,'Sovereign Ratings (Moody''s,S&amp;P)'!$G$9:$H$34,2,FALSE),E63)</f>
        <v>Aa3</v>
      </c>
      <c r="E63" s="236" t="str">
        <f>VLOOKUP(A63,'Ratings worksheet'!$A$2:$C$159,3,FALSE)</f>
        <v>Aa3</v>
      </c>
    </row>
    <row r="64" spans="1:5">
      <c r="A64" s="46" t="str">
        <f>'Ratings worksheet'!A64</f>
        <v>Hungary</v>
      </c>
      <c r="B64" s="56" t="str">
        <f>VLOOKUP(A64,'Ratings worksheet'!$A$2:$C$159,2,FALSE)</f>
        <v>BBB-</v>
      </c>
      <c r="C64" s="56" t="str">
        <f>VLOOKUP(A64,'Ratings worksheet'!$E$2:$H$159,4,FALSE)</f>
        <v>BBB</v>
      </c>
      <c r="D64" s="56" t="str">
        <f>IF(E64="NR",VLOOKUP(B64,'Sovereign Ratings (Moody''s,S&amp;P)'!$G$9:$H$34,2,FALSE),E64)</f>
        <v>Baa2</v>
      </c>
      <c r="E64" s="236" t="str">
        <f>VLOOKUP(A64,'Ratings worksheet'!$A$2:$C$159,3,FALSE)</f>
        <v>Baa2</v>
      </c>
    </row>
    <row r="65" spans="1:5">
      <c r="A65" s="46" t="str">
        <f>'Ratings worksheet'!A65</f>
        <v>Iceland</v>
      </c>
      <c r="B65" s="56" t="str">
        <f>VLOOKUP(A65,'Ratings worksheet'!$A$2:$C$159,2,FALSE)</f>
        <v>A+</v>
      </c>
      <c r="C65" s="56" t="str">
        <f>VLOOKUP(A65,'Ratings worksheet'!$E$2:$H$159,4,FALSE)</f>
        <v>A</v>
      </c>
      <c r="D65" s="56" t="str">
        <f>IF(E65="NR",VLOOKUP(B65,'Sovereign Ratings (Moody''s,S&amp;P)'!$G$9:$H$34,2,FALSE),E65)</f>
        <v>A1</v>
      </c>
      <c r="E65" s="236" t="str">
        <f>VLOOKUP(A65,'Ratings worksheet'!$A$2:$C$159,3,FALSE)</f>
        <v>A1</v>
      </c>
    </row>
    <row r="66" spans="1:5">
      <c r="A66" s="46" t="str">
        <f>'Ratings worksheet'!A66</f>
        <v>India</v>
      </c>
      <c r="B66" s="56" t="str">
        <f>VLOOKUP(A66,'Ratings worksheet'!$A$2:$C$159,2,FALSE)</f>
        <v>BBB- </v>
      </c>
      <c r="C66" s="56" t="str">
        <f>VLOOKUP(A66,'Ratings worksheet'!$E$2:$H$159,4,FALSE)</f>
        <v>BBB-</v>
      </c>
      <c r="D66" s="56" t="str">
        <f>IF(E66="NR",VLOOKUP(B66,'Sovereign Ratings (Moody''s,S&amp;P)'!$G$9:$H$34,2,FALSE),E66)</f>
        <v>Baa3</v>
      </c>
      <c r="E66" s="236" t="str">
        <f>VLOOKUP(A66,'Ratings worksheet'!$A$2:$C$159,3,FALSE)</f>
        <v>Baa3</v>
      </c>
    </row>
    <row r="67" spans="1:5">
      <c r="A67" s="46" t="str">
        <f>'Ratings worksheet'!A67</f>
        <v>Indonesia</v>
      </c>
      <c r="B67" s="56" t="str">
        <f>VLOOKUP(A67,'Ratings worksheet'!$A$2:$C$159,2,FALSE)</f>
        <v>BBB</v>
      </c>
      <c r="C67" s="56" t="str">
        <f>VLOOKUP(A67,'Ratings worksheet'!$E$2:$H$159,4,FALSE)</f>
        <v>BBB</v>
      </c>
      <c r="D67" s="56" t="str">
        <f>IF(E67="NR",VLOOKUP(B67,'Sovereign Ratings (Moody''s,S&amp;P)'!$G$9:$H$34,2,FALSE),E67)</f>
        <v>Baa2</v>
      </c>
      <c r="E67" s="236" t="str">
        <f>VLOOKUP(A67,'Ratings worksheet'!$A$2:$C$159,3,FALSE)</f>
        <v>Baa2</v>
      </c>
    </row>
    <row r="68" spans="1:5">
      <c r="A68" s="46" t="str">
        <f>'Ratings worksheet'!A68</f>
        <v>Iraq</v>
      </c>
      <c r="B68" s="56" t="str">
        <f>VLOOKUP(A68,'Ratings worksheet'!$A$2:$C$159,2,FALSE)</f>
        <v>B-</v>
      </c>
      <c r="C68" s="56" t="str">
        <f>VLOOKUP(A68,'Ratings worksheet'!$E$2:$H$159,4,FALSE)</f>
        <v>B-</v>
      </c>
      <c r="D68" s="56" t="str">
        <f>IF(E68="NR",VLOOKUP(B68,'Sovereign Ratings (Moody''s,S&amp;P)'!$G$9:$H$34,2,FALSE),E68)</f>
        <v>Caa1</v>
      </c>
      <c r="E68" s="236" t="str">
        <f>VLOOKUP(A68,'Ratings worksheet'!$A$2:$C$159,3,FALSE)</f>
        <v>Caa1</v>
      </c>
    </row>
    <row r="69" spans="1:5">
      <c r="A69" s="46" t="str">
        <f>'Ratings worksheet'!A69</f>
        <v>Ireland</v>
      </c>
      <c r="B69" s="56" t="str">
        <f>VLOOKUP(A69,'Ratings worksheet'!$A$2:$C$159,2,FALSE)</f>
        <v>AA </v>
      </c>
      <c r="C69" s="56" t="str">
        <f>VLOOKUP(A69,'Ratings worksheet'!$E$2:$H$159,4,FALSE)</f>
        <v>AA-</v>
      </c>
      <c r="D69" s="56" t="str">
        <f>IF(E69="NR",VLOOKUP(B69,'Sovereign Ratings (Moody''s,S&amp;P)'!$G$9:$H$34,2,FALSE),E69)</f>
        <v>Aa3</v>
      </c>
      <c r="E69" s="236" t="str">
        <f>VLOOKUP(A69,'Ratings worksheet'!$A$2:$C$159,3,FALSE)</f>
        <v>Aa3</v>
      </c>
    </row>
    <row r="70" spans="1:5">
      <c r="A70" s="46" t="str">
        <f>'Ratings worksheet'!A70</f>
        <v>Isle of Man</v>
      </c>
      <c r="B70" s="56" t="str">
        <f>VLOOKUP(A70,'Ratings worksheet'!$A$2:$C$159,2,FALSE)</f>
        <v>N/A</v>
      </c>
      <c r="C70" s="56" t="e">
        <f>VLOOKUP(A70,'Ratings worksheet'!$E$2:$H$159,4,FALSE)</f>
        <v>#N/A</v>
      </c>
      <c r="D70" s="56" t="str">
        <f>IF(E70="NR",VLOOKUP(B70,'Sovereign Ratings (Moody''s,S&amp;P)'!$G$9:$H$34,2,FALSE),E70)</f>
        <v>Aa3</v>
      </c>
      <c r="E70" s="236" t="str">
        <f>VLOOKUP(A70,'Ratings worksheet'!$A$2:$C$159,3,FALSE)</f>
        <v>Aa3</v>
      </c>
    </row>
    <row r="71" spans="1:5">
      <c r="A71" s="46" t="str">
        <f>'Ratings worksheet'!A71</f>
        <v>Israel</v>
      </c>
      <c r="B71" s="56" t="str">
        <f>VLOOKUP(A71,'Ratings worksheet'!$A$2:$C$159,2,FALSE)</f>
        <v>A </v>
      </c>
      <c r="C71" s="56" t="str">
        <f>VLOOKUP(A71,'Ratings worksheet'!$E$2:$H$159,4,FALSE)</f>
        <v>A</v>
      </c>
      <c r="D71" s="56" t="str">
        <f>IF(E71="NR",VLOOKUP(B71,'Sovereign Ratings (Moody''s,S&amp;P)'!$G$9:$H$34,2,FALSE),E71)</f>
        <v>Baa1</v>
      </c>
      <c r="E71" s="236" t="str">
        <f>VLOOKUP(A71,'Ratings worksheet'!$A$2:$C$159,3,FALSE)</f>
        <v>Baa1</v>
      </c>
    </row>
    <row r="72" spans="1:5">
      <c r="A72" s="46" t="str">
        <f>'Ratings worksheet'!A72</f>
        <v>Italy</v>
      </c>
      <c r="B72" s="56" t="str">
        <f>VLOOKUP(A72,'Ratings worksheet'!$A$2:$C$159,2,FALSE)</f>
        <v>BBB</v>
      </c>
      <c r="C72" s="56" t="str">
        <f>VLOOKUP(A72,'Ratings worksheet'!$E$2:$H$159,4,FALSE)</f>
        <v>BBB</v>
      </c>
      <c r="D72" s="56" t="str">
        <f>IF(E72="NR",VLOOKUP(B72,'Sovereign Ratings (Moody''s,S&amp;P)'!$G$9:$H$34,2,FALSE),E72)</f>
        <v>Baa3</v>
      </c>
      <c r="E72" s="236" t="str">
        <f>VLOOKUP(A72,'Ratings worksheet'!$A$2:$C$159,3,FALSE)</f>
        <v>Baa3</v>
      </c>
    </row>
    <row r="73" spans="1:5">
      <c r="A73" s="46" t="str">
        <f>'Ratings worksheet'!A73</f>
        <v>Jamaica</v>
      </c>
      <c r="B73" s="56" t="str">
        <f>VLOOKUP(A73,'Ratings worksheet'!$A$2:$C$159,2,FALSE)</f>
        <v>BB- </v>
      </c>
      <c r="C73" s="56" t="str">
        <f>VLOOKUP(A73,'Ratings worksheet'!$E$2:$H$159,4,FALSE)</f>
        <v>BB-</v>
      </c>
      <c r="D73" s="56" t="str">
        <f>IF(E73="NR",VLOOKUP(B73,'Sovereign Ratings (Moody''s,S&amp;P)'!$G$9:$H$34,2,FALSE),E73)</f>
        <v>B1</v>
      </c>
      <c r="E73" s="236" t="str">
        <f>VLOOKUP(A73,'Ratings worksheet'!$A$2:$C$159,3,FALSE)</f>
        <v>B1</v>
      </c>
    </row>
    <row r="74" spans="1:5">
      <c r="A74" s="46" t="str">
        <f>'Ratings worksheet'!A74</f>
        <v>Japan</v>
      </c>
      <c r="B74" s="56" t="str">
        <f>VLOOKUP(A74,'Ratings worksheet'!$A$2:$C$159,2,FALSE)</f>
        <v>A+</v>
      </c>
      <c r="C74" s="56" t="str">
        <f>VLOOKUP(A74,'Ratings worksheet'!$E$2:$H$159,4,FALSE)</f>
        <v>A</v>
      </c>
      <c r="D74" s="56" t="str">
        <f>IF(E74="NR",VLOOKUP(B74,'Sovereign Ratings (Moody''s,S&amp;P)'!$G$9:$H$34,2,FALSE),E74)</f>
        <v>A1</v>
      </c>
      <c r="E74" s="236" t="str">
        <f>VLOOKUP(A74,'Ratings worksheet'!$A$2:$C$159,3,FALSE)</f>
        <v>A1</v>
      </c>
    </row>
    <row r="75" spans="1:5">
      <c r="A75" s="46" t="str">
        <f>'Ratings worksheet'!A75</f>
        <v>Jersey (States of)</v>
      </c>
      <c r="B75" s="56" t="str">
        <f>VLOOKUP(A75,'Ratings worksheet'!$A$2:$C$159,2,FALSE)</f>
        <v>AA</v>
      </c>
      <c r="C75" s="56" t="e">
        <f>VLOOKUP(A75,'Ratings worksheet'!$E$2:$H$159,4,FALSE)</f>
        <v>#N/A</v>
      </c>
      <c r="D75" s="56" t="str">
        <f>IF(E75="NR",VLOOKUP(B75,'Sovereign Ratings (Moody''s,S&amp;P)'!$G$9:$H$34,2,FALSE),E75)</f>
        <v>Aa2</v>
      </c>
      <c r="E75" s="236" t="str">
        <f>VLOOKUP(A75,'Ratings worksheet'!$A$2:$C$159,3,FALSE)</f>
        <v>NR</v>
      </c>
    </row>
    <row r="76" spans="1:5">
      <c r="A76" s="46" t="str">
        <f>'Ratings worksheet'!A76</f>
        <v>Jordan</v>
      </c>
      <c r="B76" s="56" t="str">
        <f>VLOOKUP(A76,'Ratings worksheet'!$A$2:$C$159,2,FALSE)</f>
        <v>BB-</v>
      </c>
      <c r="C76" s="56" t="str">
        <f>VLOOKUP(A76,'Ratings worksheet'!$E$2:$H$159,4,FALSE)</f>
        <v>BB-</v>
      </c>
      <c r="D76" s="56" t="str">
        <f>IF(E76="NR",VLOOKUP(B76,'Sovereign Ratings (Moody''s,S&amp;P)'!$G$9:$H$34,2,FALSE),E76)</f>
        <v>Ba3</v>
      </c>
      <c r="E76" s="236" t="str">
        <f>VLOOKUP(A76,'Ratings worksheet'!$A$2:$C$159,3,FALSE)</f>
        <v>Ba3</v>
      </c>
    </row>
    <row r="77" spans="1:5">
      <c r="A77" s="46" t="str">
        <f>'Ratings worksheet'!A77</f>
        <v>Kazakhstan</v>
      </c>
      <c r="B77" s="56" t="str">
        <f>VLOOKUP(A77,'Ratings worksheet'!$A$2:$C$159,2,FALSE)</f>
        <v>BBB-</v>
      </c>
      <c r="C77" s="56" t="str">
        <f>VLOOKUP(A77,'Ratings worksheet'!$E$2:$H$159,4,FALSE)</f>
        <v>BBB</v>
      </c>
      <c r="D77" s="56" t="str">
        <f>IF(E77="NR",VLOOKUP(B77,'Sovereign Ratings (Moody''s,S&amp;P)'!$G$9:$H$34,2,FALSE),E77)</f>
        <v>Baa1</v>
      </c>
      <c r="E77" s="236" t="str">
        <f>VLOOKUP(A77,'Ratings worksheet'!$A$2:$C$159,3,FALSE)</f>
        <v>Baa1</v>
      </c>
    </row>
    <row r="78" spans="1:5">
      <c r="A78" s="46" t="str">
        <f>'Ratings worksheet'!A78</f>
        <v>Kenya</v>
      </c>
      <c r="B78" s="56" t="str">
        <f>VLOOKUP(A78,'Ratings worksheet'!$A$2:$C$159,2,FALSE)</f>
        <v>B-</v>
      </c>
      <c r="C78" s="56" t="str">
        <f>VLOOKUP(A78,'Ratings worksheet'!$E$2:$H$159,4,FALSE)</f>
        <v>B-</v>
      </c>
      <c r="D78" s="56" t="str">
        <f>IF(E78="NR",VLOOKUP(B78,'Sovereign Ratings (Moody''s,S&amp;P)'!$G$9:$H$34,2,FALSE),E78)</f>
        <v>Caa1</v>
      </c>
      <c r="E78" s="236" t="str">
        <f>VLOOKUP(A78,'Ratings worksheet'!$A$2:$C$159,3,FALSE)</f>
        <v>Caa1</v>
      </c>
    </row>
    <row r="79" spans="1:5">
      <c r="A79" s="46" t="str">
        <f>'Ratings worksheet'!A79</f>
        <v>Korea</v>
      </c>
      <c r="B79" s="56" t="e">
        <f>VLOOKUP(A79,'Ratings worksheet'!$A$2:$C$159,2,FALSE)</f>
        <v>#N/A</v>
      </c>
      <c r="C79" s="56" t="e">
        <f>VLOOKUP(A79,'Ratings worksheet'!$E$2:$H$159,4,FALSE)</f>
        <v>#N/A</v>
      </c>
      <c r="D79" s="56" t="str">
        <f>IF(E79="NR",VLOOKUP(B79,'Sovereign Ratings (Moody''s,S&amp;P)'!$G$9:$H$34,2,FALSE),E79)</f>
        <v>Aa2</v>
      </c>
      <c r="E79" s="236" t="str">
        <f>VLOOKUP(A79,'Ratings worksheet'!$A$2:$C$159,3,FALSE)</f>
        <v>Aa2</v>
      </c>
    </row>
    <row r="80" spans="1:5">
      <c r="A80" s="46" t="str">
        <f>'Ratings worksheet'!A80</f>
        <v>Kuwait</v>
      </c>
      <c r="B80" s="56" t="str">
        <f>VLOOKUP(A80,'Ratings worksheet'!$A$2:$C$159,2,FALSE)</f>
        <v>A+</v>
      </c>
      <c r="C80" s="56" t="str">
        <f>VLOOKUP(A80,'Ratings worksheet'!$E$2:$H$159,4,FALSE)</f>
        <v>AA-</v>
      </c>
      <c r="D80" s="56" t="str">
        <f>IF(E80="NR",VLOOKUP(B80,'Sovereign Ratings (Moody''s,S&amp;P)'!$G$9:$H$34,2,FALSE),E80)</f>
        <v>A1</v>
      </c>
      <c r="E80" s="236" t="str">
        <f>VLOOKUP(A80,'Ratings worksheet'!$A$2:$C$159,3,FALSE)</f>
        <v>A1</v>
      </c>
    </row>
    <row r="81" spans="1:5">
      <c r="A81" s="46" t="str">
        <f>'Ratings worksheet'!A81</f>
        <v>Kyrgyzstan</v>
      </c>
      <c r="B81" s="56" t="e">
        <f>VLOOKUP(A81,'Ratings worksheet'!$A$2:$C$159,2,FALSE)</f>
        <v>#N/A</v>
      </c>
      <c r="C81" s="56" t="e">
        <f>VLOOKUP(A81,'Ratings worksheet'!$E$2:$H$159,4,FALSE)</f>
        <v>#N/A</v>
      </c>
      <c r="D81" s="56" t="str">
        <f>IF(E81="NR",VLOOKUP(B81,'Sovereign Ratings (Moody''s,S&amp;P)'!$G$9:$H$34,2,FALSE),E81)</f>
        <v>B3</v>
      </c>
      <c r="E81" s="236" t="str">
        <f>VLOOKUP(A81,'Ratings worksheet'!$A$2:$C$159,3,FALSE)</f>
        <v>B3</v>
      </c>
    </row>
    <row r="82" spans="1:5">
      <c r="A82" s="46" t="str">
        <f>'Ratings worksheet'!A82</f>
        <v>Laos</v>
      </c>
      <c r="B82" s="56">
        <f>VLOOKUP(A82,'Ratings worksheet'!$A$2:$C$159,2,FALSE)</f>
        <v>0</v>
      </c>
      <c r="C82" s="56" t="str">
        <f>VLOOKUP(A82,'Ratings worksheet'!$E$2:$H$159,4,FALSE)</f>
        <v>CCC-</v>
      </c>
      <c r="D82" s="56" t="str">
        <f>IF(E82="NR",VLOOKUP(B82,'Sovereign Ratings (Moody''s,S&amp;P)'!$G$9:$H$34,2,FALSE),E82)</f>
        <v>Caa3</v>
      </c>
      <c r="E82" s="236" t="str">
        <f>VLOOKUP(A82,'Ratings worksheet'!$A$2:$C$159,3,FALSE)</f>
        <v>Caa3</v>
      </c>
    </row>
    <row r="83" spans="1:5">
      <c r="A83" s="46" t="str">
        <f>'Ratings worksheet'!A83</f>
        <v>Latvia</v>
      </c>
      <c r="B83" s="56" t="str">
        <f>VLOOKUP(A83,'Ratings worksheet'!$A$2:$C$159,2,FALSE)</f>
        <v>A</v>
      </c>
      <c r="C83" s="56" t="str">
        <f>VLOOKUP(A83,'Ratings worksheet'!$E$2:$H$159,4,FALSE)</f>
        <v>A-</v>
      </c>
      <c r="D83" s="56" t="str">
        <f>IF(E83="NR",VLOOKUP(B83,'Sovereign Ratings (Moody''s,S&amp;P)'!$G$9:$H$34,2,FALSE),E83)</f>
        <v>A3</v>
      </c>
      <c r="E83" s="236" t="str">
        <f>VLOOKUP(A83,'Ratings worksheet'!$A$2:$C$159,3,FALSE)</f>
        <v>A3</v>
      </c>
    </row>
    <row r="84" spans="1:5">
      <c r="A84" s="46" t="str">
        <f>'Ratings worksheet'!A84</f>
        <v>Lebanon</v>
      </c>
      <c r="B84" s="56" t="str">
        <f>VLOOKUP(A84,'Ratings worksheet'!$A$2:$C$159,2,FALSE)</f>
        <v>D</v>
      </c>
      <c r="C84" s="56" t="str">
        <f>VLOOKUP(A84,'Ratings worksheet'!$E$2:$H$159,4,FALSE)</f>
        <v>NR</v>
      </c>
      <c r="D84" s="56" t="str">
        <f>IF(E84="NR",VLOOKUP(B84,'Sovereign Ratings (Moody''s,S&amp;P)'!$G$9:$H$34,2,FALSE),E84)</f>
        <v>C</v>
      </c>
      <c r="E84" s="236" t="str">
        <f>VLOOKUP(A84,'Ratings worksheet'!$A$2:$C$159,3,FALSE)</f>
        <v>C</v>
      </c>
    </row>
    <row r="85" spans="1:5">
      <c r="A85" s="46" t="str">
        <f>'Ratings worksheet'!A85</f>
        <v>Liechtenstein</v>
      </c>
      <c r="B85" s="56" t="str">
        <f>VLOOKUP(A85,'Ratings worksheet'!$A$2:$C$159,2,FALSE)</f>
        <v>AAA</v>
      </c>
      <c r="C85" s="56" t="str">
        <f>VLOOKUP(A85,'Ratings worksheet'!$E$2:$H$159,4,FALSE)</f>
        <v>NR</v>
      </c>
      <c r="D85" s="56" t="str">
        <f>IF(E85="NR",VLOOKUP(B85,'Sovereign Ratings (Moody''s,S&amp;P)'!$G$9:$H$34,2,FALSE),E85)</f>
        <v>Aaa</v>
      </c>
      <c r="E85" s="236" t="str">
        <f>VLOOKUP(A85,'Ratings worksheet'!$A$2:$C$159,3,FALSE)</f>
        <v>NR</v>
      </c>
    </row>
    <row r="86" spans="1:5">
      <c r="A86" s="46" t="str">
        <f>'Ratings worksheet'!A86</f>
        <v>Lithuania</v>
      </c>
      <c r="B86" s="56" t="str">
        <f>VLOOKUP(A86,'Ratings worksheet'!$A$2:$C$159,2,FALSE)</f>
        <v>A</v>
      </c>
      <c r="C86" s="56" t="str">
        <f>VLOOKUP(A86,'Ratings worksheet'!$E$2:$H$159,4,FALSE)</f>
        <v>A</v>
      </c>
      <c r="D86" s="56" t="str">
        <f>IF(E86="NR",VLOOKUP(B86,'Sovereign Ratings (Moody''s,S&amp;P)'!$G$9:$H$34,2,FALSE),E86)</f>
        <v>A2</v>
      </c>
      <c r="E86" s="236" t="str">
        <f>VLOOKUP(A86,'Ratings worksheet'!$A$2:$C$159,3,FALSE)</f>
        <v>A2</v>
      </c>
    </row>
    <row r="87" spans="1:5">
      <c r="A87" s="46" t="str">
        <f>'Ratings worksheet'!A87</f>
        <v>Luxembourg</v>
      </c>
      <c r="B87" s="56" t="str">
        <f>VLOOKUP(A87,'Ratings worksheet'!$A$2:$C$159,2,FALSE)</f>
        <v>AAA</v>
      </c>
      <c r="C87" s="56" t="str">
        <f>VLOOKUP(A87,'Ratings worksheet'!$E$2:$H$159,4,FALSE)</f>
        <v>AAA</v>
      </c>
      <c r="D87" s="56" t="str">
        <f>IF(E87="NR",VLOOKUP(B87,'Sovereign Ratings (Moody''s,S&amp;P)'!$G$9:$H$34,2,FALSE),E87)</f>
        <v>Aaa</v>
      </c>
      <c r="E87" s="236" t="str">
        <f>VLOOKUP(A87,'Ratings worksheet'!$A$2:$C$159,3,FALSE)</f>
        <v>Aaa</v>
      </c>
    </row>
    <row r="88" spans="1:5">
      <c r="A88" s="46" t="str">
        <f>'Ratings worksheet'!A88</f>
        <v>Macao</v>
      </c>
      <c r="B88" s="56" t="e">
        <f>VLOOKUP(A88,'Ratings worksheet'!$A$2:$C$159,2,FALSE)</f>
        <v>#N/A</v>
      </c>
      <c r="C88" s="56" t="e">
        <f>VLOOKUP(A88,'Ratings worksheet'!$E$2:$H$159,4,FALSE)</f>
        <v>#N/A</v>
      </c>
      <c r="D88" s="56" t="str">
        <f>IF(E88="NR",VLOOKUP(B88,'Sovereign Ratings (Moody''s,S&amp;P)'!$G$9:$H$34,2,FALSE),E88)</f>
        <v>Aa3</v>
      </c>
      <c r="E88" s="236" t="str">
        <f>VLOOKUP(A88,'Ratings worksheet'!$A$2:$C$159,3,FALSE)</f>
        <v>Aa3</v>
      </c>
    </row>
    <row r="89" spans="1:5">
      <c r="A89" s="46" t="str">
        <f>'Ratings worksheet'!A89</f>
        <v>Macedonia</v>
      </c>
      <c r="B89" s="56" t="str">
        <f>VLOOKUP(A89,'Ratings worksheet'!$A$2:$C$159,2,FALSE)</f>
        <v>BB-</v>
      </c>
      <c r="C89" s="56" t="e">
        <f>VLOOKUP(A89,'Ratings worksheet'!$E$2:$H$159,4,FALSE)</f>
        <v>#N/A</v>
      </c>
      <c r="D89" s="56" t="str">
        <f>IF(E89="NR",VLOOKUP(B89,'Sovereign Ratings (Moody''s,S&amp;P)'!$G$9:$H$34,2,FALSE),E89)</f>
        <v>Ba3</v>
      </c>
      <c r="E89" s="236" t="str">
        <f>VLOOKUP(A89,'Ratings worksheet'!$A$2:$C$159,3,FALSE)</f>
        <v>NR</v>
      </c>
    </row>
    <row r="90" spans="1:5">
      <c r="A90" s="46" t="str">
        <f>'Ratings worksheet'!A90</f>
        <v>Malaysia</v>
      </c>
      <c r="B90" s="56" t="str">
        <f>VLOOKUP(A90,'Ratings worksheet'!$A$2:$C$159,2,FALSE)</f>
        <v>A-</v>
      </c>
      <c r="C90" s="56" t="str">
        <f>VLOOKUP(A90,'Ratings worksheet'!$E$2:$H$159,4,FALSE)</f>
        <v>BBB+</v>
      </c>
      <c r="D90" s="56" t="str">
        <f>IF(E90="NR",VLOOKUP(B90,'Sovereign Ratings (Moody''s,S&amp;P)'!$G$9:$H$34,2,FALSE),E90)</f>
        <v>A3</v>
      </c>
      <c r="E90" s="236" t="str">
        <f>VLOOKUP(A90,'Ratings worksheet'!$A$2:$C$159,3,FALSE)</f>
        <v>A3</v>
      </c>
    </row>
    <row r="91" spans="1:5">
      <c r="A91" s="46" t="str">
        <f>'Ratings worksheet'!A91</f>
        <v>Maldives</v>
      </c>
      <c r="B91" s="56">
        <f>VLOOKUP(A91,'Ratings worksheet'!$A$2:$C$159,2,FALSE)</f>
        <v>0</v>
      </c>
      <c r="C91" s="56" t="str">
        <f>VLOOKUP(A91,'Ratings worksheet'!$E$2:$H$159,4,FALSE)</f>
        <v>CC</v>
      </c>
      <c r="D91" s="56" t="str">
        <f>IF(E91="NR",VLOOKUP(B91,'Sovereign Ratings (Moody''s,S&amp;P)'!$G$9:$H$34,2,FALSE),E91)</f>
        <v>Caa2</v>
      </c>
      <c r="E91" s="236" t="str">
        <f>VLOOKUP(A91,'Ratings worksheet'!$A$2:$C$159,3,FALSE)</f>
        <v>Caa2</v>
      </c>
    </row>
    <row r="92" spans="1:5">
      <c r="A92" s="46" t="str">
        <f>'Ratings worksheet'!A92</f>
        <v>Mali</v>
      </c>
      <c r="B92" s="56">
        <f>VLOOKUP(A92,'Ratings worksheet'!$A$2:$C$159,2,FALSE)</f>
        <v>0</v>
      </c>
      <c r="C92" s="56" t="str">
        <f>VLOOKUP(A92,'Ratings worksheet'!$E$2:$H$159,4,FALSE)</f>
        <v>NR</v>
      </c>
      <c r="D92" s="56" t="str">
        <f>IF(E92="NR",VLOOKUP(B92,'Sovereign Ratings (Moody''s,S&amp;P)'!$G$9:$H$34,2,FALSE),E92)</f>
        <v>Caa2</v>
      </c>
      <c r="E92" s="236" t="str">
        <f>VLOOKUP(A92,'Ratings worksheet'!$A$2:$C$159,3,FALSE)</f>
        <v>Caa2</v>
      </c>
    </row>
    <row r="93" spans="1:5">
      <c r="A93" s="46" t="str">
        <f>'Ratings worksheet'!A93</f>
        <v>Malta</v>
      </c>
      <c r="B93" s="56" t="str">
        <f>VLOOKUP(A93,'Ratings worksheet'!$A$2:$C$159,2,FALSE)</f>
        <v>A-</v>
      </c>
      <c r="C93" s="56" t="str">
        <f>VLOOKUP(A93,'Ratings worksheet'!$E$2:$H$159,4,FALSE)</f>
        <v>A+</v>
      </c>
      <c r="D93" s="56" t="str">
        <f>IF(E93="NR",VLOOKUP(B93,'Sovereign Ratings (Moody''s,S&amp;P)'!$G$9:$H$34,2,FALSE),E93)</f>
        <v>A2</v>
      </c>
      <c r="E93" s="236" t="str">
        <f>VLOOKUP(A93,'Ratings worksheet'!$A$2:$C$159,3,FALSE)</f>
        <v>A2</v>
      </c>
    </row>
    <row r="94" spans="1:5">
      <c r="A94" s="46" t="str">
        <f>'Ratings worksheet'!A94</f>
        <v>Mauritius</v>
      </c>
      <c r="B94" s="56" t="str">
        <f>VLOOKUP(A94,'Ratings worksheet'!$A$2:$C$159,2,FALSE)</f>
        <v>BBB-</v>
      </c>
      <c r="C94" s="56" t="str">
        <f>VLOOKUP(A94,'Ratings worksheet'!$E$2:$H$159,4,FALSE)</f>
        <v>NR</v>
      </c>
      <c r="D94" s="56" t="str">
        <f>IF(E94="NR",VLOOKUP(B94,'Sovereign Ratings (Moody''s,S&amp;P)'!$G$9:$H$34,2,FALSE),E94)</f>
        <v>Baa3</v>
      </c>
      <c r="E94" s="236" t="str">
        <f>VLOOKUP(A94,'Ratings worksheet'!$A$2:$C$159,3,FALSE)</f>
        <v>Baa3</v>
      </c>
    </row>
    <row r="95" spans="1:5">
      <c r="A95" s="46" t="str">
        <f>'Ratings worksheet'!A95</f>
        <v>Mexico</v>
      </c>
      <c r="B95" s="56" t="str">
        <f>VLOOKUP(A95,'Ratings worksheet'!$A$2:$C$159,2,FALSE)</f>
        <v>BBB</v>
      </c>
      <c r="C95" s="56" t="str">
        <f>VLOOKUP(A95,'Ratings worksheet'!$E$2:$H$159,4,FALSE)</f>
        <v>BBB-</v>
      </c>
      <c r="D95" s="56" t="str">
        <f>IF(E95="NR",VLOOKUP(B95,'Sovereign Ratings (Moody''s,S&amp;P)'!$G$9:$H$34,2,FALSE),E95)</f>
        <v>Baa2</v>
      </c>
      <c r="E95" s="236" t="str">
        <f>VLOOKUP(A95,'Ratings worksheet'!$A$2:$C$159,3,FALSE)</f>
        <v>Baa2</v>
      </c>
    </row>
    <row r="96" spans="1:5">
      <c r="A96" s="46" t="str">
        <f>'Ratings worksheet'!A96</f>
        <v>Moldova</v>
      </c>
      <c r="B96" s="56">
        <f>VLOOKUP(A96,'Ratings worksheet'!$A$2:$C$159,2,FALSE)</f>
        <v>0</v>
      </c>
      <c r="C96" s="56" t="str">
        <f>VLOOKUP(A96,'Ratings worksheet'!$E$2:$H$159,4,FALSE)</f>
        <v>B+</v>
      </c>
      <c r="D96" s="56" t="str">
        <f>IF(E96="NR",VLOOKUP(B96,'Sovereign Ratings (Moody''s,S&amp;P)'!$G$9:$H$34,2,FALSE),E96)</f>
        <v>B3</v>
      </c>
      <c r="E96" s="236" t="str">
        <f>VLOOKUP(A96,'Ratings worksheet'!$A$2:$C$159,3,FALSE)</f>
        <v>B3</v>
      </c>
    </row>
    <row r="97" spans="1:5">
      <c r="A97" s="46" t="str">
        <f>'Ratings worksheet'!A97</f>
        <v>Mongolia</v>
      </c>
      <c r="B97" s="56" t="str">
        <f>VLOOKUP(A97,'Ratings worksheet'!$A$2:$C$159,2,FALSE)</f>
        <v>B+ </v>
      </c>
      <c r="C97" s="56" t="str">
        <f>VLOOKUP(A97,'Ratings worksheet'!$E$2:$H$159,4,FALSE)</f>
        <v>B+</v>
      </c>
      <c r="D97" s="56" t="str">
        <f>IF(E97="NR",VLOOKUP(B97,'Sovereign Ratings (Moody''s,S&amp;P)'!$G$9:$H$34,2,FALSE),E97)</f>
        <v>B2</v>
      </c>
      <c r="E97" s="236" t="str">
        <f>VLOOKUP(A97,'Ratings worksheet'!$A$2:$C$159,3,FALSE)</f>
        <v>B2</v>
      </c>
    </row>
    <row r="98" spans="1:5">
      <c r="A98" s="46" t="str">
        <f>'Ratings worksheet'!A98</f>
        <v>Montenegro</v>
      </c>
      <c r="B98" s="56" t="str">
        <f>VLOOKUP(A98,'Ratings worksheet'!$A$2:$C$159,2,FALSE)</f>
        <v>B+</v>
      </c>
      <c r="C98" s="56" t="str">
        <f>VLOOKUP(A98,'Ratings worksheet'!$E$2:$H$159,4,FALSE)</f>
        <v>NR</v>
      </c>
      <c r="D98" s="56" t="str">
        <f>IF(E98="NR",VLOOKUP(B98,'Sovereign Ratings (Moody''s,S&amp;P)'!$G$9:$H$34,2,FALSE),E98)</f>
        <v>B1</v>
      </c>
      <c r="E98" s="236" t="str">
        <f>VLOOKUP(A98,'Ratings worksheet'!$A$2:$C$159,3,FALSE)</f>
        <v>B1</v>
      </c>
    </row>
    <row r="99" spans="1:5">
      <c r="A99" s="46" t="str">
        <f>'Ratings worksheet'!A99</f>
        <v>Montserrat</v>
      </c>
      <c r="B99" s="56" t="str">
        <f>VLOOKUP(A99,'Ratings worksheet'!$A$2:$C$159,2,FALSE)</f>
        <v>BBB-</v>
      </c>
      <c r="C99" s="56" t="e">
        <f>VLOOKUP(A99,'Ratings worksheet'!$E$2:$H$159,4,FALSE)</f>
        <v>#N/A</v>
      </c>
      <c r="D99" s="56" t="str">
        <f>IF(E99="NR",VLOOKUP(B99,'Sovereign Ratings (Moody''s,S&amp;P)'!$G$9:$H$34,2,FALSE),E99)</f>
        <v>Baa3</v>
      </c>
      <c r="E99" s="236" t="str">
        <f>VLOOKUP(A99,'Ratings worksheet'!$A$2:$C$159,3,FALSE)</f>
        <v>NR</v>
      </c>
    </row>
    <row r="100" spans="1:5">
      <c r="A100" s="46" t="str">
        <f>'Ratings worksheet'!A100</f>
        <v>Morocco</v>
      </c>
      <c r="B100" s="56" t="str">
        <f>VLOOKUP(A100,'Ratings worksheet'!$A$2:$C$159,2,FALSE)</f>
        <v>BB+ </v>
      </c>
      <c r="C100" s="56" t="str">
        <f>VLOOKUP(A100,'Ratings worksheet'!$E$2:$H$159,4,FALSE)</f>
        <v>BB+</v>
      </c>
      <c r="D100" s="56" t="str">
        <f>IF(E100="NR",VLOOKUP(B100,'Sovereign Ratings (Moody''s,S&amp;P)'!$G$9:$H$34,2,FALSE),E100)</f>
        <v>Ba1</v>
      </c>
      <c r="E100" s="236" t="str">
        <f>VLOOKUP(A100,'Ratings worksheet'!$A$2:$C$159,3,FALSE)</f>
        <v>Ba1</v>
      </c>
    </row>
    <row r="101" spans="1:5">
      <c r="A101" s="46" t="str">
        <f>'Ratings worksheet'!A101</f>
        <v>Mozambique</v>
      </c>
      <c r="B101" s="56" t="str">
        <f>VLOOKUP(A101,'Ratings worksheet'!$A$2:$C$159,2,FALSE)</f>
        <v>CCC+</v>
      </c>
      <c r="C101" s="56" t="str">
        <f>VLOOKUP(A101,'Ratings worksheet'!$E$2:$H$159,4,FALSE)</f>
        <v>CCC</v>
      </c>
      <c r="D101" s="56" t="str">
        <f>IF(E101="NR",VLOOKUP(B101,'Sovereign Ratings (Moody''s,S&amp;P)'!$G$9:$H$34,2,FALSE),E101)</f>
        <v>Caa2</v>
      </c>
      <c r="E101" s="236" t="str">
        <f>VLOOKUP(A101,'Ratings worksheet'!$A$2:$C$159,3,FALSE)</f>
        <v>Caa2</v>
      </c>
    </row>
    <row r="102" spans="1:5">
      <c r="A102" s="46" t="str">
        <f>'Ratings worksheet'!A102</f>
        <v>Namibia</v>
      </c>
      <c r="B102" s="56">
        <f>VLOOKUP(A102,'Ratings worksheet'!$A$2:$C$159,2,FALSE)</f>
        <v>0</v>
      </c>
      <c r="C102" s="56" t="str">
        <f>VLOOKUP(A102,'Ratings worksheet'!$E$2:$H$159,4,FALSE)</f>
        <v>BB</v>
      </c>
      <c r="D102" s="56" t="str">
        <f>IF(E102="NR",VLOOKUP(B102,'Sovereign Ratings (Moody''s,S&amp;P)'!$G$9:$H$34,2,FALSE),E102)</f>
        <v>B1</v>
      </c>
      <c r="E102" s="236" t="str">
        <f>VLOOKUP(A102,'Ratings worksheet'!$A$2:$C$159,3,FALSE)</f>
        <v>B1</v>
      </c>
    </row>
    <row r="103" spans="1:5">
      <c r="A103" s="46" t="str">
        <f>'Ratings worksheet'!E103</f>
        <v>Nepal</v>
      </c>
      <c r="B103" s="56" t="str">
        <f>VLOOKUP(A103,'Ratings worksheet'!$A$2:$C$159,2,FALSE)</f>
        <v>NR</v>
      </c>
      <c r="C103" s="56" t="str">
        <f>VLOOKUP(A103,'Ratings worksheet'!$E$2:$H$159,4,FALSE)</f>
        <v>BB-</v>
      </c>
      <c r="D103" s="56" t="str">
        <f>IF(E103="NR",VLOOKUP(C103,'Sovereign Ratings (Moody''s,S&amp;P)'!$G$9:$H$34,2,FALSE),E103)</f>
        <v>Ba3</v>
      </c>
      <c r="E103" s="236" t="str">
        <f>VLOOKUP(A103,'Ratings worksheet'!$A$2:$C$159,3,FALSE)</f>
        <v>NR</v>
      </c>
    </row>
    <row r="104" spans="1:5">
      <c r="A104" s="46" t="str">
        <f>'Ratings worksheet'!A104</f>
        <v>Netherlands</v>
      </c>
      <c r="B104" s="56" t="str">
        <f>VLOOKUP(A104,'Ratings worksheet'!$A$2:$C$159,2,FALSE)</f>
        <v>AAA</v>
      </c>
      <c r="C104" s="56" t="str">
        <f>VLOOKUP(A104,'Ratings worksheet'!$E$2:$H$159,4,FALSE)</f>
        <v>AAA</v>
      </c>
      <c r="D104" s="56" t="str">
        <f>IF(E104="NR",VLOOKUP(B104,'Sovereign Ratings (Moody''s,S&amp;P)'!$G$9:$H$34,2,FALSE),E104)</f>
        <v>Aaa</v>
      </c>
      <c r="E104" s="236" t="str">
        <f>VLOOKUP(A104,'Ratings worksheet'!$A$2:$C$159,3,FALSE)</f>
        <v>Aaa</v>
      </c>
    </row>
    <row r="105" spans="1:5">
      <c r="A105" s="46" t="str">
        <f>'Ratings worksheet'!A105</f>
        <v>New Zealand</v>
      </c>
      <c r="B105" s="56" t="str">
        <f>VLOOKUP(A105,'Ratings worksheet'!$A$2:$C$159,2,FALSE)</f>
        <v>AA+</v>
      </c>
      <c r="C105" s="56" t="str">
        <f>VLOOKUP(A105,'Ratings worksheet'!$E$2:$H$159,4,FALSE)</f>
        <v>AA+</v>
      </c>
      <c r="D105" s="56" t="str">
        <f>IF(E105="NR",VLOOKUP(B105,'Sovereign Ratings (Moody''s,S&amp;P)'!$G$9:$H$34,2,FALSE),E105)</f>
        <v>Aaa</v>
      </c>
      <c r="E105" s="236" t="str">
        <f>VLOOKUP(A105,'Ratings worksheet'!$A$2:$C$159,3,FALSE)</f>
        <v>Aaa</v>
      </c>
    </row>
    <row r="106" spans="1:5">
      <c r="A106" s="46" t="str">
        <f>'Ratings worksheet'!A106</f>
        <v>Nicaragua</v>
      </c>
      <c r="B106" s="56" t="str">
        <f>VLOOKUP(A106,'Ratings worksheet'!$A$2:$C$159,2,FALSE)</f>
        <v>B+</v>
      </c>
      <c r="C106" s="56" t="str">
        <f>VLOOKUP(A106,'Ratings worksheet'!$E$2:$H$159,4,FALSE)</f>
        <v>B</v>
      </c>
      <c r="D106" s="56" t="str">
        <f>IF(E106="NR",VLOOKUP(B106,'Sovereign Ratings (Moody''s,S&amp;P)'!$G$9:$H$34,2,FALSE),E106)</f>
        <v>B2</v>
      </c>
      <c r="E106" s="236" t="str">
        <f>VLOOKUP(A106,'Ratings worksheet'!$A$2:$C$159,3,FALSE)</f>
        <v>B2</v>
      </c>
    </row>
    <row r="107" spans="1:5">
      <c r="A107" s="46" t="str">
        <f>'Ratings worksheet'!A107</f>
        <v>Niger</v>
      </c>
      <c r="B107" s="56">
        <f>VLOOKUP(A107,'Ratings worksheet'!$A$2:$C$159,2,FALSE)</f>
        <v>0</v>
      </c>
      <c r="C107" s="56" t="str">
        <f>VLOOKUP(A107,'Ratings worksheet'!$E$2:$H$159,4,FALSE)</f>
        <v>NR</v>
      </c>
      <c r="D107" s="56" t="str">
        <f>IF(E107="NR",VLOOKUP(B107,'Sovereign Ratings (Moody''s,S&amp;P)'!$G$9:$H$34,2,FALSE),E107)</f>
        <v>Caa3</v>
      </c>
      <c r="E107" s="236" t="str">
        <f>VLOOKUP(A107,'Ratings worksheet'!$A$2:$C$159,3,FALSE)</f>
        <v>Caa3</v>
      </c>
    </row>
    <row r="108" spans="1:5">
      <c r="A108" s="46" t="str">
        <f>'Ratings worksheet'!A108</f>
        <v>Nigeria</v>
      </c>
      <c r="B108" s="56" t="str">
        <f>VLOOKUP(A108,'Ratings worksheet'!$A$2:$C$159,2,FALSE)</f>
        <v>B-</v>
      </c>
      <c r="C108" s="56" t="str">
        <f>VLOOKUP(A108,'Ratings worksheet'!$E$2:$H$159,4,FALSE)</f>
        <v>B-</v>
      </c>
      <c r="D108" s="56" t="str">
        <f>IF(E108="NR",VLOOKUP(B108,'Sovereign Ratings (Moody''s,S&amp;P)'!$G$9:$H$34,2,FALSE),E108)</f>
        <v>Caa1</v>
      </c>
      <c r="E108" s="236" t="str">
        <f>VLOOKUP(A108,'Ratings worksheet'!$A$2:$C$159,3,FALSE)</f>
        <v>Caa1</v>
      </c>
    </row>
    <row r="109" spans="1:5">
      <c r="A109" s="46" t="str">
        <f>'Ratings worksheet'!A109</f>
        <v>Norway</v>
      </c>
      <c r="B109" s="56" t="str">
        <f>VLOOKUP(A109,'Ratings worksheet'!$A$2:$C$159,2,FALSE)</f>
        <v>AAA</v>
      </c>
      <c r="C109" s="56" t="str">
        <f>VLOOKUP(A109,'Ratings worksheet'!$E$2:$H$159,4,FALSE)</f>
        <v>AAA</v>
      </c>
      <c r="D109" s="56" t="str">
        <f>IF(E109="NR",VLOOKUP(B109,'Sovereign Ratings (Moody''s,S&amp;P)'!$G$9:$H$34,2,FALSE),E109)</f>
        <v>Aaa</v>
      </c>
      <c r="E109" s="236" t="str">
        <f>VLOOKUP(A109,'Ratings worksheet'!$A$2:$C$159,3,FALSE)</f>
        <v>Aaa</v>
      </c>
    </row>
    <row r="110" spans="1:5">
      <c r="A110" s="46" t="str">
        <f>'Ratings worksheet'!A110</f>
        <v>Oman</v>
      </c>
      <c r="B110" s="56" t="str">
        <f>VLOOKUP(A110,'Ratings worksheet'!$A$2:$C$159,2,FALSE)</f>
        <v>BBB-</v>
      </c>
      <c r="C110" s="56" t="str">
        <f>VLOOKUP(A110,'Ratings worksheet'!$E$2:$H$159,4,FALSE)</f>
        <v>BB+</v>
      </c>
      <c r="D110" s="56" t="str">
        <f>IF(E110="NR",VLOOKUP(B110,'Sovereign Ratings (Moody''s,S&amp;P)'!$G$9:$H$34,2,FALSE),E110)</f>
        <v>Ba1</v>
      </c>
      <c r="E110" s="236" t="str">
        <f>VLOOKUP(A110,'Ratings worksheet'!$A$2:$C$159,3,FALSE)</f>
        <v>Ba1</v>
      </c>
    </row>
    <row r="111" spans="1:5">
      <c r="A111" s="46" t="str">
        <f>'Ratings worksheet'!A111</f>
        <v>Pakistan</v>
      </c>
      <c r="B111" s="56" t="str">
        <f>VLOOKUP(A111,'Ratings worksheet'!$A$2:$C$159,2,FALSE)</f>
        <v>CCC+</v>
      </c>
      <c r="C111" s="56" t="str">
        <f>VLOOKUP(A111,'Ratings worksheet'!$E$2:$H$159,4,FALSE)</f>
        <v>CCC+</v>
      </c>
      <c r="D111" s="56" t="str">
        <f>IF(E111="NR",VLOOKUP(B111,'Sovereign Ratings (Moody''s,S&amp;P)'!$G$9:$H$34,2,FALSE),E111)</f>
        <v>Caa2</v>
      </c>
      <c r="E111" s="236" t="str">
        <f>VLOOKUP(A111,'Ratings worksheet'!$A$2:$C$159,3,FALSE)</f>
        <v>Caa2</v>
      </c>
    </row>
    <row r="112" spans="1:5">
      <c r="A112" s="46" t="str">
        <f>'Ratings worksheet'!A112</f>
        <v>Panama</v>
      </c>
      <c r="B112" s="56" t="str">
        <f>VLOOKUP(A112,'Ratings worksheet'!$A$2:$C$159,2,FALSE)</f>
        <v>BBB-</v>
      </c>
      <c r="C112" s="56" t="str">
        <f>VLOOKUP(A112,'Ratings worksheet'!$E$2:$H$159,4,FALSE)</f>
        <v>BB+</v>
      </c>
      <c r="D112" s="56" t="str">
        <f>IF(E112="NR",VLOOKUP(B112,'Sovereign Ratings (Moody''s,S&amp;P)'!$G$9:$H$34,2,FALSE),E112)</f>
        <v>Baa3</v>
      </c>
      <c r="E112" s="236" t="str">
        <f>VLOOKUP(A112,'Ratings worksheet'!$A$2:$C$159,3,FALSE)</f>
        <v>Baa3</v>
      </c>
    </row>
    <row r="113" spans="1:5">
      <c r="A113" s="46" t="str">
        <f>'Ratings worksheet'!A113</f>
        <v>Papua New Guinea</v>
      </c>
      <c r="B113" s="56" t="str">
        <f>VLOOKUP(A113,'Ratings worksheet'!$A$2:$C$159,2,FALSE)</f>
        <v>B-</v>
      </c>
      <c r="C113" s="56" t="str">
        <f>VLOOKUP(A113,'Ratings worksheet'!$E$2:$H$159,4,FALSE)</f>
        <v>NR</v>
      </c>
      <c r="D113" s="56" t="str">
        <f>IF(E113="NR",VLOOKUP(B113,'Sovereign Ratings (Moody''s,S&amp;P)'!$G$9:$H$34,2,FALSE),E113)</f>
        <v>B2</v>
      </c>
      <c r="E113" s="236" t="str">
        <f>VLOOKUP(A113,'Ratings worksheet'!$A$2:$C$159,3,FALSE)</f>
        <v>B2</v>
      </c>
    </row>
    <row r="114" spans="1:5">
      <c r="A114" s="46" t="str">
        <f>'Ratings worksheet'!A114</f>
        <v>Paraguay</v>
      </c>
      <c r="B114" s="56" t="str">
        <f>VLOOKUP(A114,'Ratings worksheet'!$A$2:$C$159,2,FALSE)</f>
        <v>BB+</v>
      </c>
      <c r="C114" s="56" t="str">
        <f>VLOOKUP(A114,'Ratings worksheet'!$E$2:$H$159,4,FALSE)</f>
        <v>BB+</v>
      </c>
      <c r="D114" s="56" t="str">
        <f>IF(E114="NR",VLOOKUP(B114,'Sovereign Ratings (Moody''s,S&amp;P)'!$G$9:$H$34,2,FALSE),E114)</f>
        <v>Baa3</v>
      </c>
      <c r="E114" s="236" t="str">
        <f>VLOOKUP(A114,'Ratings worksheet'!$A$2:$C$159,3,FALSE)</f>
        <v>Baa3</v>
      </c>
    </row>
    <row r="115" spans="1:5">
      <c r="A115" s="46" t="str">
        <f>'Ratings worksheet'!A115</f>
        <v>Peru</v>
      </c>
      <c r="B115" s="56" t="str">
        <f>VLOOKUP(A115,'Ratings worksheet'!$A$2:$C$159,2,FALSE)</f>
        <v>BBB-</v>
      </c>
      <c r="C115" s="56" t="str">
        <f>VLOOKUP(A115,'Ratings worksheet'!$E$2:$H$159,4,FALSE)</f>
        <v>BBB</v>
      </c>
      <c r="D115" s="56" t="str">
        <f>IF(E115="NR",VLOOKUP(B115,'Sovereign Ratings (Moody''s,S&amp;P)'!$G$9:$H$34,2,FALSE),E115)</f>
        <v>Baa1</v>
      </c>
      <c r="E115" s="236" t="str">
        <f>VLOOKUP(A115,'Ratings worksheet'!$A$2:$C$159,3,FALSE)</f>
        <v>Baa1</v>
      </c>
    </row>
    <row r="116" spans="1:5">
      <c r="A116" s="46" t="str">
        <f>'Ratings worksheet'!A116</f>
        <v>Philippines</v>
      </c>
      <c r="B116" s="56" t="str">
        <f>VLOOKUP(A116,'Ratings worksheet'!$A$2:$C$159,2,FALSE)</f>
        <v>BBB+ </v>
      </c>
      <c r="C116" s="56" t="str">
        <f>VLOOKUP(A116,'Ratings worksheet'!$E$2:$H$159,4,FALSE)</f>
        <v>BBB</v>
      </c>
      <c r="D116" s="56" t="str">
        <f>IF(E116="NR",VLOOKUP(B116,'Sovereign Ratings (Moody''s,S&amp;P)'!$G$9:$H$34,2,FALSE),E116)</f>
        <v>Baa2</v>
      </c>
      <c r="E116" s="236" t="str">
        <f>VLOOKUP(A116,'Ratings worksheet'!$A$2:$C$159,3,FALSE)</f>
        <v>Baa2</v>
      </c>
    </row>
    <row r="117" spans="1:5">
      <c r="A117" s="46" t="str">
        <f>'Ratings worksheet'!A117</f>
        <v>Poland</v>
      </c>
      <c r="B117" s="56" t="str">
        <f>VLOOKUP(A117,'Ratings worksheet'!$A$2:$C$159,2,FALSE)</f>
        <v>A-</v>
      </c>
      <c r="C117" s="56" t="str">
        <f>VLOOKUP(A117,'Ratings worksheet'!$E$2:$H$159,4,FALSE)</f>
        <v>A-</v>
      </c>
      <c r="D117" s="56" t="str">
        <f>IF(E117="NR",VLOOKUP(B117,'Sovereign Ratings (Moody''s,S&amp;P)'!$G$9:$H$34,2,FALSE),E117)</f>
        <v>A2</v>
      </c>
      <c r="E117" s="236" t="str">
        <f>VLOOKUP(A117,'Ratings worksheet'!$A$2:$C$159,3,FALSE)</f>
        <v>A2</v>
      </c>
    </row>
    <row r="118" spans="1:5">
      <c r="A118" s="46" t="str">
        <f>'Ratings worksheet'!A118</f>
        <v>Portugal</v>
      </c>
      <c r="B118" s="56" t="str">
        <f>VLOOKUP(A118,'Ratings worksheet'!$A$2:$C$159,2,FALSE)</f>
        <v>A- </v>
      </c>
      <c r="C118" s="56" t="str">
        <f>VLOOKUP(A118,'Ratings worksheet'!$E$2:$H$159,4,FALSE)</f>
        <v>A-</v>
      </c>
      <c r="D118" s="56" t="str">
        <f>IF(E118="NR",VLOOKUP(B118,'Sovereign Ratings (Moody''s,S&amp;P)'!$G$9:$H$34,2,FALSE),E118)</f>
        <v>A3</v>
      </c>
      <c r="E118" s="236" t="str">
        <f>VLOOKUP(A118,'Ratings worksheet'!$A$2:$C$159,3,FALSE)</f>
        <v>A3</v>
      </c>
    </row>
    <row r="119" spans="1:5">
      <c r="A119" s="46" t="str">
        <f>'Ratings worksheet'!A119</f>
        <v>Qatar</v>
      </c>
      <c r="B119" s="56" t="str">
        <f>VLOOKUP(A119,'Ratings worksheet'!$A$2:$C$159,2,FALSE)</f>
        <v>AA</v>
      </c>
      <c r="C119" s="56" t="str">
        <f>VLOOKUP(A119,'Ratings worksheet'!$E$2:$H$159,4,FALSE)</f>
        <v>AA</v>
      </c>
      <c r="D119" s="56" t="str">
        <f>IF(E119="NR",VLOOKUP(B119,'Sovereign Ratings (Moody''s,S&amp;P)'!$G$9:$H$34,2,FALSE),E119)</f>
        <v>Aa2</v>
      </c>
      <c r="E119" s="236" t="str">
        <f>VLOOKUP(A119,'Ratings worksheet'!$A$2:$C$159,3,FALSE)</f>
        <v>Aa2</v>
      </c>
    </row>
    <row r="120" spans="1:5">
      <c r="A120" s="46" t="str">
        <f>'Ratings worksheet'!A120</f>
        <v>Ras Al Khaimah (Emirate of)</v>
      </c>
      <c r="B120" s="56" t="str">
        <f>VLOOKUP(A120,'Ratings worksheet'!$A$2:$C$159,2,FALSE)</f>
        <v>A-</v>
      </c>
      <c r="C120" s="56" t="e">
        <f>VLOOKUP(A120,'Ratings worksheet'!$E$2:$H$159,4,FALSE)</f>
        <v>#N/A</v>
      </c>
      <c r="D120" s="56" t="str">
        <f>IF(E120="NR",VLOOKUP(B120,'Sovereign Ratings (Moody''s,S&amp;P)'!$G$9:$H$34,2,FALSE),E120)</f>
        <v>A3</v>
      </c>
      <c r="E120" s="236" t="str">
        <f>VLOOKUP(A120,'Ratings worksheet'!$A$2:$C$159,3,FALSE)</f>
        <v>A3</v>
      </c>
    </row>
    <row r="121" spans="1:5">
      <c r="A121" s="46" t="str">
        <f>'Ratings worksheet'!A121</f>
        <v>Romania</v>
      </c>
      <c r="B121" s="56" t="str">
        <f>VLOOKUP(A121,'Ratings worksheet'!$A$2:$C$159,2,FALSE)</f>
        <v>BBB-</v>
      </c>
      <c r="C121" s="56" t="str">
        <f>VLOOKUP(A121,'Ratings worksheet'!$E$2:$H$159,4,FALSE)</f>
        <v>BBB-</v>
      </c>
      <c r="D121" s="56" t="str">
        <f>IF(E121="NR",VLOOKUP(B121,'Sovereign Ratings (Moody''s,S&amp;P)'!$G$9:$H$34,2,FALSE),E121)</f>
        <v>Baa3</v>
      </c>
      <c r="E121" s="236" t="str">
        <f>VLOOKUP(A121,'Ratings worksheet'!$A$2:$C$159,3,FALSE)</f>
        <v>Baa3</v>
      </c>
    </row>
    <row r="122" spans="1:5">
      <c r="A122" s="46" t="str">
        <f>'Ratings worksheet'!A123</f>
        <v>Rwanda</v>
      </c>
      <c r="B122" s="56" t="str">
        <f>VLOOKUP(A122,'Ratings worksheet'!$A$2:$C$159,2,FALSE)</f>
        <v>B+</v>
      </c>
      <c r="C122" s="56" t="str">
        <f>VLOOKUP(A122,'Ratings worksheet'!$E$2:$H$159,4,FALSE)</f>
        <v>B+</v>
      </c>
      <c r="D122" s="56" t="str">
        <f>IF(E122="NR",VLOOKUP(B122,'Sovereign Ratings (Moody''s,S&amp;P)'!$G$9:$H$34,2,FALSE),E122)</f>
        <v>B2</v>
      </c>
      <c r="E122" s="236" t="str">
        <f>VLOOKUP(A122,'Ratings worksheet'!$A$2:$C$159,3,FALSE)</f>
        <v>B2</v>
      </c>
    </row>
    <row r="123" spans="1:5">
      <c r="A123" s="46" t="str">
        <f>'Ratings worksheet'!A124</f>
        <v>Saudi Arabia</v>
      </c>
      <c r="B123" s="56" t="str">
        <f>VLOOKUP(A123,'Ratings worksheet'!$A$2:$C$159,2,FALSE)</f>
        <v>A </v>
      </c>
      <c r="C123" s="56" t="str">
        <f>VLOOKUP(A123,'Ratings worksheet'!$E$2:$H$159,4,FALSE)</f>
        <v>A+</v>
      </c>
      <c r="D123" s="56" t="str">
        <f>IF(E123="NR",VLOOKUP(B123,'Sovereign Ratings (Moody''s,S&amp;P)'!$G$9:$H$34,2,FALSE),E123)</f>
        <v>Aa3</v>
      </c>
      <c r="E123" s="236" t="str">
        <f>VLOOKUP(A123,'Ratings worksheet'!$A$2:$C$159,3,FALSE)</f>
        <v>Aa3</v>
      </c>
    </row>
    <row r="124" spans="1:5">
      <c r="A124" s="46" t="str">
        <f>'Ratings worksheet'!A125</f>
        <v>Senegal</v>
      </c>
      <c r="B124" s="56" t="str">
        <f>VLOOKUP(A124,'Ratings worksheet'!$A$2:$C$159,2,FALSE)</f>
        <v>B+ </v>
      </c>
      <c r="C124" s="56" t="str">
        <f>VLOOKUP(A124,'Ratings worksheet'!$E$2:$H$159,4,FALSE)</f>
        <v>NR</v>
      </c>
      <c r="D124" s="56" t="str">
        <f>IF(E124="NR",VLOOKUP(B124,'Sovereign Ratings (Moody''s,S&amp;P)'!$G$9:$H$34,2,FALSE),E124)</f>
        <v>B1</v>
      </c>
      <c r="E124" s="236" t="str">
        <f>VLOOKUP(A124,'Ratings worksheet'!$A$2:$C$159,3,FALSE)</f>
        <v>B1</v>
      </c>
    </row>
    <row r="125" spans="1:5">
      <c r="A125" s="46" t="str">
        <f>'Ratings worksheet'!A126</f>
        <v>Serbia</v>
      </c>
      <c r="B125" s="56" t="str">
        <f>VLOOKUP(A125,'Ratings worksheet'!$A$2:$C$159,2,FALSE)</f>
        <v>BBB-</v>
      </c>
      <c r="C125" s="56" t="str">
        <f>VLOOKUP(A125,'Ratings worksheet'!$E$2:$H$159,4,FALSE)</f>
        <v>BB+</v>
      </c>
      <c r="D125" s="56" t="str">
        <f>IF(E125="NR",VLOOKUP(B125,'Sovereign Ratings (Moody''s,S&amp;P)'!$G$9:$H$34,2,FALSE),E125)</f>
        <v>Ba2</v>
      </c>
      <c r="E125" s="236" t="str">
        <f>VLOOKUP(A125,'Ratings worksheet'!$A$2:$C$159,3,FALSE)</f>
        <v>Ba2</v>
      </c>
    </row>
    <row r="126" spans="1:5">
      <c r="A126" s="46" t="str">
        <f>'Ratings worksheet'!A127</f>
        <v>Sharjah</v>
      </c>
      <c r="B126" s="56" t="e">
        <f>VLOOKUP(A126,'Ratings worksheet'!$A$2:$C$159,2,FALSE)</f>
        <v>#N/A</v>
      </c>
      <c r="C126" s="56" t="e">
        <f>VLOOKUP(A126,'Ratings worksheet'!$E$2:$H$159,4,FALSE)</f>
        <v>#N/A</v>
      </c>
      <c r="D126" s="56" t="str">
        <f>IF(E126="NR",VLOOKUP(B126,'Sovereign Ratings (Moody''s,S&amp;P)'!$G$9:$H$34,2,FALSE),E126)</f>
        <v>Ba1</v>
      </c>
      <c r="E126" s="236" t="str">
        <f>VLOOKUP(A126,'Ratings worksheet'!$A$2:$C$159,3,FALSE)</f>
        <v>Ba1</v>
      </c>
    </row>
    <row r="127" spans="1:5">
      <c r="A127" s="46" t="str">
        <f>'Ratings worksheet'!A128</f>
        <v>Singapore</v>
      </c>
      <c r="B127" s="56" t="str">
        <f>VLOOKUP(A127,'Ratings worksheet'!$A$2:$C$159,2,FALSE)</f>
        <v>AAA</v>
      </c>
      <c r="C127" s="56" t="str">
        <f>VLOOKUP(A127,'Ratings worksheet'!$E$2:$H$159,4,FALSE)</f>
        <v>AAA</v>
      </c>
      <c r="D127" s="56" t="str">
        <f>IF(E127="NR",VLOOKUP(B127,'Sovereign Ratings (Moody''s,S&amp;P)'!$G$9:$H$34,2,FALSE),E127)</f>
        <v>Aaa</v>
      </c>
      <c r="E127" s="236" t="str">
        <f>VLOOKUP(A127,'Ratings worksheet'!$A$2:$C$159,3,FALSE)</f>
        <v>Aaa</v>
      </c>
    </row>
    <row r="128" spans="1:5">
      <c r="A128" s="46" t="str">
        <f>'Ratings worksheet'!A129</f>
        <v>Slovakia</v>
      </c>
      <c r="B128" s="56" t="str">
        <f>VLOOKUP(A128,'Ratings worksheet'!$A$2:$C$159,2,FALSE)</f>
        <v>A+</v>
      </c>
      <c r="C128" s="56" t="str">
        <f>VLOOKUP(A128,'Ratings worksheet'!$E$2:$H$159,4,FALSE)</f>
        <v>A</v>
      </c>
      <c r="D128" s="56" t="str">
        <f>IF(E128="NR",VLOOKUP(B128,'Sovereign Ratings (Moody''s,S&amp;P)'!$G$9:$H$34,2,FALSE),E128)</f>
        <v>A3</v>
      </c>
      <c r="E128" s="236" t="str">
        <f>VLOOKUP(A128,'Ratings worksheet'!$A$2:$C$159,3,FALSE)</f>
        <v>A3</v>
      </c>
    </row>
    <row r="129" spans="1:5">
      <c r="A129" s="46" t="str">
        <f>'Ratings worksheet'!A130</f>
        <v>Slovenia</v>
      </c>
      <c r="B129" s="56" t="str">
        <f>VLOOKUP(A129,'Ratings worksheet'!$A$2:$C$159,2,FALSE)</f>
        <v>AA- </v>
      </c>
      <c r="C129" s="56" t="str">
        <f>VLOOKUP(A129,'Ratings worksheet'!$E$2:$H$159,4,FALSE)</f>
        <v>A</v>
      </c>
      <c r="D129" s="56" t="str">
        <f>IF(E129="NR",VLOOKUP(B129,'Sovereign Ratings (Moody''s,S&amp;P)'!$G$9:$H$34,2,FALSE),E129)</f>
        <v>A3</v>
      </c>
      <c r="E129" s="236" t="str">
        <f>VLOOKUP(A129,'Ratings worksheet'!$A$2:$C$159,3,FALSE)</f>
        <v>A3</v>
      </c>
    </row>
    <row r="130" spans="1:5">
      <c r="A130" s="46" t="str">
        <f>'Ratings worksheet'!A131</f>
        <v>Solomon Islands</v>
      </c>
      <c r="B130" s="56">
        <f>VLOOKUP(A130,'Ratings worksheet'!$A$2:$C$159,2,FALSE)</f>
        <v>0</v>
      </c>
      <c r="C130" s="56" t="str">
        <f>VLOOKUP(A130,'Ratings worksheet'!$E$2:$H$159,4,FALSE)</f>
        <v>NR</v>
      </c>
      <c r="D130" s="56" t="str">
        <f>IF(E130="NR",VLOOKUP(B130,'Sovereign Ratings (Moody''s,S&amp;P)'!$G$9:$H$34,2,FALSE),E130)</f>
        <v>Caa1</v>
      </c>
      <c r="E130" s="236" t="str">
        <f>VLOOKUP(A130,'Ratings worksheet'!$A$2:$C$159,3,FALSE)</f>
        <v>Caa1</v>
      </c>
    </row>
    <row r="131" spans="1:5">
      <c r="A131" s="46" t="str">
        <f>'Ratings worksheet'!A132</f>
        <v>South Africa</v>
      </c>
      <c r="B131" s="56" t="str">
        <f>VLOOKUP(A131,'Ratings worksheet'!$A$2:$C$159,2,FALSE)</f>
        <v>BB- </v>
      </c>
      <c r="C131" s="56" t="str">
        <f>VLOOKUP(A131,'Ratings worksheet'!$E$2:$H$159,4,FALSE)</f>
        <v>BB-</v>
      </c>
      <c r="D131" s="56" t="str">
        <f>IF(E131="NR",VLOOKUP(B131,'Sovereign Ratings (Moody''s,S&amp;P)'!$G$9:$H$34,2,FALSE),E131)</f>
        <v>Ba2</v>
      </c>
      <c r="E131" s="236" t="str">
        <f>VLOOKUP(A131,'Ratings worksheet'!$A$2:$C$159,3,FALSE)</f>
        <v>Ba2</v>
      </c>
    </row>
    <row r="132" spans="1:5">
      <c r="A132" s="46" t="str">
        <f>'Ratings worksheet'!A133</f>
        <v>Spain</v>
      </c>
      <c r="B132" s="56" t="str">
        <f>VLOOKUP(A132,'Ratings worksheet'!$A$2:$C$159,2,FALSE)</f>
        <v>A- </v>
      </c>
      <c r="C132" s="56" t="str">
        <f>VLOOKUP(A132,'Ratings worksheet'!$E$2:$H$159,4,FALSE)</f>
        <v>A-</v>
      </c>
      <c r="D132" s="56" t="str">
        <f>IF(E132="NR",VLOOKUP(B132,'Sovereign Ratings (Moody''s,S&amp;P)'!$G$9:$H$34,2,FALSE),E132)</f>
        <v>Baa1</v>
      </c>
      <c r="E132" s="236" t="str">
        <f>VLOOKUP(A132,'Ratings worksheet'!$A$2:$C$159,3,FALSE)</f>
        <v>Baa1</v>
      </c>
    </row>
    <row r="133" spans="1:5">
      <c r="A133" s="46" t="str">
        <f>'Ratings worksheet'!A134</f>
        <v>Sri Lanka</v>
      </c>
      <c r="B133" s="56" t="str">
        <f>VLOOKUP(A133,'Ratings worksheet'!$A$2:$C$159,2,FALSE)</f>
        <v>SD</v>
      </c>
      <c r="C133" s="56" t="str">
        <f>VLOOKUP(A133,'Ratings worksheet'!$E$2:$H$159,4,FALSE)</f>
        <v>NR</v>
      </c>
      <c r="D133" s="56" t="str">
        <f>IF(E133="NR",VLOOKUP(B133,'Sovereign Ratings (Moody''s,S&amp;P)'!$G$9:$H$34,2,FALSE),E133)</f>
        <v>Ca</v>
      </c>
      <c r="E133" s="236" t="str">
        <f>VLOOKUP(A133,'Ratings worksheet'!$A$2:$C$159,3,FALSE)</f>
        <v>Ca</v>
      </c>
    </row>
    <row r="134" spans="1:5">
      <c r="A134" s="46" t="str">
        <f>'Ratings worksheet'!A135</f>
        <v>St. Maarten</v>
      </c>
      <c r="B134" s="56" t="str">
        <f>VLOOKUP(A134,'Ratings worksheet'!$A$2:$C$159,2,FALSE)</f>
        <v>NA</v>
      </c>
      <c r="C134" s="56" t="e">
        <f>VLOOKUP(A134,'Ratings worksheet'!$E$2:$H$159,4,FALSE)</f>
        <v>#N/A</v>
      </c>
      <c r="D134" s="56" t="str">
        <f>IF(E134="NR",VLOOKUP(B134,'Sovereign Ratings (Moody''s,S&amp;P)'!$G$9:$H$34,2,FALSE),E134)</f>
        <v>Ba2</v>
      </c>
      <c r="E134" s="236" t="str">
        <f>VLOOKUP(A134,'Ratings worksheet'!$A$2:$C$159,3,FALSE)</f>
        <v>Ba2</v>
      </c>
    </row>
    <row r="135" spans="1:5">
      <c r="A135" s="46" t="str">
        <f>'Ratings worksheet'!A136</f>
        <v>St. Vincent &amp; the Grenadines</v>
      </c>
      <c r="B135" s="56" t="e">
        <f>VLOOKUP(A135,'Ratings worksheet'!$A$2:$C$159,2,FALSE)</f>
        <v>#N/A</v>
      </c>
      <c r="C135" s="56" t="e">
        <f>VLOOKUP(A135,'Ratings worksheet'!$E$2:$H$159,4,FALSE)</f>
        <v>#N/A</v>
      </c>
      <c r="D135" s="56" t="str">
        <f>IF(E135="NR",VLOOKUP(B135,'Sovereign Ratings (Moody''s,S&amp;P)'!$G$9:$H$34,2,FALSE),E135)</f>
        <v>B3</v>
      </c>
      <c r="E135" s="236" t="str">
        <f>VLOOKUP(A135,'Ratings worksheet'!$A$2:$C$159,3,FALSE)</f>
        <v>B3</v>
      </c>
    </row>
    <row r="136" spans="1:5">
      <c r="A136" s="46" t="str">
        <f>'Ratings worksheet'!A137</f>
        <v>Suriname</v>
      </c>
      <c r="B136" s="56" t="str">
        <f>VLOOKUP(A136,'Ratings worksheet'!$A$2:$C$159,2,FALSE)</f>
        <v>CCC+</v>
      </c>
      <c r="C136" s="56" t="str">
        <f>VLOOKUP(A136,'Ratings worksheet'!$E$2:$H$159,4,FALSE)</f>
        <v>NR</v>
      </c>
      <c r="D136" s="56" t="str">
        <f>IF(E136="NR",VLOOKUP(B136,'Sovereign Ratings (Moody''s,S&amp;P)'!$G$9:$H$34,2,FALSE),E136)</f>
        <v>Caa1</v>
      </c>
      <c r="E136" s="236" t="str">
        <f>VLOOKUP(A136,'Ratings worksheet'!$A$2:$C$159,3,FALSE)</f>
        <v>Caa1</v>
      </c>
    </row>
    <row r="137" spans="1:5">
      <c r="A137" s="46" t="str">
        <f>'Ratings worksheet'!A138</f>
        <v>Swaziland</v>
      </c>
      <c r="B137" s="56" t="e">
        <f>VLOOKUP(A137,'Ratings worksheet'!$A$2:$C$159,2,FALSE)</f>
        <v>#N/A</v>
      </c>
      <c r="C137" s="56" t="e">
        <f>VLOOKUP(A137,'Ratings worksheet'!$E$2:$H$159,4,FALSE)</f>
        <v>#N/A</v>
      </c>
      <c r="D137" s="56" t="str">
        <f>IF(E137="NR",VLOOKUP(B137,'Sovereign Ratings (Moody''s,S&amp;P)'!$G$9:$H$34,2,FALSE),E137)</f>
        <v>B2</v>
      </c>
      <c r="E137" s="236" t="str">
        <f>VLOOKUP(A137,'Ratings worksheet'!$A$2:$C$159,3,FALSE)</f>
        <v>B2</v>
      </c>
    </row>
    <row r="138" spans="1:5">
      <c r="A138" s="46" t="str">
        <f>'Ratings worksheet'!A139</f>
        <v>Sweden</v>
      </c>
      <c r="B138" s="56" t="str">
        <f>VLOOKUP(A138,'Ratings worksheet'!$A$2:$C$159,2,FALSE)</f>
        <v>AAA</v>
      </c>
      <c r="C138" s="56" t="str">
        <f>VLOOKUP(A138,'Ratings worksheet'!$E$2:$H$159,4,FALSE)</f>
        <v>AAA</v>
      </c>
      <c r="D138" s="56" t="str">
        <f>IF(E138="NR",VLOOKUP(B138,'Sovereign Ratings (Moody''s,S&amp;P)'!$G$9:$H$34,2,FALSE),E138)</f>
        <v>Aaa</v>
      </c>
      <c r="E138" s="236" t="str">
        <f>VLOOKUP(A138,'Ratings worksheet'!$A$2:$C$159,3,FALSE)</f>
        <v>Aaa</v>
      </c>
    </row>
    <row r="139" spans="1:5">
      <c r="A139" s="46" t="str">
        <f>'Ratings worksheet'!A140</f>
        <v>Switzerland</v>
      </c>
      <c r="B139" s="56" t="str">
        <f>VLOOKUP(A139,'Ratings worksheet'!$A$2:$C$159,2,FALSE)</f>
        <v>AAA</v>
      </c>
      <c r="C139" s="56" t="str">
        <f>VLOOKUP(A139,'Ratings worksheet'!$E$2:$H$159,4,FALSE)</f>
        <v>AAA</v>
      </c>
      <c r="D139" s="56" t="str">
        <f>IF(E139="NR",VLOOKUP(B139,'Sovereign Ratings (Moody''s,S&amp;P)'!$G$9:$H$34,2,FALSE),E139)</f>
        <v>Aaa</v>
      </c>
      <c r="E139" s="236" t="str">
        <f>VLOOKUP(A139,'Ratings worksheet'!$A$2:$C$159,3,FALSE)</f>
        <v>Aaa</v>
      </c>
    </row>
    <row r="140" spans="1:5">
      <c r="A140" s="46" t="str">
        <f>'Ratings worksheet'!A141</f>
        <v>Taiwan</v>
      </c>
      <c r="B140" s="56" t="str">
        <f>VLOOKUP(A140,'Ratings worksheet'!$A$2:$C$159,2,FALSE)</f>
        <v>AA+</v>
      </c>
      <c r="C140" s="56" t="str">
        <f>VLOOKUP(A140,'Ratings worksheet'!$E$2:$H$159,4,FALSE)</f>
        <v>AA</v>
      </c>
      <c r="D140" s="56" t="str">
        <f>IF(E140="NR",VLOOKUP(B140,'Sovereign Ratings (Moody''s,S&amp;P)'!$G$9:$H$34,2,FALSE),E140)</f>
        <v>Aa3</v>
      </c>
      <c r="E140" s="236" t="str">
        <f>VLOOKUP(A140,'Ratings worksheet'!$A$2:$C$159,3,FALSE)</f>
        <v>Aa3</v>
      </c>
    </row>
    <row r="141" spans="1:5">
      <c r="A141" s="46" t="str">
        <f>'Ratings worksheet'!A142</f>
        <v>Tajikistan</v>
      </c>
      <c r="B141" s="56" t="str">
        <f>VLOOKUP(A141,'Ratings worksheet'!$A$2:$C$159,2,FALSE)</f>
        <v>B</v>
      </c>
      <c r="C141" s="56" t="str">
        <f>VLOOKUP(A141,'Ratings worksheet'!$E$2:$H$159,4,FALSE)</f>
        <v>NR</v>
      </c>
      <c r="D141" s="56" t="str">
        <f>IF(E141="NR",VLOOKUP(B141,'Sovereign Ratings (Moody''s,S&amp;P)'!$G$9:$H$34,2,FALSE),E141)</f>
        <v>B3</v>
      </c>
      <c r="E141" s="236" t="str">
        <f>VLOOKUP(A141,'Ratings worksheet'!$A$2:$C$159,3,FALSE)</f>
        <v>B3</v>
      </c>
    </row>
    <row r="142" spans="1:5">
      <c r="A142" s="46" t="str">
        <f>'Ratings worksheet'!A143</f>
        <v>Tanzania</v>
      </c>
      <c r="B142" s="56">
        <f>VLOOKUP(A142,'Ratings worksheet'!$A$2:$C$159,2,FALSE)</f>
        <v>0</v>
      </c>
      <c r="C142" s="56" t="str">
        <f>VLOOKUP(A142,'Ratings worksheet'!$E$2:$H$159,4,FALSE)</f>
        <v>B+</v>
      </c>
      <c r="D142" s="56" t="str">
        <f>IF(E142="NR",VLOOKUP(B142,'Sovereign Ratings (Moody''s,S&amp;P)'!$G$9:$H$34,2,FALSE),E142)</f>
        <v>B1</v>
      </c>
      <c r="E142" s="236" t="str">
        <f>VLOOKUP(A142,'Ratings worksheet'!$A$2:$C$159,3,FALSE)</f>
        <v>B1</v>
      </c>
    </row>
    <row r="143" spans="1:5">
      <c r="A143" s="46" t="str">
        <f>'Ratings worksheet'!A144</f>
        <v>Thailand</v>
      </c>
      <c r="B143" s="56" t="str">
        <f>VLOOKUP(A143,'Ratings worksheet'!$A$2:$C$159,2,FALSE)</f>
        <v>BBB+</v>
      </c>
      <c r="C143" s="56" t="str">
        <f>VLOOKUP(A143,'Ratings worksheet'!$E$2:$H$159,4,FALSE)</f>
        <v>BBB+</v>
      </c>
      <c r="D143" s="56" t="str">
        <f>IF(E143="NR",VLOOKUP(B143,'Sovereign Ratings (Moody''s,S&amp;P)'!$G$9:$H$34,2,FALSE),E143)</f>
        <v>Baa1</v>
      </c>
      <c r="E143" s="236" t="str">
        <f>VLOOKUP(A143,'Ratings worksheet'!$A$2:$C$159,3,FALSE)</f>
        <v>Baa1</v>
      </c>
    </row>
    <row r="144" spans="1:5">
      <c r="A144" s="46" t="str">
        <f>'Ratings worksheet'!A145</f>
        <v>Togo</v>
      </c>
      <c r="B144" s="56" t="str">
        <f>VLOOKUP(A144,'Ratings worksheet'!$A$2:$C$159,2,FALSE)</f>
        <v>B </v>
      </c>
      <c r="C144" s="56" t="str">
        <f>VLOOKUP(A144,'Ratings worksheet'!$E$2:$H$159,4,FALSE)</f>
        <v>NR</v>
      </c>
      <c r="D144" s="56" t="str">
        <f>IF(E144="NR",VLOOKUP(B144,'Sovereign Ratings (Moody''s,S&amp;P)'!$G$9:$H$34,2,FALSE),E144)</f>
        <v>B3</v>
      </c>
      <c r="E144" s="236" t="str">
        <f>VLOOKUP(A144,'Ratings worksheet'!$A$2:$C$159,3,FALSE)</f>
        <v>B3</v>
      </c>
    </row>
    <row r="145" spans="1:5">
      <c r="A145" s="46" t="str">
        <f>'Ratings worksheet'!A146</f>
        <v>Trinidad and Tobago</v>
      </c>
      <c r="B145" s="56" t="str">
        <f>VLOOKUP(A145,'Ratings worksheet'!$A$2:$C$159,2,FALSE)</f>
        <v>BBB-</v>
      </c>
      <c r="C145" s="56" t="str">
        <f>VLOOKUP(A145,'Ratings worksheet'!$E$2:$H$159,4,FALSE)</f>
        <v>NR</v>
      </c>
      <c r="D145" s="56" t="str">
        <f>IF(E145="NR",VLOOKUP(B145,'Sovereign Ratings (Moody''s,S&amp;P)'!$G$9:$H$34,2,FALSE),E145)</f>
        <v>Ba2</v>
      </c>
      <c r="E145" s="236" t="str">
        <f>VLOOKUP(A145,'Ratings worksheet'!$A$2:$C$159,3,FALSE)</f>
        <v>Ba2</v>
      </c>
    </row>
    <row r="146" spans="1:5">
      <c r="A146" s="46" t="str">
        <f>'Ratings worksheet'!A147</f>
        <v>Tunisia</v>
      </c>
      <c r="B146" s="56" t="str">
        <f>VLOOKUP(A146,'Ratings worksheet'!$A$2:$C$159,2,FALSE)</f>
        <v>N/A</v>
      </c>
      <c r="C146" s="56" t="str">
        <f>VLOOKUP(A146,'Ratings worksheet'!$E$2:$H$159,4,FALSE)</f>
        <v>CCC+</v>
      </c>
      <c r="D146" s="56" t="str">
        <f>IF(E146="NR",VLOOKUP(B146,'Sovereign Ratings (Moody''s,S&amp;P)'!$G$9:$H$34,2,FALSE),E146)</f>
        <v>Caa2</v>
      </c>
      <c r="E146" s="236" t="str">
        <f>VLOOKUP(A146,'Ratings worksheet'!$A$2:$C$159,3,FALSE)</f>
        <v>Caa2</v>
      </c>
    </row>
    <row r="147" spans="1:5">
      <c r="A147" s="46" t="str">
        <f>'Ratings worksheet'!A148</f>
        <v>Turkey</v>
      </c>
      <c r="B147" s="56" t="str">
        <f>VLOOKUP(A147,'Ratings worksheet'!$A$2:$C$159,2,FALSE)</f>
        <v>BB-</v>
      </c>
      <c r="C147" s="56" t="str">
        <f>VLOOKUP(A147,'Ratings worksheet'!$E$2:$H$159,4,FALSE)</f>
        <v>B+</v>
      </c>
      <c r="D147" s="56" t="str">
        <f>IF(E147="NR",VLOOKUP(B147,'Sovereign Ratings (Moody''s,S&amp;P)'!$G$9:$H$34,2,FALSE),E147)</f>
        <v>B1</v>
      </c>
      <c r="E147" s="236" t="str">
        <f>VLOOKUP(A147,'Ratings worksheet'!$A$2:$C$159,3,FALSE)</f>
        <v>B1</v>
      </c>
    </row>
    <row r="148" spans="1:5">
      <c r="A148" s="46" t="str">
        <f>'Ratings worksheet'!A149</f>
        <v>Turks and Caicos Islands</v>
      </c>
      <c r="B148" s="56" t="str">
        <f>VLOOKUP(A148,'Ratings worksheet'!$A$2:$C$159,2,FALSE)</f>
        <v>BBB+</v>
      </c>
      <c r="C148" s="56" t="e">
        <f>VLOOKUP(A148,'Ratings worksheet'!$E$2:$H$159,4,FALSE)</f>
        <v>#N/A</v>
      </c>
      <c r="D148" s="56" t="str">
        <f>IF(E148="NR",VLOOKUP(B148,'Sovereign Ratings (Moody''s,S&amp;P)'!$G$9:$H$34,2,FALSE),E148)</f>
        <v>Baa1</v>
      </c>
      <c r="E148" s="236" t="str">
        <f>VLOOKUP(A148,'Ratings worksheet'!$A$2:$C$159,3,FALSE)</f>
        <v>Baa1</v>
      </c>
    </row>
    <row r="149" spans="1:5">
      <c r="A149" s="46" t="str">
        <f>'Ratings worksheet'!A150</f>
        <v>Uganda</v>
      </c>
      <c r="B149" s="56" t="str">
        <f>VLOOKUP(A149,'Ratings worksheet'!$A$2:$C$159,2,FALSE)</f>
        <v>B-</v>
      </c>
      <c r="C149" s="56" t="str">
        <f>VLOOKUP(A149,'Ratings worksheet'!$E$2:$H$159,4,FALSE)</f>
        <v>B</v>
      </c>
      <c r="D149" s="56" t="str">
        <f>IF(E149="NR",VLOOKUP(B149,'Sovereign Ratings (Moody''s,S&amp;P)'!$G$9:$H$34,2,FALSE),E149)</f>
        <v>B3</v>
      </c>
      <c r="E149" s="236" t="str">
        <f>VLOOKUP(A149,'Ratings worksheet'!$A$2:$C$159,3,FALSE)</f>
        <v>B3</v>
      </c>
    </row>
    <row r="150" spans="1:5">
      <c r="A150" s="46" t="str">
        <f>'Ratings worksheet'!A151</f>
        <v>Ukraine</v>
      </c>
      <c r="B150" s="56" t="str">
        <f>VLOOKUP(A150,'Ratings worksheet'!$A$2:$C$159,2,FALSE)</f>
        <v>SD</v>
      </c>
      <c r="C150" s="56" t="str">
        <f>VLOOKUP(A150,'Ratings worksheet'!$E$2:$H$159,4,FALSE)</f>
        <v>NR</v>
      </c>
      <c r="D150" s="56" t="str">
        <f>IF(E150="NR",VLOOKUP(B150,'Sovereign Ratings (Moody''s,S&amp;P)'!$G$9:$H$34,2,FALSE),E150)</f>
        <v>Ca</v>
      </c>
      <c r="E150" s="236" t="str">
        <f>VLOOKUP(A150,'Ratings worksheet'!$A$2:$C$159,3,FALSE)</f>
        <v>Ca</v>
      </c>
    </row>
    <row r="151" spans="1:5">
      <c r="A151" s="46" t="str">
        <f>'Ratings worksheet'!A152</f>
        <v>United Arab Emirates</v>
      </c>
      <c r="B151" s="56" t="str">
        <f>VLOOKUP(A151,'Ratings worksheet'!$A$2:$C$159,2,FALSE)</f>
        <v>AA</v>
      </c>
      <c r="C151" s="56" t="str">
        <f>VLOOKUP(A151,'Ratings worksheet'!$E$2:$H$159,4,FALSE)</f>
        <v>AA-</v>
      </c>
      <c r="D151" s="56" t="str">
        <f>IF(E151="NR",VLOOKUP(B151,'Sovereign Ratings (Moody''s,S&amp;P)'!$G$9:$H$34,2,FALSE),E151)</f>
        <v>Aa2</v>
      </c>
      <c r="E151" s="236" t="str">
        <f>VLOOKUP(A151,'Ratings worksheet'!$A$2:$C$159,3,FALSE)</f>
        <v>Aa2</v>
      </c>
    </row>
    <row r="152" spans="1:5">
      <c r="A152" s="46" t="str">
        <f>'Ratings worksheet'!A153</f>
        <v>United Kingdom</v>
      </c>
      <c r="B152" s="56" t="str">
        <f>VLOOKUP(A152,'Ratings worksheet'!$A$2:$C$159,2,FALSE)</f>
        <v>AA</v>
      </c>
      <c r="C152" s="56" t="str">
        <f>VLOOKUP(A152,'Ratings worksheet'!$E$2:$H$159,4,FALSE)</f>
        <v>AA-</v>
      </c>
      <c r="D152" s="56" t="str">
        <f>IF(E152="NR",VLOOKUP(B152,'Sovereign Ratings (Moody''s,S&amp;P)'!$G$9:$H$34,2,FALSE),E152)</f>
        <v>Aa3</v>
      </c>
      <c r="E152" s="236" t="str">
        <f>VLOOKUP(A152,'Ratings worksheet'!$A$2:$C$159,3,FALSE)</f>
        <v>Aa3</v>
      </c>
    </row>
    <row r="153" spans="1:5">
      <c r="A153" s="46" t="str">
        <f>'Ratings worksheet'!A154</f>
        <v>United States</v>
      </c>
      <c r="B153" s="56" t="str">
        <f>VLOOKUP(A153,'Ratings worksheet'!$A$2:$C$159,2,FALSE)</f>
        <v>AA+</v>
      </c>
      <c r="C153" s="56" t="e">
        <f>VLOOKUP(A153,'Ratings worksheet'!$E$2:$H$159,4,FALSE)</f>
        <v>#N/A</v>
      </c>
      <c r="D153" s="56" t="str">
        <f>IF(E153="NR",VLOOKUP(B153,'Sovereign Ratings (Moody''s,S&amp;P)'!$G$9:$H$34,2,FALSE),E153)</f>
        <v>Aaa</v>
      </c>
      <c r="E153" s="236" t="str">
        <f>VLOOKUP(A153,'Ratings worksheet'!$A$2:$C$159,3,FALSE)</f>
        <v>Aaa</v>
      </c>
    </row>
    <row r="154" spans="1:5">
      <c r="A154" s="46" t="str">
        <f>'Ratings worksheet'!A155</f>
        <v>Uruguay</v>
      </c>
      <c r="B154" s="56" t="str">
        <f>VLOOKUP(A154,'Ratings worksheet'!$A$2:$C$159,2,FALSE)</f>
        <v>BBB+</v>
      </c>
      <c r="C154" s="56" t="str">
        <f>VLOOKUP(A154,'Ratings worksheet'!$E$2:$H$159,4,FALSE)</f>
        <v>BBB</v>
      </c>
      <c r="D154" s="56" t="str">
        <f>IF(E154="NR",VLOOKUP(B154,'Sovereign Ratings (Moody''s,S&amp;P)'!$G$9:$H$34,2,FALSE),E154)</f>
        <v>Baa1</v>
      </c>
      <c r="E154" s="236" t="str">
        <f>VLOOKUP(A154,'Ratings worksheet'!$A$2:$C$159,3,FALSE)</f>
        <v>Baa1</v>
      </c>
    </row>
    <row r="155" spans="1:5">
      <c r="A155" s="46" t="str">
        <f>'Ratings worksheet'!A156</f>
        <v>Uzbekistan</v>
      </c>
      <c r="B155" s="56" t="str">
        <f>VLOOKUP(A155,'Ratings worksheet'!$A$2:$C$159,2,FALSE)</f>
        <v>BB-</v>
      </c>
      <c r="C155" s="56" t="str">
        <f>VLOOKUP(A155,'Ratings worksheet'!$E$2:$H$159,4,FALSE)</f>
        <v>BB-</v>
      </c>
      <c r="D155" s="56" t="str">
        <f>IF(E155="NR",VLOOKUP(B155,'Sovereign Ratings (Moody''s,S&amp;P)'!$G$9:$H$34,2,FALSE),E155)</f>
        <v>Ba3</v>
      </c>
      <c r="E155" s="236" t="str">
        <f>VLOOKUP(A155,'Ratings worksheet'!$A$2:$C$159,3,FALSE)</f>
        <v>Ba3</v>
      </c>
    </row>
    <row r="156" spans="1:5">
      <c r="A156" s="46" t="str">
        <f>'Ratings worksheet'!A157</f>
        <v>Venezuela</v>
      </c>
      <c r="B156" s="56" t="str">
        <f>VLOOKUP(A156,'Ratings worksheet'!$A$2:$C$159,2,FALSE)</f>
        <v>N/A</v>
      </c>
      <c r="C156" s="56" t="str">
        <f>VLOOKUP(A156,'Ratings worksheet'!$E$2:$H$159,4,FALSE)</f>
        <v>NR</v>
      </c>
      <c r="D156" s="56" t="str">
        <f>IF(E156="NR",VLOOKUP(B156,'Sovereign Ratings (Moody''s,S&amp;P)'!$G$9:$H$34,2,FALSE),E156)</f>
        <v>C</v>
      </c>
      <c r="E156" s="236" t="str">
        <f>VLOOKUP(A156,'Ratings worksheet'!$A$2:$C$159,3,FALSE)</f>
        <v>C</v>
      </c>
    </row>
    <row r="157" spans="1:5">
      <c r="A157" s="46" t="str">
        <f>'Ratings worksheet'!A158</f>
        <v>Vietnam</v>
      </c>
      <c r="B157" s="56" t="str">
        <f>VLOOKUP(A157,'Ratings worksheet'!$A$2:$C$159,2,FALSE)</f>
        <v>BB+</v>
      </c>
      <c r="C157" s="56" t="str">
        <f>VLOOKUP(A157,'Ratings worksheet'!$E$2:$H$159,4,FALSE)</f>
        <v>BB+</v>
      </c>
      <c r="D157" s="56" t="str">
        <f>IF(E157="NR",VLOOKUP(B157,'Sovereign Ratings (Moody''s,S&amp;P)'!$G$9:$H$34,2,FALSE),E157)</f>
        <v>Ba2</v>
      </c>
      <c r="E157" s="236" t="str">
        <f>VLOOKUP(A157,'Ratings worksheet'!$A$2:$C$159,3,FALSE)</f>
        <v>Ba2</v>
      </c>
    </row>
    <row r="158" spans="1:5">
      <c r="A158" s="46" t="str">
        <f>'Ratings worksheet'!A159</f>
        <v>Zambia</v>
      </c>
      <c r="B158" s="56" t="str">
        <f>VLOOKUP(A158,'Ratings worksheet'!$A$2:$C$159,2,FALSE)</f>
        <v>SD</v>
      </c>
      <c r="C158" s="56" t="str">
        <f>VLOOKUP(A158,'Ratings worksheet'!$E$2:$H$159,4,FALSE)</f>
        <v>NR</v>
      </c>
      <c r="D158" s="56" t="str">
        <f>IF(E158="NR",VLOOKUP(B158,'Sovereign Ratings (Moody''s,S&amp;P)'!$G$9:$H$34,2,FALSE),E158)</f>
        <v>Caa2</v>
      </c>
      <c r="E158" s="236" t="str">
        <f>VLOOKUP(A158,'Ratings worksheet'!$A$2:$C$159,3,FALSE)</f>
        <v>Caa2</v>
      </c>
    </row>
  </sheetData>
  <mergeCells count="4">
    <mergeCell ref="G2:P2"/>
    <mergeCell ref="G3:P3"/>
    <mergeCell ref="G4:P4"/>
    <mergeCell ref="G5:P5"/>
  </mergeCells>
  <phoneticPr fontId="11"/>
  <pageMargins left="0.75" right="0.75" top="1" bottom="1" header="0.5" footer="0.5"/>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Explanation and FAQ</vt:lpstr>
      <vt:lpstr>Summary of Most Recent Update</vt:lpstr>
      <vt:lpstr>Country Lookup</vt:lpstr>
      <vt:lpstr>ERPs by country</vt:lpstr>
      <vt:lpstr>Relative Equity Volatility</vt:lpstr>
      <vt:lpstr>Regional Simple Averages</vt:lpstr>
      <vt:lpstr>Regional Weighted Averages</vt:lpstr>
      <vt:lpstr>Regional breakdown</vt:lpstr>
      <vt:lpstr>Sovereign Ratings (Moody's,S&amp;P)</vt:lpstr>
      <vt:lpstr>Regional lookup table</vt:lpstr>
      <vt:lpstr>Default Spreads for Ratings</vt:lpstr>
      <vt:lpstr>10-year CDS Spreads</vt:lpstr>
      <vt:lpstr>Equity vs Govt Bond vol Risky</vt:lpstr>
      <vt:lpstr>Country GDP</vt:lpstr>
      <vt:lpstr>Ratings worksheet</vt:lpstr>
      <vt:lpstr>Country Tax Rates</vt:lpstr>
      <vt:lpstr>PRS Worksheet</vt:lpstr>
      <vt:lpstr>Data Update Sequence</vt:lpstr>
      <vt:lpstr>'Regional Weighted Averages'!Print_Area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SHIVAM S - 190909050</cp:lastModifiedBy>
  <cp:lastPrinted>2025-01-08T14:21:15Z</cp:lastPrinted>
  <dcterms:created xsi:type="dcterms:W3CDTF">1999-02-15T17:37:17Z</dcterms:created>
  <dcterms:modified xsi:type="dcterms:W3CDTF">2025-04-11T21:05:53Z</dcterms:modified>
</cp:coreProperties>
</file>