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\Meu Drive (mz.tears.of.time@gmail.com)\Dev\Cursos\Curso-003\001 - Excel\"/>
    </mc:Choice>
  </mc:AlternateContent>
  <xr:revisionPtr revIDLastSave="0" documentId="13_ncr:1_{D4C156EC-FA47-4F85-A0C7-C8D87B2A72EF}" xr6:coauthVersionLast="36" xr6:coauthVersionMax="47" xr10:uidLastSave="{00000000-0000-0000-0000-000000000000}"/>
  <bookViews>
    <workbookView xWindow="12090" yWindow="0" windowWidth="23070" windowHeight="12195" tabRatio="698" activeTab="3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Desc_Categorias">'Cadastros Auxiliares'!$B$8:$E$8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6" l="1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5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K5" i="16" l="1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J5" i="16" l="1"/>
  <c r="L5" i="16" s="1"/>
  <c r="J6" i="16"/>
  <c r="L6" i="16" s="1"/>
  <c r="J7" i="16"/>
  <c r="L7" i="16" s="1"/>
  <c r="J8" i="16"/>
  <c r="L8" i="16" s="1"/>
  <c r="J9" i="16"/>
  <c r="L9" i="16" s="1"/>
  <c r="J10" i="16"/>
  <c r="L10" i="16" s="1"/>
  <c r="J11" i="16"/>
  <c r="L11" i="16" s="1"/>
  <c r="J12" i="16"/>
  <c r="L12" i="16" s="1"/>
  <c r="J13" i="16"/>
  <c r="L13" i="16" s="1"/>
  <c r="J14" i="16"/>
  <c r="L14" i="16" s="1"/>
  <c r="J15" i="16"/>
  <c r="L15" i="16" s="1"/>
  <c r="J16" i="16"/>
  <c r="L16" i="16" s="1"/>
  <c r="J17" i="16"/>
  <c r="L17" i="16" s="1"/>
  <c r="J18" i="16"/>
  <c r="L18" i="16" s="1"/>
  <c r="J19" i="16"/>
  <c r="L19" i="16" s="1"/>
  <c r="J20" i="16"/>
  <c r="L20" i="16" s="1"/>
  <c r="J21" i="16"/>
  <c r="L21" i="16" s="1"/>
  <c r="J22" i="16"/>
  <c r="L22" i="16" s="1"/>
  <c r="J23" i="16"/>
  <c r="L23" i="16" s="1"/>
  <c r="J24" i="16"/>
  <c r="L24" i="16" s="1"/>
  <c r="J25" i="16"/>
  <c r="L25" i="16" s="1"/>
  <c r="J26" i="16"/>
  <c r="L26" i="16" s="1"/>
  <c r="J27" i="16"/>
  <c r="L27" i="16" s="1"/>
  <c r="J28" i="16"/>
  <c r="L28" i="16" s="1"/>
  <c r="J29" i="16"/>
  <c r="L29" i="16" s="1"/>
  <c r="J30" i="16"/>
  <c r="L30" i="16" s="1"/>
  <c r="J31" i="16"/>
  <c r="L31" i="16" s="1"/>
  <c r="J32" i="16"/>
  <c r="L32" i="16" s="1"/>
  <c r="J33" i="16"/>
  <c r="L33" i="16" s="1"/>
  <c r="J34" i="16"/>
  <c r="L34" i="16" s="1"/>
  <c r="J35" i="16"/>
  <c r="L35" i="16" s="1"/>
  <c r="J36" i="16"/>
  <c r="L36" i="16" s="1"/>
  <c r="J37" i="16"/>
  <c r="L37" i="16" s="1"/>
  <c r="J38" i="16"/>
  <c r="L38" i="16" s="1"/>
  <c r="J39" i="16"/>
  <c r="L39" i="16" s="1"/>
  <c r="J40" i="16"/>
  <c r="L40" i="16" s="1"/>
  <c r="J41" i="16"/>
  <c r="L41" i="16" s="1"/>
  <c r="J42" i="16"/>
  <c r="L42" i="16" s="1"/>
  <c r="J43" i="16"/>
  <c r="L43" i="16" s="1"/>
  <c r="J44" i="16"/>
  <c r="L44" i="16" s="1"/>
  <c r="J45" i="16"/>
  <c r="L45" i="16" s="1"/>
  <c r="J46" i="16"/>
  <c r="L46" i="16" s="1"/>
  <c r="J47" i="16"/>
  <c r="L47" i="16" s="1"/>
  <c r="J48" i="16"/>
  <c r="L48" i="16" s="1"/>
  <c r="J49" i="16"/>
  <c r="L49" i="16" s="1"/>
  <c r="J50" i="16"/>
  <c r="L50" i="16" s="1"/>
  <c r="J51" i="16"/>
  <c r="L51" i="16" s="1"/>
  <c r="J52" i="16"/>
  <c r="L52" i="16" s="1"/>
  <c r="J53" i="16"/>
  <c r="L53" i="16" s="1"/>
  <c r="J54" i="16"/>
  <c r="L54" i="16" s="1"/>
  <c r="J55" i="16"/>
  <c r="L55" i="16" s="1"/>
  <c r="J56" i="16"/>
  <c r="L56" i="16" s="1"/>
  <c r="J57" i="16"/>
  <c r="L57" i="16" s="1"/>
  <c r="J58" i="16"/>
  <c r="L58" i="16" s="1"/>
  <c r="J59" i="16"/>
  <c r="L59" i="16" s="1"/>
  <c r="J60" i="16"/>
  <c r="L60" i="16" s="1"/>
  <c r="J61" i="16"/>
  <c r="L61" i="16" s="1"/>
  <c r="J62" i="16"/>
  <c r="L62" i="16" s="1"/>
  <c r="J63" i="16"/>
  <c r="L63" i="16" s="1"/>
  <c r="J64" i="16"/>
  <c r="L64" i="16" s="1"/>
  <c r="J65" i="16"/>
  <c r="L65" i="16" s="1"/>
  <c r="J66" i="16"/>
  <c r="L66" i="16" s="1"/>
  <c r="J67" i="16"/>
  <c r="L67" i="16" s="1"/>
  <c r="J68" i="16"/>
  <c r="L68" i="16" s="1"/>
  <c r="J69" i="16"/>
  <c r="L69" i="16" s="1"/>
  <c r="J70" i="16"/>
  <c r="L70" i="16" s="1"/>
  <c r="J71" i="16"/>
  <c r="L71" i="16" s="1"/>
  <c r="J72" i="16"/>
  <c r="L72" i="16" s="1"/>
  <c r="J73" i="16"/>
  <c r="L73" i="16" s="1"/>
  <c r="J74" i="16"/>
  <c r="L74" i="16" s="1"/>
  <c r="J75" i="16"/>
  <c r="L75" i="16" s="1"/>
  <c r="J76" i="16"/>
  <c r="L76" i="16" s="1"/>
  <c r="J77" i="16"/>
  <c r="L77" i="16" s="1"/>
  <c r="J78" i="16"/>
  <c r="L78" i="16" s="1"/>
  <c r="J79" i="16"/>
  <c r="L79" i="16" s="1"/>
  <c r="J80" i="16"/>
  <c r="L80" i="16" s="1"/>
  <c r="J81" i="16"/>
  <c r="L81" i="16" s="1"/>
  <c r="J82" i="16"/>
  <c r="L82" i="16" s="1"/>
  <c r="J83" i="16"/>
  <c r="L83" i="16" s="1"/>
  <c r="J84" i="16"/>
  <c r="L84" i="16" s="1"/>
  <c r="J85" i="16"/>
  <c r="L85" i="16" s="1"/>
  <c r="J86" i="16"/>
  <c r="L86" i="16" s="1"/>
  <c r="F18" i="23"/>
  <c r="C8" i="24"/>
  <c r="E18" i="24"/>
  <c r="E14" i="24"/>
  <c r="C7" i="24"/>
  <c r="F19" i="23" l="1"/>
  <c r="C19" i="23" l="1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F21" i="23" l="1"/>
  <c r="F20" i="23"/>
  <c r="D17" i="23"/>
  <c r="D18" i="23"/>
  <c r="C12" i="24" l="1"/>
  <c r="C13" i="24" l="1"/>
  <c r="F7" i="24" l="1"/>
  <c r="C11" i="24" l="1"/>
  <c r="C10" i="24"/>
  <c r="C15" i="24" s="1"/>
  <c r="C14" i="24" s="1"/>
  <c r="C16" i="24" s="1"/>
  <c r="C9" i="24"/>
  <c r="F9" i="24" l="1"/>
  <c r="M68" i="16" l="1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 RPG</author>
  </authors>
  <commentList>
    <comment ref="C7" authorId="0" shapeId="0" xr:uid="{521755D4-54F1-40A8-BCC8-139F40E86380}">
      <text>
        <r>
          <rPr>
            <b/>
            <sz val="10"/>
            <color indexed="81"/>
            <rFont val="Segoe UI"/>
            <family val="2"/>
          </rPr>
          <t>1º Parâmetro: 
          Célula do código
2º Parâmetro:
          Selecionar toda a tabela onde será procurado.
3º Parâmetro:
          O id da COLUNA (inicia da esquerda para direita, valor 1 para a primeira coluna.
4º Parâmetro:
          • verdadeiro: Valores aproximados;
          • falso: Valores EXATOS.
Na PROCV não consigo procurar 'Bermuda' e retornar o coódigo dele, ou seja, selecionar o número da coluna antes dele.
PROCV -- Procura Vertical (Colunas)
PROCH -- Procura Horizontal (Linhas)</t>
        </r>
      </text>
    </comment>
    <comment ref="C8" authorId="0" shapeId="0" xr:uid="{E1EE0359-1C7D-4DB2-ABBE-0EE231A818B0}">
      <text>
        <r>
          <rPr>
            <b/>
            <sz val="10"/>
            <color indexed="81"/>
            <rFont val="Segoe UI"/>
            <family val="2"/>
          </rPr>
          <t>1º Parâmetro: 
          Célula do código
2º Parâmetro:
          Selecionar toda a tabela onde será procurado.
3º Parâmetro:
          O id da COLUNA (inicia da esquerda para direita, valor 1 para a primeira coluna.
4º Parâmetro:
          • verdadeiro: Valores aproximados;
          • falso: Valores EXATOS.
Na PROCV não consigo procurar 'Bermuda' e retornar o coódigo dele, ou seja, selecionar o número da coluna antes dele.
PROCV -- Procura Vertical (Colunas)
PROCH -- Procura Horizontal (Linhas)</t>
        </r>
      </text>
    </comment>
    <comment ref="C9" authorId="0" shapeId="0" xr:uid="{5C41B4FB-D364-450E-8959-2F3FADB11998}">
      <text>
        <r>
          <rPr>
            <b/>
            <sz val="10"/>
            <color indexed="81"/>
            <rFont val="Segoe UI"/>
            <family val="2"/>
          </rPr>
          <t>Sobre o PROCX
1º Parâmetro:
          A cécula do produto que quer pesquisar.
2º Parâmetro:
          Apenas a coluna inteira de onde está esse produto.
3º Parâmetro:
          Apenas a coluna inteira do que deseja retornar.
=PROCX(C6;TB_Produtos[[#Tudo];[Código]];TB_Produtos[[#Tudo];[Tamanho]];"Não Encontrado")
Na PROCX posso selecionar a coluna onde está a 'Bermuda' e selecionar a coluna antes dele (PROCV não permite)</t>
        </r>
      </text>
    </comment>
    <comment ref="E14" authorId="0" shapeId="0" xr:uid="{951887BD-8385-4008-8735-78A1B7AA86FA}">
      <text>
        <r>
          <rPr>
            <b/>
            <sz val="10"/>
            <color indexed="81"/>
            <rFont val="Segoe UI"/>
            <family val="2"/>
          </rPr>
          <t>1º Parâmetro: 
          Célula do código
2º Parâmetro:
          Selecionar toda a tabela onde será procurado.
3º Parâmetro:
          O id da COLUNA (inicia da esquerda para direita, valor 1 para a primeira coluna.
4º Parâmetro:
          • verdadeiro: Valores aproximados;
          • falso: Valores EXATOS.
Na PROCV não consigo procurar 'Bermuda' e retornar o coódigo dele, ou seja, selecionar o número da coluna antes dele.
PROCV -- Procura Vertical (Colunas)
PROCH -- Procura Horizontal (Linhas)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 RPG</author>
  </authors>
  <commentList>
    <comment ref="D17" authorId="0" shapeId="0" xr:uid="{B06CBAAC-3553-4C73-AEBE-098C99276FD4}">
      <text>
        <r>
          <rPr>
            <b/>
            <sz val="9"/>
            <color indexed="81"/>
            <rFont val="Segoe UI"/>
            <charset val="1"/>
          </rPr>
          <t xml:space="preserve">Corresp
1º Parâmetro:
          Célula de busca
2º Parâmetro
          A Linha ou Coluna dos Dados (não a matriz inteira
3º Parâmetro
          Tipo de pesquisa
</t>
        </r>
      </text>
    </comment>
  </commentList>
</comments>
</file>

<file path=xl/sharedStrings.xml><?xml version="1.0" encoding="utf-8"?>
<sst xmlns="http://schemas.openxmlformats.org/spreadsheetml/2006/main" count="509" uniqueCount="178">
  <si>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</si>
  <si>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</si>
  <si>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</si>
  <si>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</si>
  <si>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</si>
  <si>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</si>
  <si>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</si>
  <si>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</si>
  <si>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</si>
  <si>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</si>
  <si>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</si>
  <si>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</si>
  <si>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</si>
  <si>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</si>
  <si>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</si>
  <si>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</si>
  <si>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</si>
  <si>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</si>
  <si>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</si>
  <si>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</si>
  <si>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</si>
  <si>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</si>
  <si>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</si>
  <si>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</si>
  <si>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</si>
  <si>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</si>
  <si>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</si>
  <si>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</si>
  <si>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</si>
  <si>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</si>
  <si>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</si>
  <si>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</si>
  <si>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</si>
  <si>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</si>
  <si>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</si>
  <si>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</si>
  <si>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</si>
  <si>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</si>
  <si>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</si>
  <si>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</si>
  <si>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</si>
  <si>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</si>
  <si>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</si>
  <si>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</si>
  <si>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</si>
  <si>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</si>
  <si>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</si>
  <si>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</si>
  <si>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</si>
  <si>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</si>
  <si>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</si>
  <si>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</si>
  <si>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</si>
  <si>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</si>
  <si>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</si>
  <si>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</si>
  <si>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</si>
  <si>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</si>
  <si>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</si>
  <si>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</si>
  <si>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</si>
  <si>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</si>
  <si>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</si>
  <si>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</si>
  <si>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</si>
  <si>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</si>
  <si>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</si>
  <si>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</si>
  <si>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</si>
  <si>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</si>
  <si>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</si>
  <si>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</si>
  <si>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</si>
  <si>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</si>
  <si>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</si>
  <si>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</si>
  <si>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</si>
  <si>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</si>
  <si>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</si>
  <si>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</si>
  <si>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</si>
  <si>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</si>
  <si>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</si>
  <si>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</si>
  <si>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</si>
  <si>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</si>
  <si>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</si>
  <si>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</si>
  <si>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</si>
  <si>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</si>
  <si>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</si>
  <si>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</si>
  <si>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</si>
  <si>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</si>
  <si>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</si>
  <si>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</si>
  <si>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</si>
  <si>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</si>
  <si>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</si>
  <si>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</si>
  <si>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</si>
  <si>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</si>
  <si>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</si>
  <si>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</si>
  <si>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</si>
  <si>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</si>
  <si>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</si>
  <si>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</si>
  <si>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</si>
  <si>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</si>
  <si>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</si>
  <si>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</si>
  <si>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</si>
  <si>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</si>
  <si>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</si>
  <si>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</si>
  <si>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</si>
  <si>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</si>
  <si>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</si>
  <si>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</si>
  <si>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</si>
  <si>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</si>
  <si>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</si>
  <si>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</si>
  <si>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</si>
  <si>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</si>
  <si>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</si>
  <si>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</si>
  <si>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</si>
  <si>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</si>
  <si>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</si>
  <si>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</si>
  <si>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</si>
  <si>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</si>
  <si>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</si>
  <si>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</si>
  <si>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</si>
  <si>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</si>
  <si>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</si>
  <si>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</si>
  <si>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</si>
  <si>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</si>
  <si>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</si>
  <si>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</si>
  <si>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</si>
  <si>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</si>
  <si>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</si>
  <si>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</si>
  <si>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</si>
  <si>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</si>
  <si>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</si>
  <si>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</si>
  <si>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</si>
  <si>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</si>
  <si>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</si>
  <si>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</si>
  <si>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</si>
  <si>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</si>
  <si>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</si>
  <si>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</si>
  <si>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</si>
  <si>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</si>
  <si>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</si>
  <si>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</si>
  <si>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</si>
  <si>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</si>
  <si>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>DIA.DA.SEMANA</t>
  </si>
  <si>
    <t>PROCV(DIA.DA.SEMANA)</t>
  </si>
  <si>
    <t xml:space="preserve">Situação SE: </t>
  </si>
  <si>
    <t xml:space="preserve">Situação SES: </t>
  </si>
  <si>
    <t>Estoque Mínimo</t>
  </si>
  <si>
    <t>CORRESP</t>
  </si>
  <si>
    <t>Coluna</t>
  </si>
  <si>
    <t>Linha</t>
  </si>
  <si>
    <t>Desc. Vendedor</t>
  </si>
  <si>
    <t>Desc.</t>
  </si>
  <si>
    <t>Desc.2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</si>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</sst>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&quot;R$&quot;\ #,##0.00"/>
  </numFmts>
  <fonts count="2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indexed="81"/>
      <name val="Segoe UI"/>
      <family val="2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166" fontId="24" fillId="7" borderId="26" xfId="0" applyNumberFormat="1" applyFont="1" applyFill="1" applyBorder="1" applyAlignment="1">
      <alignment horizontal="center" vertical="center"/>
    </xf>
    <xf numFmtId="1" fontId="16" fillId="0" borderId="7" xfId="5" applyNumberFormat="1" applyFont="1" applyBorder="1" applyAlignment="1">
      <alignment horizontal="center" vertical="center"/>
    </xf>
    <xf numFmtId="1" fontId="24" fillId="7" borderId="26" xfId="0" applyNumberFormat="1" applyFont="1" applyFill="1" applyBorder="1" applyAlignment="1">
      <alignment horizontal="center" vertical="center"/>
    </xf>
    <xf numFmtId="1" fontId="0" fillId="0" borderId="33" xfId="0" applyNumberFormat="1" applyFont="1" applyBorder="1" applyAlignment="1">
      <alignment horizontal="center"/>
    </xf>
    <xf numFmtId="9" fontId="0" fillId="0" borderId="0" xfId="5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1459522</xdr:colOff>
      <xdr:row>0</xdr:row>
      <xdr:rowOff>85725</xdr:rowOff>
    </xdr:from>
    <xdr:to>
      <xdr:col>9</xdr:col>
      <xdr:colOff>621615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636710</xdr:colOff>
      <xdr:row>0</xdr:row>
      <xdr:rowOff>85725</xdr:rowOff>
    </xdr:from>
    <xdr:to>
      <xdr:col>8</xdr:col>
      <xdr:colOff>790868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1086950</xdr:colOff>
      <xdr:row>0</xdr:row>
      <xdr:rowOff>85725</xdr:rowOff>
    </xdr:from>
    <xdr:to>
      <xdr:col>7</xdr:col>
      <xdr:colOff>544318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6</xdr:col>
      <xdr:colOff>15387</xdr:colOff>
      <xdr:row>0</xdr:row>
      <xdr:rowOff>85725</xdr:rowOff>
    </xdr:from>
    <xdr:to>
      <xdr:col>6</xdr:col>
      <xdr:colOff>994557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4" xr3:uid="{FF498027-E8BA-44D8-8736-0BB5EC1FBABF}" name="Categoria" dataDxfId="4">
      <calculatedColumnFormula>VLOOKUP(TB_Vendas[[#This Row],[Código]],TB_Produtos[#All],4,0)</calculatedColumnFormula>
    </tableColumn>
    <tableColumn id="5" xr3:uid="{7DC2ADED-AF8A-4BC8-A38E-FEF676FE49C9}" name="Qtd" dataDxfId="10"/>
    <tableColumn id="9" xr3:uid="{05B7315B-2774-41BC-AFEC-4A19E452D6C7}" name="Preço Unitário" dataDxfId="2">
      <calculatedColumnFormula>VLOOKUP(TB_Vendas[[#This Row],[Código]],TB_Produtos[#All],6,0)</calculatedColumnFormula>
    </tableColumn>
    <tableColumn id="14" xr3:uid="{E3884B12-A7A2-4AF9-9167-E984F229A9E5}" name="Índice" dataDxfId="0">
      <calculatedColumnFormula>MATCH(TB_Vendas[[#This Row],[Categoria]],Desc_Categorias,0)</calculatedColumnFormula>
    </tableColumn>
    <tableColumn id="13" xr3:uid="{6A0654E0-20DE-4CD2-976A-41ED0167881E}" name="Desc.2" dataDxfId="1">
      <calculatedColumnFormula>VLOOKUP(TB_Vendas[[#This Row],[Qtd]],Desc_TabelaToda,TB_Vendas[[#This Row],[Índice]],TRUE)</calculatedColumnFormula>
    </tableColumn>
    <tableColumn id="2" xr3:uid="{4BEBDE19-FA81-4412-AC83-E0AE6998A9B4}" name="Desc." dataDxfId="9" dataCellStyle="Porcentagem">
      <calculatedColumnFormula>INDEX(Desc_TabelaToda,MATCH(TB_Vendas[[#This Row],[Qtd]],Desc_Quantidades,1),MATCH(VLOOKUP(TB_Vendas[[#This Row],[Código]],TB_Produtos[],4,0),Desc_Categorias,0))</calculatedColumnFormula>
    </tableColumn>
    <tableColumn id="3" xr3:uid="{EFA6B0E7-AC23-4F94-BA6E-D976C75B2690}" name="Desc. Vendedor" dataDxfId="8" dataCellStyle="Porcentagem">
      <calculatedColumnFormula>VLOOKUP(TB_Vendas[[#This Row],[Vendedor]],Vendedores!$A$5:$D$9,4,0)</calculatedColumnFormula>
    </tableColumn>
    <tableColumn id="11" xr3:uid="{EEE0E260-9AD8-45FC-95F2-FCE29E013745}" name="Desconto" dataDxfId="7" dataCellStyle="Porcentagem">
      <calculatedColumnFormula>IF(TB_Vendas[[#This Row],[Desc.]]&gt;TB_Vendas[[#This Row],[Desc. Vendedor]],TB_Vendas[[#This Row],[Desc. Vendedor]],TB_Vendas[[#This Row],[Desc.]])</calculatedColumnFormula>
    </tableColumn>
    <tableColumn id="6" xr3:uid="{9459B662-6A4F-4486-82B1-12F67B8F842E}" name="Total" dataDxfId="6">
      <calculatedColumnFormula>TB_Vendas[[#This Row],[Preço Unitário]]*TB_Vendas[[#This Row],[Qtd]]</calculatedColumnFormula>
    </tableColumn>
    <tableColumn id="8" xr3:uid="{192FEBCA-1287-48A6-9BE6-69528F71C305}" name="Vendedor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zoomScale="160" zoomScaleNormal="160"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</row>
    <row r="4" spans="1:1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</row>
    <row r="5" spans="1:12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</row>
    <row r="6" spans="1:1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>
      <selection activeCell="B10" sqref="B10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5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40" customFormat="1" ht="40.15" customHeight="1">
      <c r="A1" s="43"/>
      <c r="B1" s="85" t="s">
        <v>134</v>
      </c>
      <c r="C1" s="85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18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abSelected="1" topLeftCell="B1" zoomScale="130" zoomScaleNormal="130" workbookViewId="0">
      <selection activeCell="H6" sqref="H6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42578125" style="1" bestFit="1" customWidth="1"/>
    <col min="6" max="6" width="10.140625" bestFit="1" customWidth="1"/>
    <col min="7" max="7" width="22.85546875" bestFit="1" customWidth="1"/>
    <col min="8" max="8" width="12.42578125" bestFit="1" customWidth="1"/>
    <col min="9" max="9" width="22.85546875" customWidth="1"/>
    <col min="10" max="10" width="17" customWidth="1"/>
    <col min="11" max="11" width="20.28515625" customWidth="1"/>
    <col min="12" max="12" width="17" bestFit="1" customWidth="1"/>
    <col min="13" max="13" width="12.7109375" bestFit="1" customWidth="1"/>
  </cols>
  <sheetData>
    <row r="1" spans="1:14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  <c r="J1" s="45"/>
      <c r="K1" s="45"/>
      <c r="L1" s="45"/>
    </row>
    <row r="2" spans="1:14" s="41" customFormat="1" ht="4.5" customHeight="1">
      <c r="A2" s="44"/>
      <c r="B2" s="44"/>
      <c r="C2" s="44"/>
      <c r="D2" s="44"/>
      <c r="E2" s="44"/>
      <c r="F2" s="44"/>
    </row>
    <row r="3" spans="1:14" ht="4.5" customHeight="1">
      <c r="A3" s="42"/>
      <c r="B3" s="42"/>
      <c r="C3" s="42"/>
      <c r="D3" s="42"/>
      <c r="E3" s="42"/>
      <c r="F3" s="42"/>
    </row>
    <row r="4" spans="1:14" ht="18.7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10</v>
      </c>
      <c r="F4" s="36" t="s">
        <v>15</v>
      </c>
      <c r="G4" s="36" t="s">
        <v>11</v>
      </c>
      <c r="H4" s="36" t="s">
        <v>177</v>
      </c>
      <c r="I4" s="36" t="s">
        <v>176</v>
      </c>
      <c r="J4" s="36" t="s">
        <v>175</v>
      </c>
      <c r="K4" s="36" t="s">
        <v>174</v>
      </c>
      <c r="L4" s="36" t="s">
        <v>133</v>
      </c>
      <c r="M4" s="37" t="s">
        <v>16</v>
      </c>
      <c r="N4" s="36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VLOOKUP(TB_Vendas[[#This Row],[Código]],TB_Produtos[#All],4,0)</f>
        <v>Acessórios</v>
      </c>
      <c r="F5" s="1">
        <v>1</v>
      </c>
      <c r="G5" s="29">
        <f>VLOOKUP(TB_Vendas[[#This Row],[Código]],TB_Produtos[#All],6,0)</f>
        <v>39.9</v>
      </c>
      <c r="H5" s="120">
        <f>MATCH(TB_Vendas[[#This Row],[Categoria]],Desc_Categorias,0)</f>
        <v>2</v>
      </c>
      <c r="I5" s="69">
        <f>VLOOKUP(TB_Vendas[[#This Row],[Qtd]],Desc_TabelaToda,TB_Vendas[[#This Row],[Índice]],TRUE)</f>
        <v>0</v>
      </c>
      <c r="J5" s="69">
        <f>INDEX(Desc_TabelaToda,MATCH(TB_Vendas[[#This Row],[Qtd]],Desc_Quantidades,1),MATCH(VLOOKUP(TB_Vendas[[#This Row],[Código]],TB_Produtos[],4,0),Desc_Categorias,0))</f>
        <v>0</v>
      </c>
      <c r="K5" s="69">
        <f>VLOOKUP(TB_Vendas[[#This Row],[Vendedor]],Vendedores!$A$5:$D$9,4,0)</f>
        <v>0.25</v>
      </c>
      <c r="L5" s="69">
        <f>IF(TB_Vendas[[#This Row],[Desc.]]&gt;TB_Vendas[[#This Row],[Desc. Vendedor]],TB_Vendas[[#This Row],[Desc. Vendedor]],TB_Vendas[[#This Row],[Desc.]])</f>
        <v>0</v>
      </c>
      <c r="M5" s="8">
        <f>TB_Vendas[[#This Row],[Preço Unitário]]*TB_Vendas[[#This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VLOOKUP(TB_Vendas[[#This Row],[Código]],TB_Produtos[#All],4,0)</f>
        <v>Acessórios</v>
      </c>
      <c r="F6" s="1">
        <v>1</v>
      </c>
      <c r="G6" s="29">
        <f>VLOOKUP(TB_Vendas[[#This Row],[Código]],TB_Produtos[#All],6,0)</f>
        <v>259.89999999999998</v>
      </c>
      <c r="H6" s="120">
        <f>MATCH(TB_Vendas[[#This Row],[Categoria]],Desc_Categorias,0)</f>
        <v>2</v>
      </c>
      <c r="I6" s="69">
        <f>VLOOKUP(TB_Vendas[[#This Row],[Qtd]],Desc_TabelaToda,TB_Vendas[[#This Row],[Índice]],TRUE)</f>
        <v>0</v>
      </c>
      <c r="J6" s="69">
        <f>INDEX(Desc_TabelaToda,MATCH(TB_Vendas[[#This Row],[Qtd]],Desc_Quantidades,1),MATCH(VLOOKUP(TB_Vendas[[#This Row],[Código]],TB_Produtos[],4,0),Desc_Categorias,0))</f>
        <v>0</v>
      </c>
      <c r="K6" s="69">
        <f>VLOOKUP(TB_Vendas[[#This Row],[Vendedor]],Vendedores!$A$5:$D$9,4,0)</f>
        <v>0.25</v>
      </c>
      <c r="L6" s="69">
        <f>IF(TB_Vendas[[#This Row],[Desc.]]&gt;TB_Vendas[[#This Row],[Desc. Vendedor]],TB_Vendas[[#This Row],[Desc. Vendedor]],TB_Vendas[[#This Row],[Desc.]])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VLOOKUP(TB_Vendas[[#This Row],[Código]],TB_Produtos[#All],4,0)</f>
        <v>Vestuário</v>
      </c>
      <c r="F7" s="1">
        <v>2</v>
      </c>
      <c r="G7" s="29">
        <f>VLOOKUP(TB_Vendas[[#This Row],[Código]],TB_Produtos[#All],6,0)</f>
        <v>32.9</v>
      </c>
      <c r="H7" s="120">
        <f>MATCH(TB_Vendas[[#This Row],[Categoria]],Desc_Categorias,0)</f>
        <v>3</v>
      </c>
      <c r="I7" s="69">
        <f>VLOOKUP(TB_Vendas[[#This Row],[Qtd]],Desc_TabelaToda,TB_Vendas[[#This Row],[Índice]],TRUE)</f>
        <v>0.15</v>
      </c>
      <c r="J7" s="69">
        <f>INDEX(Desc_TabelaToda,MATCH(TB_Vendas[[#This Row],[Qtd]],Desc_Quantidades,1),MATCH(VLOOKUP(TB_Vendas[[#This Row],[Código]],TB_Produtos[],4,0),Desc_Categorias,0))</f>
        <v>0.15</v>
      </c>
      <c r="K7" s="69">
        <f>VLOOKUP(TB_Vendas[[#This Row],[Vendedor]],Vendedores!$A$5:$D$9,4,0)</f>
        <v>0.2</v>
      </c>
      <c r="L7" s="69">
        <f>IF(TB_Vendas[[#This Row],[Desc.]]&gt;TB_Vendas[[#This Row],[Desc. Vendedor]],TB_Vendas[[#This Row],[Desc. Vendedor]],TB_Vendas[[#This Row],[Desc.]])</f>
        <v>0.15</v>
      </c>
      <c r="M7" s="8">
        <f>TB_Vendas[[#This Row],[Preço Unitário]]*TB_Vendas[[#This Row],[Qtd]]</f>
        <v>65.8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VLOOKUP(TB_Vendas[[#This Row],[Código]],TB_Produtos[#All],4,0)</f>
        <v>Vestuário</v>
      </c>
      <c r="F8" s="1">
        <v>1</v>
      </c>
      <c r="G8" s="29">
        <f>VLOOKUP(TB_Vendas[[#This Row],[Código]],TB_Produtos[#All],6,0)</f>
        <v>46.9</v>
      </c>
      <c r="H8" s="120">
        <f>MATCH(TB_Vendas[[#This Row],[Categoria]],Desc_Categorias,0)</f>
        <v>3</v>
      </c>
      <c r="I8" s="69">
        <f>VLOOKUP(TB_Vendas[[#This Row],[Qtd]],Desc_TabelaToda,TB_Vendas[[#This Row],[Índice]],TRUE)</f>
        <v>0.1</v>
      </c>
      <c r="J8" s="69">
        <f>INDEX(Desc_TabelaToda,MATCH(TB_Vendas[[#This Row],[Qtd]],Desc_Quantidades,1),MATCH(VLOOKUP(TB_Vendas[[#This Row],[Código]],TB_Produtos[],4,0),Desc_Categorias,0))</f>
        <v>0.1</v>
      </c>
      <c r="K8" s="69">
        <f>VLOOKUP(TB_Vendas[[#This Row],[Vendedor]],Vendedores!$A$5:$D$9,4,0)</f>
        <v>0.15</v>
      </c>
      <c r="L8" s="69">
        <f>IF(TB_Vendas[[#This Row],[Desc.]]&gt;TB_Vendas[[#This Row],[Desc. Vendedor]],TB_Vendas[[#This Row],[Desc. Vendedor]],TB_Vendas[[#This Row],[Desc.]])</f>
        <v>0.1</v>
      </c>
      <c r="M8" s="8">
        <f>TB_Vendas[[#This Row],[Preço Unitário]]*TB_Vendas[[#This Row],[Qtd]]</f>
        <v>46.9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VLOOKUP(TB_Vendas[[#This Row],[Código]],TB_Produtos[#All],4,0)</f>
        <v>Vestuário</v>
      </c>
      <c r="F9" s="1">
        <v>1</v>
      </c>
      <c r="G9" s="29">
        <f>VLOOKUP(TB_Vendas[[#This Row],[Código]],TB_Produtos[#All],6,0)</f>
        <v>29.9</v>
      </c>
      <c r="H9" s="120">
        <f>MATCH(TB_Vendas[[#This Row],[Categoria]],Desc_Categorias,0)</f>
        <v>3</v>
      </c>
      <c r="I9" s="69">
        <f>VLOOKUP(TB_Vendas[[#This Row],[Qtd]],Desc_TabelaToda,TB_Vendas[[#This Row],[Índice]],TRUE)</f>
        <v>0.1</v>
      </c>
      <c r="J9" s="69">
        <f>INDEX(Desc_TabelaToda,MATCH(TB_Vendas[[#This Row],[Qtd]],Desc_Quantidades,1),MATCH(VLOOKUP(TB_Vendas[[#This Row],[Código]],TB_Produtos[],4,0),Desc_Categorias,0))</f>
        <v>0.1</v>
      </c>
      <c r="K9" s="69">
        <f>VLOOKUP(TB_Vendas[[#This Row],[Vendedor]],Vendedores!$A$5:$D$9,4,0)</f>
        <v>0.25</v>
      </c>
      <c r="L9" s="69">
        <f>IF(TB_Vendas[[#This Row],[Desc.]]&gt;TB_Vendas[[#This Row],[Desc. Vendedor]],TB_Vendas[[#This Row],[Desc. Vendedor]],TB_Vendas[[#This Row],[Desc.]])</f>
        <v>0.1</v>
      </c>
      <c r="M9" s="8">
        <f>TB_Vendas[[#This Row],[Preço Unitário]]*TB_Vendas[[#This Row],[Qtd]]</f>
        <v>29.9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VLOOKUP(TB_Vendas[[#This Row],[Código]],TB_Produtos[#All],4,0)</f>
        <v>Vestuário</v>
      </c>
      <c r="F10" s="1">
        <v>1</v>
      </c>
      <c r="G10" s="29">
        <f>VLOOKUP(TB_Vendas[[#This Row],[Código]],TB_Produtos[#All],6,0)</f>
        <v>299.89999999999998</v>
      </c>
      <c r="H10" s="120">
        <f>MATCH(TB_Vendas[[#This Row],[Categoria]],Desc_Categorias,0)</f>
        <v>3</v>
      </c>
      <c r="I10" s="69">
        <f>VLOOKUP(TB_Vendas[[#This Row],[Qtd]],Desc_TabelaToda,TB_Vendas[[#This Row],[Índice]],TRUE)</f>
        <v>0.1</v>
      </c>
      <c r="J10" s="69">
        <f>INDEX(Desc_TabelaToda,MATCH(TB_Vendas[[#This Row],[Qtd]],Desc_Quantidades,1),MATCH(VLOOKUP(TB_Vendas[[#This Row],[Código]],TB_Produtos[],4,0),Desc_Categorias,0))</f>
        <v>0.1</v>
      </c>
      <c r="K10" s="69">
        <f>VLOOKUP(TB_Vendas[[#This Row],[Vendedor]],Vendedores!$A$5:$D$9,4,0)</f>
        <v>0.15</v>
      </c>
      <c r="L10" s="69">
        <f>IF(TB_Vendas[[#This Row],[Desc.]]&gt;TB_Vendas[[#This Row],[Desc. Vendedor]],TB_Vendas[[#This Row],[Desc. Vendedor]],TB_Vendas[[#This Row],[Desc.]])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VLOOKUP(TB_Vendas[[#This Row],[Código]],TB_Produtos[#All],4,0)</f>
        <v>Vestuário</v>
      </c>
      <c r="F11" s="1">
        <v>1</v>
      </c>
      <c r="G11" s="29">
        <f>VLOOKUP(TB_Vendas[[#This Row],[Código]],TB_Produtos[#All],6,0)</f>
        <v>146</v>
      </c>
      <c r="H11" s="120">
        <f>MATCH(TB_Vendas[[#This Row],[Categoria]],Desc_Categorias,0)</f>
        <v>3</v>
      </c>
      <c r="I11" s="69">
        <f>VLOOKUP(TB_Vendas[[#This Row],[Qtd]],Desc_TabelaToda,TB_Vendas[[#This Row],[Índice]],TRUE)</f>
        <v>0.1</v>
      </c>
      <c r="J11" s="69">
        <f>INDEX(Desc_TabelaToda,MATCH(TB_Vendas[[#This Row],[Qtd]],Desc_Quantidades,1),MATCH(VLOOKUP(TB_Vendas[[#This Row],[Código]],TB_Produtos[],4,0),Desc_Categorias,0))</f>
        <v>0.1</v>
      </c>
      <c r="K11" s="69">
        <f>VLOOKUP(TB_Vendas[[#This Row],[Vendedor]],Vendedores!$A$5:$D$9,4,0)</f>
        <v>0.1</v>
      </c>
      <c r="L11" s="69">
        <f>IF(TB_Vendas[[#This Row],[Desc.]]&gt;TB_Vendas[[#This Row],[Desc. Vendedor]],TB_Vendas[[#This Row],[Desc. Vendedor]],TB_Vendas[[#This Row],[Desc.]])</f>
        <v>0.1</v>
      </c>
      <c r="M11" s="8">
        <f>TB_Vendas[[#This Row],[Preço Unitário]]*TB_Vendas[[#This Row],[Qtd]]</f>
        <v>146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VLOOKUP(TB_Vendas[[#This Row],[Código]],TB_Produtos[#All],4,0)</f>
        <v>Vestuário</v>
      </c>
      <c r="F12" s="1">
        <v>2</v>
      </c>
      <c r="G12" s="29">
        <f>VLOOKUP(TB_Vendas[[#This Row],[Código]],TB_Produtos[#All],6,0)</f>
        <v>89.9</v>
      </c>
      <c r="H12" s="120">
        <f>MATCH(TB_Vendas[[#This Row],[Categoria]],Desc_Categorias,0)</f>
        <v>3</v>
      </c>
      <c r="I12" s="69">
        <f>VLOOKUP(TB_Vendas[[#This Row],[Qtd]],Desc_TabelaToda,TB_Vendas[[#This Row],[Índice]],TRUE)</f>
        <v>0.15</v>
      </c>
      <c r="J12" s="69">
        <f>INDEX(Desc_TabelaToda,MATCH(TB_Vendas[[#This Row],[Qtd]],Desc_Quantidades,1),MATCH(VLOOKUP(TB_Vendas[[#This Row],[Código]],TB_Produtos[],4,0),Desc_Categorias,0))</f>
        <v>0.15</v>
      </c>
      <c r="K12" s="69">
        <f>VLOOKUP(TB_Vendas[[#This Row],[Vendedor]],Vendedores!$A$5:$D$9,4,0)</f>
        <v>0.1</v>
      </c>
      <c r="L12" s="69">
        <f>IF(TB_Vendas[[#This Row],[Desc.]]&gt;TB_Vendas[[#This Row],[Desc. Vendedor]],TB_Vendas[[#This Row],[Desc. Vendedor]],TB_Vendas[[#This Row],[Desc.]])</f>
        <v>0.1</v>
      </c>
      <c r="M12" s="8">
        <f>TB_Vendas[[#This Row],[Preço Unitário]]*TB_Vendas[[#This Row],[Qtd]]</f>
        <v>179.8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VLOOKUP(TB_Vendas[[#This Row],[Código]],TB_Produtos[#All],4,0)</f>
        <v>Calçado</v>
      </c>
      <c r="F13" s="1">
        <v>2</v>
      </c>
      <c r="G13" s="29">
        <f>VLOOKUP(TB_Vendas[[#This Row],[Código]],TB_Produtos[#All],6,0)</f>
        <v>250</v>
      </c>
      <c r="H13" s="120">
        <f>MATCH(TB_Vendas[[#This Row],[Categoria]],Desc_Categorias,0)</f>
        <v>4</v>
      </c>
      <c r="I13" s="69">
        <f>VLOOKUP(TB_Vendas[[#This Row],[Qtd]],Desc_TabelaToda,TB_Vendas[[#This Row],[Índice]],TRUE)</f>
        <v>0.1</v>
      </c>
      <c r="J13" s="69">
        <f>INDEX(Desc_TabelaToda,MATCH(TB_Vendas[[#This Row],[Qtd]],Desc_Quantidades,1),MATCH(VLOOKUP(TB_Vendas[[#This Row],[Código]],TB_Produtos[],4,0),Desc_Categorias,0))</f>
        <v>0.1</v>
      </c>
      <c r="K13" s="69">
        <f>VLOOKUP(TB_Vendas[[#This Row],[Vendedor]],Vendedores!$A$5:$D$9,4,0)</f>
        <v>0.25</v>
      </c>
      <c r="L13" s="69">
        <f>IF(TB_Vendas[[#This Row],[Desc.]]&gt;TB_Vendas[[#This Row],[Desc. Vendedor]],TB_Vendas[[#This Row],[Desc. Vendedor]],TB_Vendas[[#This Row],[Desc.]])</f>
        <v>0.1</v>
      </c>
      <c r="M13" s="8">
        <f>TB_Vendas[[#This Row],[Preço Unitário]]*TB_Vendas[[#This Row],[Qtd]]</f>
        <v>500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VLOOKUP(TB_Vendas[[#This Row],[Código]],TB_Produtos[#All],4,0)</f>
        <v>Vestuário</v>
      </c>
      <c r="F14" s="1">
        <v>1</v>
      </c>
      <c r="G14" s="29">
        <f>VLOOKUP(TB_Vendas[[#This Row],[Código]],TB_Produtos[#All],6,0)</f>
        <v>39.9</v>
      </c>
      <c r="H14" s="120">
        <f>MATCH(TB_Vendas[[#This Row],[Categoria]],Desc_Categorias,0)</f>
        <v>3</v>
      </c>
      <c r="I14" s="69">
        <f>VLOOKUP(TB_Vendas[[#This Row],[Qtd]],Desc_TabelaToda,TB_Vendas[[#This Row],[Índice]],TRUE)</f>
        <v>0.1</v>
      </c>
      <c r="J14" s="69">
        <f>INDEX(Desc_TabelaToda,MATCH(TB_Vendas[[#This Row],[Qtd]],Desc_Quantidades,1),MATCH(VLOOKUP(TB_Vendas[[#This Row],[Código]],TB_Produtos[],4,0),Desc_Categorias,0))</f>
        <v>0.1</v>
      </c>
      <c r="K14" s="69">
        <f>VLOOKUP(TB_Vendas[[#This Row],[Vendedor]],Vendedores!$A$5:$D$9,4,0)</f>
        <v>0.25</v>
      </c>
      <c r="L14" s="69">
        <f>IF(TB_Vendas[[#This Row],[Desc.]]&gt;TB_Vendas[[#This Row],[Desc. Vendedor]],TB_Vendas[[#This Row],[Desc. Vendedor]],TB_Vendas[[#This Row],[Desc.]])</f>
        <v>0.1</v>
      </c>
      <c r="M14" s="8">
        <f>TB_Vendas[[#This Row],[Preço Unitário]]*TB_Vendas[[#This Row],[Qtd]]</f>
        <v>39.9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VLOOKUP(TB_Vendas[[#This Row],[Código]],TB_Produtos[#All],4,0)</f>
        <v>Vestuário</v>
      </c>
      <c r="F15" s="1">
        <v>1</v>
      </c>
      <c r="G15" s="29">
        <f>VLOOKUP(TB_Vendas[[#This Row],[Código]],TB_Produtos[#All],6,0)</f>
        <v>142.9</v>
      </c>
      <c r="H15" s="120">
        <f>MATCH(TB_Vendas[[#This Row],[Categoria]],Desc_Categorias,0)</f>
        <v>3</v>
      </c>
      <c r="I15" s="69">
        <f>VLOOKUP(TB_Vendas[[#This Row],[Qtd]],Desc_TabelaToda,TB_Vendas[[#This Row],[Índice]],TRUE)</f>
        <v>0.1</v>
      </c>
      <c r="J15" s="69">
        <f>INDEX(Desc_TabelaToda,MATCH(TB_Vendas[[#This Row],[Qtd]],Desc_Quantidades,1),MATCH(VLOOKUP(TB_Vendas[[#This Row],[Código]],TB_Produtos[],4,0),Desc_Categorias,0))</f>
        <v>0.1</v>
      </c>
      <c r="K15" s="69">
        <f>VLOOKUP(TB_Vendas[[#This Row],[Vendedor]],Vendedores!$A$5:$D$9,4,0)</f>
        <v>0.2</v>
      </c>
      <c r="L15" s="69">
        <f>IF(TB_Vendas[[#This Row],[Desc.]]&gt;TB_Vendas[[#This Row],[Desc. Vendedor]],TB_Vendas[[#This Row],[Desc. Vendedor]],TB_Vendas[[#This Row],[Desc.]])</f>
        <v>0.1</v>
      </c>
      <c r="M15" s="8">
        <f>TB_Vendas[[#This Row],[Preço Unitário]]*TB_Vendas[[#This Row],[Qtd]]</f>
        <v>142.9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VLOOKUP(TB_Vendas[[#This Row],[Código]],TB_Produtos[#All],4,0)</f>
        <v>Vestuário</v>
      </c>
      <c r="F16" s="1">
        <v>1</v>
      </c>
      <c r="G16" s="29">
        <f>VLOOKUP(TB_Vendas[[#This Row],[Código]],TB_Produtos[#All],6,0)</f>
        <v>300</v>
      </c>
      <c r="H16" s="120">
        <f>MATCH(TB_Vendas[[#This Row],[Categoria]],Desc_Categorias,0)</f>
        <v>3</v>
      </c>
      <c r="I16" s="69">
        <f>VLOOKUP(TB_Vendas[[#This Row],[Qtd]],Desc_TabelaToda,TB_Vendas[[#This Row],[Índice]],TRUE)</f>
        <v>0.1</v>
      </c>
      <c r="J16" s="69">
        <f>INDEX(Desc_TabelaToda,MATCH(TB_Vendas[[#This Row],[Qtd]],Desc_Quantidades,1),MATCH(VLOOKUP(TB_Vendas[[#This Row],[Código]],TB_Produtos[],4,0),Desc_Categorias,0))</f>
        <v>0.1</v>
      </c>
      <c r="K16" s="69">
        <f>VLOOKUP(TB_Vendas[[#This Row],[Vendedor]],Vendedores!$A$5:$D$9,4,0)</f>
        <v>0.1</v>
      </c>
      <c r="L16" s="69">
        <f>IF(TB_Vendas[[#This Row],[Desc.]]&gt;TB_Vendas[[#This Row],[Desc. Vendedor]],TB_Vendas[[#This Row],[Desc. Vendedor]],TB_Vendas[[#This Row],[Desc.]])</f>
        <v>0.1</v>
      </c>
      <c r="M16" s="8">
        <f>TB_Vendas[[#This Row],[Preço Unitário]]*TB_Vendas[[#This Row],[Qtd]]</f>
        <v>300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VLOOKUP(TB_Vendas[[#This Row],[Código]],TB_Produtos[#All],4,0)</f>
        <v>Vestuário</v>
      </c>
      <c r="F17" s="1">
        <v>2</v>
      </c>
      <c r="G17" s="29">
        <f>VLOOKUP(TB_Vendas[[#This Row],[Código]],TB_Produtos[#All],6,0)</f>
        <v>289.89999999999998</v>
      </c>
      <c r="H17" s="120">
        <f>MATCH(TB_Vendas[[#This Row],[Categoria]],Desc_Categorias,0)</f>
        <v>3</v>
      </c>
      <c r="I17" s="69">
        <f>VLOOKUP(TB_Vendas[[#This Row],[Qtd]],Desc_TabelaToda,TB_Vendas[[#This Row],[Índice]],TRUE)</f>
        <v>0.15</v>
      </c>
      <c r="J17" s="69">
        <f>INDEX(Desc_TabelaToda,MATCH(TB_Vendas[[#This Row],[Qtd]],Desc_Quantidades,1),MATCH(VLOOKUP(TB_Vendas[[#This Row],[Código]],TB_Produtos[],4,0),Desc_Categorias,0))</f>
        <v>0.15</v>
      </c>
      <c r="K17" s="69">
        <f>VLOOKUP(TB_Vendas[[#This Row],[Vendedor]],Vendedores!$A$5:$D$9,4,0)</f>
        <v>0.2</v>
      </c>
      <c r="L17" s="69">
        <f>IF(TB_Vendas[[#This Row],[Desc.]]&gt;TB_Vendas[[#This Row],[Desc. Vendedor]],TB_Vendas[[#This Row],[Desc. Vendedor]],TB_Vendas[[#This Row],[Desc.]])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VLOOKUP(TB_Vendas[[#This Row],[Código]],TB_Produtos[#All],4,0)</f>
        <v>Calçado</v>
      </c>
      <c r="F18" s="1">
        <v>1</v>
      </c>
      <c r="G18" s="29">
        <f>VLOOKUP(TB_Vendas[[#This Row],[Código]],TB_Produtos[#All],6,0)</f>
        <v>249.9</v>
      </c>
      <c r="H18" s="120">
        <f>MATCH(TB_Vendas[[#This Row],[Categoria]],Desc_Categorias,0)</f>
        <v>4</v>
      </c>
      <c r="I18" s="69">
        <f>VLOOKUP(TB_Vendas[[#This Row],[Qtd]],Desc_TabelaToda,TB_Vendas[[#This Row],[Índice]],TRUE)</f>
        <v>0</v>
      </c>
      <c r="J18" s="69">
        <f>INDEX(Desc_TabelaToda,MATCH(TB_Vendas[[#This Row],[Qtd]],Desc_Quantidades,1),MATCH(VLOOKUP(TB_Vendas[[#This Row],[Código]],TB_Produtos[],4,0),Desc_Categorias,0))</f>
        <v>0</v>
      </c>
      <c r="K18" s="69">
        <f>VLOOKUP(TB_Vendas[[#This Row],[Vendedor]],Vendedores!$A$5:$D$9,4,0)</f>
        <v>0.2</v>
      </c>
      <c r="L18" s="69">
        <f>IF(TB_Vendas[[#This Row],[Desc.]]&gt;TB_Vendas[[#This Row],[Desc. Vendedor]],TB_Vendas[[#This Row],[Desc. Vendedor]],TB_Vendas[[#This Row],[Desc.]])</f>
        <v>0</v>
      </c>
      <c r="M18" s="8">
        <f>TB_Vendas[[#This Row],[Preço Unitário]]*TB_Vendas[[#This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VLOOKUP(TB_Vendas[[#This Row],[Código]],TB_Produtos[#All],4,0)</f>
        <v>Vestuário</v>
      </c>
      <c r="F19" s="1">
        <v>2</v>
      </c>
      <c r="G19" s="29">
        <f>VLOOKUP(TB_Vendas[[#This Row],[Código]],TB_Produtos[#All],6,0)</f>
        <v>39.9</v>
      </c>
      <c r="H19" s="120">
        <f>MATCH(TB_Vendas[[#This Row],[Categoria]],Desc_Categorias,0)</f>
        <v>3</v>
      </c>
      <c r="I19" s="69">
        <f>VLOOKUP(TB_Vendas[[#This Row],[Qtd]],Desc_TabelaToda,TB_Vendas[[#This Row],[Índice]],TRUE)</f>
        <v>0.15</v>
      </c>
      <c r="J19" s="69">
        <f>INDEX(Desc_TabelaToda,MATCH(TB_Vendas[[#This Row],[Qtd]],Desc_Quantidades,1),MATCH(VLOOKUP(TB_Vendas[[#This Row],[Código]],TB_Produtos[],4,0),Desc_Categorias,0))</f>
        <v>0.15</v>
      </c>
      <c r="K19" s="69">
        <f>VLOOKUP(TB_Vendas[[#This Row],[Vendedor]],Vendedores!$A$5:$D$9,4,0)</f>
        <v>0.2</v>
      </c>
      <c r="L19" s="69">
        <f>IF(TB_Vendas[[#This Row],[Desc.]]&gt;TB_Vendas[[#This Row],[Desc. Vendedor]],TB_Vendas[[#This Row],[Desc. Vendedor]],TB_Vendas[[#This Row],[Desc.]])</f>
        <v>0.15</v>
      </c>
      <c r="M19" s="8">
        <f>TB_Vendas[[#This Row],[Preço Unitário]]*TB_Vendas[[#This Row],[Qtd]]</f>
        <v>79.8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VLOOKUP(TB_Vendas[[#This Row],[Código]],TB_Produtos[#All],4,0)</f>
        <v>Vestuário</v>
      </c>
      <c r="F20" s="1">
        <v>4</v>
      </c>
      <c r="G20" s="29">
        <f>VLOOKUP(TB_Vendas[[#This Row],[Código]],TB_Produtos[#All],6,0)</f>
        <v>289.89999999999998</v>
      </c>
      <c r="H20" s="120">
        <f>MATCH(TB_Vendas[[#This Row],[Categoria]],Desc_Categorias,0)</f>
        <v>3</v>
      </c>
      <c r="I20" s="69">
        <f>VLOOKUP(TB_Vendas[[#This Row],[Qtd]],Desc_TabelaToda,TB_Vendas[[#This Row],[Índice]],TRUE)</f>
        <v>0.2</v>
      </c>
      <c r="J20" s="69">
        <f>INDEX(Desc_TabelaToda,MATCH(TB_Vendas[[#This Row],[Qtd]],Desc_Quantidades,1),MATCH(VLOOKUP(TB_Vendas[[#This Row],[Código]],TB_Produtos[],4,0),Desc_Categorias,0))</f>
        <v>0.2</v>
      </c>
      <c r="K20" s="69">
        <f>VLOOKUP(TB_Vendas[[#This Row],[Vendedor]],Vendedores!$A$5:$D$9,4,0)</f>
        <v>0.2</v>
      </c>
      <c r="L20" s="69">
        <f>IF(TB_Vendas[[#This Row],[Desc.]]&gt;TB_Vendas[[#This Row],[Desc. Vendedor]],TB_Vendas[[#This Row],[Desc. Vendedor]],TB_Vendas[[#This Row],[Desc.]])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VLOOKUP(TB_Vendas[[#This Row],[Código]],TB_Produtos[#All],4,0)</f>
        <v>Vestuário</v>
      </c>
      <c r="F21" s="1">
        <v>3</v>
      </c>
      <c r="G21" s="29">
        <f>VLOOKUP(TB_Vendas[[#This Row],[Código]],TB_Produtos[#All],6,0)</f>
        <v>180</v>
      </c>
      <c r="H21" s="120">
        <f>MATCH(TB_Vendas[[#This Row],[Categoria]],Desc_Categorias,0)</f>
        <v>3</v>
      </c>
      <c r="I21" s="69">
        <f>VLOOKUP(TB_Vendas[[#This Row],[Qtd]],Desc_TabelaToda,TB_Vendas[[#This Row],[Índice]],TRUE)</f>
        <v>0.2</v>
      </c>
      <c r="J21" s="69">
        <f>INDEX(Desc_TabelaToda,MATCH(TB_Vendas[[#This Row],[Qtd]],Desc_Quantidades,1),MATCH(VLOOKUP(TB_Vendas[[#This Row],[Código]],TB_Produtos[],4,0),Desc_Categorias,0))</f>
        <v>0.2</v>
      </c>
      <c r="K21" s="69">
        <f>VLOOKUP(TB_Vendas[[#This Row],[Vendedor]],Vendedores!$A$5:$D$9,4,0)</f>
        <v>0.25</v>
      </c>
      <c r="L21" s="69">
        <f>IF(TB_Vendas[[#This Row],[Desc.]]&gt;TB_Vendas[[#This Row],[Desc. Vendedor]],TB_Vendas[[#This Row],[Desc. Vendedor]],TB_Vendas[[#This Row],[Desc.]])</f>
        <v>0.2</v>
      </c>
      <c r="M21" s="8">
        <f>TB_Vendas[[#This Row],[Preço Unitário]]*TB_Vendas[[#This Row],[Qtd]]</f>
        <v>540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VLOOKUP(TB_Vendas[[#This Row],[Código]],TB_Produtos[#All],4,0)</f>
        <v>Vestuário</v>
      </c>
      <c r="F22" s="1">
        <v>2</v>
      </c>
      <c r="G22" s="29">
        <f>VLOOKUP(TB_Vendas[[#This Row],[Código]],TB_Produtos[#All],6,0)</f>
        <v>32.9</v>
      </c>
      <c r="H22" s="120">
        <f>MATCH(TB_Vendas[[#This Row],[Categoria]],Desc_Categorias,0)</f>
        <v>3</v>
      </c>
      <c r="I22" s="69">
        <f>VLOOKUP(TB_Vendas[[#This Row],[Qtd]],Desc_TabelaToda,TB_Vendas[[#This Row],[Índice]],TRUE)</f>
        <v>0.15</v>
      </c>
      <c r="J22" s="69">
        <f>INDEX(Desc_TabelaToda,MATCH(TB_Vendas[[#This Row],[Qtd]],Desc_Quantidades,1),MATCH(VLOOKUP(TB_Vendas[[#This Row],[Código]],TB_Produtos[],4,0),Desc_Categorias,0))</f>
        <v>0.15</v>
      </c>
      <c r="K22" s="69">
        <f>VLOOKUP(TB_Vendas[[#This Row],[Vendedor]],Vendedores!$A$5:$D$9,4,0)</f>
        <v>0.2</v>
      </c>
      <c r="L22" s="69">
        <f>IF(TB_Vendas[[#This Row],[Desc.]]&gt;TB_Vendas[[#This Row],[Desc. Vendedor]],TB_Vendas[[#This Row],[Desc. Vendedor]],TB_Vendas[[#This Row],[Desc.]])</f>
        <v>0.15</v>
      </c>
      <c r="M22" s="8">
        <f>TB_Vendas[[#This Row],[Preço Unitário]]*TB_Vendas[[#This Row],[Qtd]]</f>
        <v>65.8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VLOOKUP(TB_Vendas[[#This Row],[Código]],TB_Produtos[#All],4,0)</f>
        <v>Calçado</v>
      </c>
      <c r="F23" s="1">
        <v>3</v>
      </c>
      <c r="G23" s="29">
        <f>VLOOKUP(TB_Vendas[[#This Row],[Código]],TB_Produtos[#All],6,0)</f>
        <v>255</v>
      </c>
      <c r="H23" s="120">
        <f>MATCH(TB_Vendas[[#This Row],[Categoria]],Desc_Categorias,0)</f>
        <v>4</v>
      </c>
      <c r="I23" s="69">
        <f>VLOOKUP(TB_Vendas[[#This Row],[Qtd]],Desc_TabelaToda,TB_Vendas[[#This Row],[Índice]],TRUE)</f>
        <v>0.15</v>
      </c>
      <c r="J23" s="69">
        <f>INDEX(Desc_TabelaToda,MATCH(TB_Vendas[[#This Row],[Qtd]],Desc_Quantidades,1),MATCH(VLOOKUP(TB_Vendas[[#This Row],[Código]],TB_Produtos[],4,0),Desc_Categorias,0))</f>
        <v>0.15</v>
      </c>
      <c r="K23" s="69">
        <f>VLOOKUP(TB_Vendas[[#This Row],[Vendedor]],Vendedores!$A$5:$D$9,4,0)</f>
        <v>0.2</v>
      </c>
      <c r="L23" s="69">
        <f>IF(TB_Vendas[[#This Row],[Desc.]]&gt;TB_Vendas[[#This Row],[Desc. Vendedor]],TB_Vendas[[#This Row],[Desc. Vendedor]],TB_Vendas[[#This Row],[Desc.]])</f>
        <v>0.15</v>
      </c>
      <c r="M23" s="8">
        <f>TB_Vendas[[#This Row],[Preço Unitário]]*TB_Vendas[[#This Row],[Qtd]]</f>
        <v>765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VLOOKUP(TB_Vendas[[#This Row],[Código]],TB_Produtos[#All],4,0)</f>
        <v>Vestuário</v>
      </c>
      <c r="F24" s="1">
        <v>1</v>
      </c>
      <c r="G24" s="29">
        <f>VLOOKUP(TB_Vendas[[#This Row],[Código]],TB_Produtos[#All],6,0)</f>
        <v>142.9</v>
      </c>
      <c r="H24" s="120">
        <f>MATCH(TB_Vendas[[#This Row],[Categoria]],Desc_Categorias,0)</f>
        <v>3</v>
      </c>
      <c r="I24" s="69">
        <f>VLOOKUP(TB_Vendas[[#This Row],[Qtd]],Desc_TabelaToda,TB_Vendas[[#This Row],[Índice]],TRUE)</f>
        <v>0.1</v>
      </c>
      <c r="J24" s="69">
        <f>INDEX(Desc_TabelaToda,MATCH(TB_Vendas[[#This Row],[Qtd]],Desc_Quantidades,1),MATCH(VLOOKUP(TB_Vendas[[#This Row],[Código]],TB_Produtos[],4,0),Desc_Categorias,0))</f>
        <v>0.1</v>
      </c>
      <c r="K24" s="69">
        <f>VLOOKUP(TB_Vendas[[#This Row],[Vendedor]],Vendedores!$A$5:$D$9,4,0)</f>
        <v>0.2</v>
      </c>
      <c r="L24" s="69">
        <f>IF(TB_Vendas[[#This Row],[Desc.]]&gt;TB_Vendas[[#This Row],[Desc. Vendedor]],TB_Vendas[[#This Row],[Desc. Vendedor]],TB_Vendas[[#This Row],[Desc.]])</f>
        <v>0.1</v>
      </c>
      <c r="M24" s="8">
        <f>TB_Vendas[[#This Row],[Preço Unitário]]*TB_Vendas[[#This Row],[Qtd]]</f>
        <v>142.9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VLOOKUP(TB_Vendas[[#This Row],[Código]],TB_Produtos[#All],4,0)</f>
        <v>Vestuário</v>
      </c>
      <c r="F25" s="1">
        <v>4</v>
      </c>
      <c r="G25" s="29">
        <f>VLOOKUP(TB_Vendas[[#This Row],[Código]],TB_Produtos[#All],6,0)</f>
        <v>92.9</v>
      </c>
      <c r="H25" s="120">
        <f>MATCH(TB_Vendas[[#This Row],[Categoria]],Desc_Categorias,0)</f>
        <v>3</v>
      </c>
      <c r="I25" s="69">
        <f>VLOOKUP(TB_Vendas[[#This Row],[Qtd]],Desc_TabelaToda,TB_Vendas[[#This Row],[Índice]],TRUE)</f>
        <v>0.2</v>
      </c>
      <c r="J25" s="69">
        <f>INDEX(Desc_TabelaToda,MATCH(TB_Vendas[[#This Row],[Qtd]],Desc_Quantidades,1),MATCH(VLOOKUP(TB_Vendas[[#This Row],[Código]],TB_Produtos[],4,0),Desc_Categorias,0))</f>
        <v>0.2</v>
      </c>
      <c r="K25" s="69">
        <f>VLOOKUP(TB_Vendas[[#This Row],[Vendedor]],Vendedores!$A$5:$D$9,4,0)</f>
        <v>0.1</v>
      </c>
      <c r="L25" s="69">
        <f>IF(TB_Vendas[[#This Row],[Desc.]]&gt;TB_Vendas[[#This Row],[Desc. Vendedor]],TB_Vendas[[#This Row],[Desc. Vendedor]],TB_Vendas[[#This Row],[Desc.]])</f>
        <v>0.1</v>
      </c>
      <c r="M25" s="8">
        <f>TB_Vendas[[#This Row],[Preço Unitário]]*TB_Vendas[[#This Row],[Qtd]]</f>
        <v>371.6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VLOOKUP(TB_Vendas[[#This Row],[Código]],TB_Produtos[#All],4,0)</f>
        <v>Vestuário</v>
      </c>
      <c r="F26" s="1">
        <v>2</v>
      </c>
      <c r="G26" s="29">
        <f>VLOOKUP(TB_Vendas[[#This Row],[Código]],TB_Produtos[#All],6,0)</f>
        <v>54.9</v>
      </c>
      <c r="H26" s="120">
        <f>MATCH(TB_Vendas[[#This Row],[Categoria]],Desc_Categorias,0)</f>
        <v>3</v>
      </c>
      <c r="I26" s="69">
        <f>VLOOKUP(TB_Vendas[[#This Row],[Qtd]],Desc_TabelaToda,TB_Vendas[[#This Row],[Índice]],TRUE)</f>
        <v>0.15</v>
      </c>
      <c r="J26" s="69">
        <f>INDEX(Desc_TabelaToda,MATCH(TB_Vendas[[#This Row],[Qtd]],Desc_Quantidades,1),MATCH(VLOOKUP(TB_Vendas[[#This Row],[Código]],TB_Produtos[],4,0),Desc_Categorias,0))</f>
        <v>0.15</v>
      </c>
      <c r="K26" s="69">
        <f>VLOOKUP(TB_Vendas[[#This Row],[Vendedor]],Vendedores!$A$5:$D$9,4,0)</f>
        <v>0.2</v>
      </c>
      <c r="L26" s="69">
        <f>IF(TB_Vendas[[#This Row],[Desc.]]&gt;TB_Vendas[[#This Row],[Desc. Vendedor]],TB_Vendas[[#This Row],[Desc. Vendedor]],TB_Vendas[[#This Row],[Desc.]])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VLOOKUP(TB_Vendas[[#This Row],[Código]],TB_Produtos[#All],4,0)</f>
        <v>Vestuário</v>
      </c>
      <c r="F27" s="1">
        <v>3</v>
      </c>
      <c r="G27" s="29">
        <f>VLOOKUP(TB_Vendas[[#This Row],[Código]],TB_Produtos[#All],6,0)</f>
        <v>142.9</v>
      </c>
      <c r="H27" s="120">
        <f>MATCH(TB_Vendas[[#This Row],[Categoria]],Desc_Categorias,0)</f>
        <v>3</v>
      </c>
      <c r="I27" s="69">
        <f>VLOOKUP(TB_Vendas[[#This Row],[Qtd]],Desc_TabelaToda,TB_Vendas[[#This Row],[Índice]],TRUE)</f>
        <v>0.2</v>
      </c>
      <c r="J27" s="69">
        <f>INDEX(Desc_TabelaToda,MATCH(TB_Vendas[[#This Row],[Qtd]],Desc_Quantidades,1),MATCH(VLOOKUP(TB_Vendas[[#This Row],[Código]],TB_Produtos[],4,0),Desc_Categorias,0))</f>
        <v>0.2</v>
      </c>
      <c r="K27" s="69">
        <f>VLOOKUP(TB_Vendas[[#This Row],[Vendedor]],Vendedores!$A$5:$D$9,4,0)</f>
        <v>0.25</v>
      </c>
      <c r="L27" s="69">
        <f>IF(TB_Vendas[[#This Row],[Desc.]]&gt;TB_Vendas[[#This Row],[Desc. Vendedor]],TB_Vendas[[#This Row],[Desc. Vendedor]],TB_Vendas[[#This Row],[Desc.]])</f>
        <v>0.2</v>
      </c>
      <c r="M27" s="8">
        <f>TB_Vendas[[#This Row],[Preço Unitário]]*TB_Vendas[[#This Row],[Qtd]]</f>
        <v>428.70000000000005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VLOOKUP(TB_Vendas[[#This Row],[Código]],TB_Produtos[#All],4,0)</f>
        <v>Acessórios</v>
      </c>
      <c r="F28" s="1">
        <v>2</v>
      </c>
      <c r="G28" s="29">
        <f>VLOOKUP(TB_Vendas[[#This Row],[Código]],TB_Produtos[#All],6,0)</f>
        <v>120</v>
      </c>
      <c r="H28" s="120">
        <f>MATCH(TB_Vendas[[#This Row],[Categoria]],Desc_Categorias,0)</f>
        <v>2</v>
      </c>
      <c r="I28" s="69">
        <f>VLOOKUP(TB_Vendas[[#This Row],[Qtd]],Desc_TabelaToda,TB_Vendas[[#This Row],[Índice]],TRUE)</f>
        <v>0.05</v>
      </c>
      <c r="J28" s="69">
        <f>INDEX(Desc_TabelaToda,MATCH(TB_Vendas[[#This Row],[Qtd]],Desc_Quantidades,1),MATCH(VLOOKUP(TB_Vendas[[#This Row],[Código]],TB_Produtos[],4,0),Desc_Categorias,0))</f>
        <v>0.05</v>
      </c>
      <c r="K28" s="69">
        <f>VLOOKUP(TB_Vendas[[#This Row],[Vendedor]],Vendedores!$A$5:$D$9,4,0)</f>
        <v>0.25</v>
      </c>
      <c r="L28" s="69">
        <f>IF(TB_Vendas[[#This Row],[Desc.]]&gt;TB_Vendas[[#This Row],[Desc. Vendedor]],TB_Vendas[[#This Row],[Desc. Vendedor]],TB_Vendas[[#This Row],[Desc.]])</f>
        <v>0.05</v>
      </c>
      <c r="M28" s="8">
        <f>TB_Vendas[[#This Row],[Preço Unitário]]*TB_Vendas[[#This Row],[Qtd]]</f>
        <v>240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VLOOKUP(TB_Vendas[[#This Row],[Código]],TB_Produtos[#All],4,0)</f>
        <v>Vestuário</v>
      </c>
      <c r="F29" s="1">
        <v>1</v>
      </c>
      <c r="G29" s="29">
        <f>VLOOKUP(TB_Vendas[[#This Row],[Código]],TB_Produtos[#All],6,0)</f>
        <v>65.900000000000006</v>
      </c>
      <c r="H29" s="120">
        <f>MATCH(TB_Vendas[[#This Row],[Categoria]],Desc_Categorias,0)</f>
        <v>3</v>
      </c>
      <c r="I29" s="69">
        <f>VLOOKUP(TB_Vendas[[#This Row],[Qtd]],Desc_TabelaToda,TB_Vendas[[#This Row],[Índice]],TRUE)</f>
        <v>0.1</v>
      </c>
      <c r="J29" s="69">
        <f>INDEX(Desc_TabelaToda,MATCH(TB_Vendas[[#This Row],[Qtd]],Desc_Quantidades,1),MATCH(VLOOKUP(TB_Vendas[[#This Row],[Código]],TB_Produtos[],4,0),Desc_Categorias,0))</f>
        <v>0.1</v>
      </c>
      <c r="K29" s="69">
        <f>VLOOKUP(TB_Vendas[[#This Row],[Vendedor]],Vendedores!$A$5:$D$9,4,0)</f>
        <v>0.2</v>
      </c>
      <c r="L29" s="69">
        <f>IF(TB_Vendas[[#This Row],[Desc.]]&gt;TB_Vendas[[#This Row],[Desc. Vendedor]],TB_Vendas[[#This Row],[Desc. Vendedor]],TB_Vendas[[#This Row],[Desc.]])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VLOOKUP(TB_Vendas[[#This Row],[Código]],TB_Produtos[#All],4,0)</f>
        <v>Vestuário</v>
      </c>
      <c r="F30" s="1">
        <v>5</v>
      </c>
      <c r="G30" s="29">
        <f>VLOOKUP(TB_Vendas[[#This Row],[Código]],TB_Produtos[#All],6,0)</f>
        <v>32.9</v>
      </c>
      <c r="H30" s="120">
        <f>MATCH(TB_Vendas[[#This Row],[Categoria]],Desc_Categorias,0)</f>
        <v>3</v>
      </c>
      <c r="I30" s="69">
        <f>VLOOKUP(TB_Vendas[[#This Row],[Qtd]],Desc_TabelaToda,TB_Vendas[[#This Row],[Índice]],TRUE)</f>
        <v>0.25</v>
      </c>
      <c r="J30" s="69">
        <f>INDEX(Desc_TabelaToda,MATCH(TB_Vendas[[#This Row],[Qtd]],Desc_Quantidades,1),MATCH(VLOOKUP(TB_Vendas[[#This Row],[Código]],TB_Produtos[],4,0),Desc_Categorias,0))</f>
        <v>0.25</v>
      </c>
      <c r="K30" s="69">
        <f>VLOOKUP(TB_Vendas[[#This Row],[Vendedor]],Vendedores!$A$5:$D$9,4,0)</f>
        <v>0.15</v>
      </c>
      <c r="L30" s="69">
        <f>IF(TB_Vendas[[#This Row],[Desc.]]&gt;TB_Vendas[[#This Row],[Desc. Vendedor]],TB_Vendas[[#This Row],[Desc. Vendedor]],TB_Vendas[[#This Row],[Desc.]])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VLOOKUP(TB_Vendas[[#This Row],[Código]],TB_Produtos[#All],4,0)</f>
        <v>Vestuário</v>
      </c>
      <c r="F31" s="1">
        <v>2</v>
      </c>
      <c r="G31" s="29">
        <f>VLOOKUP(TB_Vendas[[#This Row],[Código]],TB_Produtos[#All],6,0)</f>
        <v>180</v>
      </c>
      <c r="H31" s="120">
        <f>MATCH(TB_Vendas[[#This Row],[Categoria]],Desc_Categorias,0)</f>
        <v>3</v>
      </c>
      <c r="I31" s="69">
        <f>VLOOKUP(TB_Vendas[[#This Row],[Qtd]],Desc_TabelaToda,TB_Vendas[[#This Row],[Índice]],TRUE)</f>
        <v>0.15</v>
      </c>
      <c r="J31" s="69">
        <f>INDEX(Desc_TabelaToda,MATCH(TB_Vendas[[#This Row],[Qtd]],Desc_Quantidades,1),MATCH(VLOOKUP(TB_Vendas[[#This Row],[Código]],TB_Produtos[],4,0),Desc_Categorias,0))</f>
        <v>0.15</v>
      </c>
      <c r="K31" s="69">
        <f>VLOOKUP(TB_Vendas[[#This Row],[Vendedor]],Vendedores!$A$5:$D$9,4,0)</f>
        <v>0.25</v>
      </c>
      <c r="L31" s="69">
        <f>IF(TB_Vendas[[#This Row],[Desc.]]&gt;TB_Vendas[[#This Row],[Desc. Vendedor]],TB_Vendas[[#This Row],[Desc. Vendedor]],TB_Vendas[[#This Row],[Desc.]])</f>
        <v>0.15</v>
      </c>
      <c r="M31" s="8">
        <f>TB_Vendas[[#This Row],[Preço Unitário]]*TB_Vendas[[#This Row],[Qtd]]</f>
        <v>360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VLOOKUP(TB_Vendas[[#This Row],[Código]],TB_Produtos[#All],4,0)</f>
        <v>Acessórios</v>
      </c>
      <c r="F32" s="1">
        <v>3</v>
      </c>
      <c r="G32" s="29">
        <f>VLOOKUP(TB_Vendas[[#This Row],[Código]],TB_Produtos[#All],6,0)</f>
        <v>349.9</v>
      </c>
      <c r="H32" s="120">
        <f>MATCH(TB_Vendas[[#This Row],[Categoria]],Desc_Categorias,0)</f>
        <v>2</v>
      </c>
      <c r="I32" s="69">
        <f>VLOOKUP(TB_Vendas[[#This Row],[Qtd]],Desc_TabelaToda,TB_Vendas[[#This Row],[Índice]],TRUE)</f>
        <v>0.15</v>
      </c>
      <c r="J32" s="69">
        <f>INDEX(Desc_TabelaToda,MATCH(TB_Vendas[[#This Row],[Qtd]],Desc_Quantidades,1),MATCH(VLOOKUP(TB_Vendas[[#This Row],[Código]],TB_Produtos[],4,0),Desc_Categorias,0))</f>
        <v>0.15</v>
      </c>
      <c r="K32" s="69">
        <f>VLOOKUP(TB_Vendas[[#This Row],[Vendedor]],Vendedores!$A$5:$D$9,4,0)</f>
        <v>0.2</v>
      </c>
      <c r="L32" s="69">
        <f>IF(TB_Vendas[[#This Row],[Desc.]]&gt;TB_Vendas[[#This Row],[Desc. Vendedor]],TB_Vendas[[#This Row],[Desc. Vendedor]],TB_Vendas[[#This Row],[Desc.]])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VLOOKUP(TB_Vendas[[#This Row],[Código]],TB_Produtos[#All],4,0)</f>
        <v>Vestuário</v>
      </c>
      <c r="F33" s="1">
        <v>1</v>
      </c>
      <c r="G33" s="29">
        <f>VLOOKUP(TB_Vendas[[#This Row],[Código]],TB_Produtos[#All],6,0)</f>
        <v>72.5</v>
      </c>
      <c r="H33" s="120">
        <f>MATCH(TB_Vendas[[#This Row],[Categoria]],Desc_Categorias,0)</f>
        <v>3</v>
      </c>
      <c r="I33" s="69">
        <f>VLOOKUP(TB_Vendas[[#This Row],[Qtd]],Desc_TabelaToda,TB_Vendas[[#This Row],[Índice]],TRUE)</f>
        <v>0.1</v>
      </c>
      <c r="J33" s="69">
        <f>INDEX(Desc_TabelaToda,MATCH(TB_Vendas[[#This Row],[Qtd]],Desc_Quantidades,1),MATCH(VLOOKUP(TB_Vendas[[#This Row],[Código]],TB_Produtos[],4,0),Desc_Categorias,0))</f>
        <v>0.1</v>
      </c>
      <c r="K33" s="69">
        <f>VLOOKUP(TB_Vendas[[#This Row],[Vendedor]],Vendedores!$A$5:$D$9,4,0)</f>
        <v>0.1</v>
      </c>
      <c r="L33" s="69">
        <f>IF(TB_Vendas[[#This Row],[Desc.]]&gt;TB_Vendas[[#This Row],[Desc. Vendedor]],TB_Vendas[[#This Row],[Desc. Vendedor]],TB_Vendas[[#This Row],[Desc.]])</f>
        <v>0.1</v>
      </c>
      <c r="M33" s="8">
        <f>TB_Vendas[[#This Row],[Preço Unitário]]*TB_Vendas[[#This Row],[Qtd]]</f>
        <v>72.5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VLOOKUP(TB_Vendas[[#This Row],[Código]],TB_Produtos[#All],4,0)</f>
        <v>Vestuário</v>
      </c>
      <c r="F34" s="1">
        <v>4</v>
      </c>
      <c r="G34" s="29">
        <f>VLOOKUP(TB_Vendas[[#This Row],[Código]],TB_Produtos[#All],6,0)</f>
        <v>259.89999999999998</v>
      </c>
      <c r="H34" s="120">
        <f>MATCH(TB_Vendas[[#This Row],[Categoria]],Desc_Categorias,0)</f>
        <v>3</v>
      </c>
      <c r="I34" s="69">
        <f>VLOOKUP(TB_Vendas[[#This Row],[Qtd]],Desc_TabelaToda,TB_Vendas[[#This Row],[Índice]],TRUE)</f>
        <v>0.2</v>
      </c>
      <c r="J34" s="69">
        <f>INDEX(Desc_TabelaToda,MATCH(TB_Vendas[[#This Row],[Qtd]],Desc_Quantidades,1),MATCH(VLOOKUP(TB_Vendas[[#This Row],[Código]],TB_Produtos[],4,0),Desc_Categorias,0))</f>
        <v>0.2</v>
      </c>
      <c r="K34" s="69">
        <f>VLOOKUP(TB_Vendas[[#This Row],[Vendedor]],Vendedores!$A$5:$D$9,4,0)</f>
        <v>0.2</v>
      </c>
      <c r="L34" s="69">
        <f>IF(TB_Vendas[[#This Row],[Desc.]]&gt;TB_Vendas[[#This Row],[Desc. Vendedor]],TB_Vendas[[#This Row],[Desc. Vendedor]],TB_Vendas[[#This Row],[Desc.]])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VLOOKUP(TB_Vendas[[#This Row],[Código]],TB_Produtos[#All],4,0)</f>
        <v>Vestuário</v>
      </c>
      <c r="F35" s="1">
        <v>3</v>
      </c>
      <c r="G35" s="29">
        <f>VLOOKUP(TB_Vendas[[#This Row],[Código]],TB_Produtos[#All],6,0)</f>
        <v>25.9</v>
      </c>
      <c r="H35" s="120">
        <f>MATCH(TB_Vendas[[#This Row],[Categoria]],Desc_Categorias,0)</f>
        <v>3</v>
      </c>
      <c r="I35" s="69">
        <f>VLOOKUP(TB_Vendas[[#This Row],[Qtd]],Desc_TabelaToda,TB_Vendas[[#This Row],[Índice]],TRUE)</f>
        <v>0.2</v>
      </c>
      <c r="J35" s="69">
        <f>INDEX(Desc_TabelaToda,MATCH(TB_Vendas[[#This Row],[Qtd]],Desc_Quantidades,1),MATCH(VLOOKUP(TB_Vendas[[#This Row],[Código]],TB_Produtos[],4,0),Desc_Categorias,0))</f>
        <v>0.2</v>
      </c>
      <c r="K35" s="69">
        <f>VLOOKUP(TB_Vendas[[#This Row],[Vendedor]],Vendedores!$A$5:$D$9,4,0)</f>
        <v>0.25</v>
      </c>
      <c r="L35" s="69">
        <f>IF(TB_Vendas[[#This Row],[Desc.]]&gt;TB_Vendas[[#This Row],[Desc. Vendedor]],TB_Vendas[[#This Row],[Desc. Vendedor]],TB_Vendas[[#This Row],[Desc.]])</f>
        <v>0.2</v>
      </c>
      <c r="M35" s="8">
        <f>TB_Vendas[[#This Row],[Preço Unitário]]*TB_Vendas[[#This Row],[Qtd]]</f>
        <v>77.699999999999989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VLOOKUP(TB_Vendas[[#This Row],[Código]],TB_Produtos[#All],4,0)</f>
        <v>Acessórios</v>
      </c>
      <c r="F36" s="1">
        <v>2</v>
      </c>
      <c r="G36" s="29">
        <f>VLOOKUP(TB_Vendas[[#This Row],[Código]],TB_Produtos[#All],6,0)</f>
        <v>145</v>
      </c>
      <c r="H36" s="120">
        <f>MATCH(TB_Vendas[[#This Row],[Categoria]],Desc_Categorias,0)</f>
        <v>2</v>
      </c>
      <c r="I36" s="69">
        <f>VLOOKUP(TB_Vendas[[#This Row],[Qtd]],Desc_TabelaToda,TB_Vendas[[#This Row],[Índice]],TRUE)</f>
        <v>0.05</v>
      </c>
      <c r="J36" s="69">
        <f>INDEX(Desc_TabelaToda,MATCH(TB_Vendas[[#This Row],[Qtd]],Desc_Quantidades,1),MATCH(VLOOKUP(TB_Vendas[[#This Row],[Código]],TB_Produtos[],4,0),Desc_Categorias,0))</f>
        <v>0.05</v>
      </c>
      <c r="K36" s="69">
        <f>VLOOKUP(TB_Vendas[[#This Row],[Vendedor]],Vendedores!$A$5:$D$9,4,0)</f>
        <v>0.2</v>
      </c>
      <c r="L36" s="69">
        <f>IF(TB_Vendas[[#This Row],[Desc.]]&gt;TB_Vendas[[#This Row],[Desc. Vendedor]],TB_Vendas[[#This Row],[Desc. Vendedor]],TB_Vendas[[#This Row],[Desc.]])</f>
        <v>0.05</v>
      </c>
      <c r="M36" s="8">
        <f>TB_Vendas[[#This Row],[Preço Unitário]]*TB_Vendas[[#This Row],[Qtd]]</f>
        <v>290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VLOOKUP(TB_Vendas[[#This Row],[Código]],TB_Produtos[#All],4,0)</f>
        <v>Acessórios</v>
      </c>
      <c r="F37" s="1">
        <v>1</v>
      </c>
      <c r="G37" s="29">
        <f>VLOOKUP(TB_Vendas[[#This Row],[Código]],TB_Produtos[#All],6,0)</f>
        <v>39.9</v>
      </c>
      <c r="H37" s="120">
        <f>MATCH(TB_Vendas[[#This Row],[Categoria]],Desc_Categorias,0)</f>
        <v>2</v>
      </c>
      <c r="I37" s="69">
        <f>VLOOKUP(TB_Vendas[[#This Row],[Qtd]],Desc_TabelaToda,TB_Vendas[[#This Row],[Índice]],TRUE)</f>
        <v>0</v>
      </c>
      <c r="J37" s="69">
        <f>INDEX(Desc_TabelaToda,MATCH(TB_Vendas[[#This Row],[Qtd]],Desc_Quantidades,1),MATCH(VLOOKUP(TB_Vendas[[#This Row],[Código]],TB_Produtos[],4,0),Desc_Categorias,0))</f>
        <v>0</v>
      </c>
      <c r="K37" s="69">
        <f>VLOOKUP(TB_Vendas[[#This Row],[Vendedor]],Vendedores!$A$5:$D$9,4,0)</f>
        <v>0.25</v>
      </c>
      <c r="L37" s="69">
        <f>IF(TB_Vendas[[#This Row],[Desc.]]&gt;TB_Vendas[[#This Row],[Desc. Vendedor]],TB_Vendas[[#This Row],[Desc. Vendedor]],TB_Vendas[[#This Row],[Desc.]])</f>
        <v>0</v>
      </c>
      <c r="M37" s="8">
        <f>TB_Vendas[[#This Row],[Preço Unitário]]*TB_Vendas[[#This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VLOOKUP(TB_Vendas[[#This Row],[Código]],TB_Produtos[#All],4,0)</f>
        <v>Acessórios</v>
      </c>
      <c r="F38" s="1">
        <v>3</v>
      </c>
      <c r="G38" s="29">
        <f>VLOOKUP(TB_Vendas[[#This Row],[Código]],TB_Produtos[#All],6,0)</f>
        <v>349.9</v>
      </c>
      <c r="H38" s="120">
        <f>MATCH(TB_Vendas[[#This Row],[Categoria]],Desc_Categorias,0)</f>
        <v>2</v>
      </c>
      <c r="I38" s="69">
        <f>VLOOKUP(TB_Vendas[[#This Row],[Qtd]],Desc_TabelaToda,TB_Vendas[[#This Row],[Índice]],TRUE)</f>
        <v>0.15</v>
      </c>
      <c r="J38" s="69">
        <f>INDEX(Desc_TabelaToda,MATCH(TB_Vendas[[#This Row],[Qtd]],Desc_Quantidades,1),MATCH(VLOOKUP(TB_Vendas[[#This Row],[Código]],TB_Produtos[],4,0),Desc_Categorias,0))</f>
        <v>0.15</v>
      </c>
      <c r="K38" s="69">
        <f>VLOOKUP(TB_Vendas[[#This Row],[Vendedor]],Vendedores!$A$5:$D$9,4,0)</f>
        <v>0.2</v>
      </c>
      <c r="L38" s="69">
        <f>IF(TB_Vendas[[#This Row],[Desc.]]&gt;TB_Vendas[[#This Row],[Desc. Vendedor]],TB_Vendas[[#This Row],[Desc. Vendedor]],TB_Vendas[[#This Row],[Desc.]])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VLOOKUP(TB_Vendas[[#This Row],[Código]],TB_Produtos[#All],4,0)</f>
        <v>Calçado</v>
      </c>
      <c r="F39" s="1">
        <v>4</v>
      </c>
      <c r="G39" s="29">
        <f>VLOOKUP(TB_Vendas[[#This Row],[Código]],TB_Produtos[#All],6,0)</f>
        <v>89.9</v>
      </c>
      <c r="H39" s="120">
        <f>MATCH(TB_Vendas[[#This Row],[Categoria]],Desc_Categorias,0)</f>
        <v>4</v>
      </c>
      <c r="I39" s="69">
        <f>VLOOKUP(TB_Vendas[[#This Row],[Qtd]],Desc_TabelaToda,TB_Vendas[[#This Row],[Índice]],TRUE)</f>
        <v>0.15</v>
      </c>
      <c r="J39" s="69">
        <f>INDEX(Desc_TabelaToda,MATCH(TB_Vendas[[#This Row],[Qtd]],Desc_Quantidades,1),MATCH(VLOOKUP(TB_Vendas[[#This Row],[Código]],TB_Produtos[],4,0),Desc_Categorias,0))</f>
        <v>0.15</v>
      </c>
      <c r="K39" s="69">
        <f>VLOOKUP(TB_Vendas[[#This Row],[Vendedor]],Vendedores!$A$5:$D$9,4,0)</f>
        <v>0.2</v>
      </c>
      <c r="L39" s="69">
        <f>IF(TB_Vendas[[#This Row],[Desc.]]&gt;TB_Vendas[[#This Row],[Desc. Vendedor]],TB_Vendas[[#This Row],[Desc. Vendedor]],TB_Vendas[[#This Row],[Desc.]])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VLOOKUP(TB_Vendas[[#This Row],[Código]],TB_Produtos[#All],4,0)</f>
        <v>Calçado</v>
      </c>
      <c r="F40" s="1">
        <v>2</v>
      </c>
      <c r="G40" s="29">
        <f>VLOOKUP(TB_Vendas[[#This Row],[Código]],TB_Produtos[#All],6,0)</f>
        <v>89.9</v>
      </c>
      <c r="H40" s="120">
        <f>MATCH(TB_Vendas[[#This Row],[Categoria]],Desc_Categorias,0)</f>
        <v>4</v>
      </c>
      <c r="I40" s="69">
        <f>VLOOKUP(TB_Vendas[[#This Row],[Qtd]],Desc_TabelaToda,TB_Vendas[[#This Row],[Índice]],TRUE)</f>
        <v>0.1</v>
      </c>
      <c r="J40" s="69">
        <f>INDEX(Desc_TabelaToda,MATCH(TB_Vendas[[#This Row],[Qtd]],Desc_Quantidades,1),MATCH(VLOOKUP(TB_Vendas[[#This Row],[Código]],TB_Produtos[],4,0),Desc_Categorias,0))</f>
        <v>0.1</v>
      </c>
      <c r="K40" s="69">
        <f>VLOOKUP(TB_Vendas[[#This Row],[Vendedor]],Vendedores!$A$5:$D$9,4,0)</f>
        <v>0.2</v>
      </c>
      <c r="L40" s="69">
        <f>IF(TB_Vendas[[#This Row],[Desc.]]&gt;TB_Vendas[[#This Row],[Desc. Vendedor]],TB_Vendas[[#This Row],[Desc. Vendedor]],TB_Vendas[[#This Row],[Desc.]])</f>
        <v>0.1</v>
      </c>
      <c r="M40" s="8">
        <f>TB_Vendas[[#This Row],[Preço Unitário]]*TB_Vendas[[#This Row],[Qtd]]</f>
        <v>179.8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VLOOKUP(TB_Vendas[[#This Row],[Código]],TB_Produtos[#All],4,0)</f>
        <v>Vestuário</v>
      </c>
      <c r="F41" s="1">
        <v>3</v>
      </c>
      <c r="G41" s="29">
        <f>VLOOKUP(TB_Vendas[[#This Row],[Código]],TB_Produtos[#All],6,0)</f>
        <v>69.900000000000006</v>
      </c>
      <c r="H41" s="120">
        <f>MATCH(TB_Vendas[[#This Row],[Categoria]],Desc_Categorias,0)</f>
        <v>3</v>
      </c>
      <c r="I41" s="69">
        <f>VLOOKUP(TB_Vendas[[#This Row],[Qtd]],Desc_TabelaToda,TB_Vendas[[#This Row],[Índice]],TRUE)</f>
        <v>0.2</v>
      </c>
      <c r="J41" s="69">
        <f>INDEX(Desc_TabelaToda,MATCH(TB_Vendas[[#This Row],[Qtd]],Desc_Quantidades,1),MATCH(VLOOKUP(TB_Vendas[[#This Row],[Código]],TB_Produtos[],4,0),Desc_Categorias,0))</f>
        <v>0.2</v>
      </c>
      <c r="K41" s="69">
        <f>VLOOKUP(TB_Vendas[[#This Row],[Vendedor]],Vendedores!$A$5:$D$9,4,0)</f>
        <v>0.2</v>
      </c>
      <c r="L41" s="69">
        <f>IF(TB_Vendas[[#This Row],[Desc.]]&gt;TB_Vendas[[#This Row],[Desc. Vendedor]],TB_Vendas[[#This Row],[Desc. Vendedor]],TB_Vendas[[#This Row],[Desc.]])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VLOOKUP(TB_Vendas[[#This Row],[Código]],TB_Produtos[#All],4,0)</f>
        <v>Acessórios</v>
      </c>
      <c r="F42" s="1">
        <v>1</v>
      </c>
      <c r="G42" s="29">
        <f>VLOOKUP(TB_Vendas[[#This Row],[Código]],TB_Produtos[#All],6,0)</f>
        <v>145</v>
      </c>
      <c r="H42" s="120">
        <f>MATCH(TB_Vendas[[#This Row],[Categoria]],Desc_Categorias,0)</f>
        <v>2</v>
      </c>
      <c r="I42" s="69">
        <f>VLOOKUP(TB_Vendas[[#This Row],[Qtd]],Desc_TabelaToda,TB_Vendas[[#This Row],[Índice]],TRUE)</f>
        <v>0</v>
      </c>
      <c r="J42" s="69">
        <f>INDEX(Desc_TabelaToda,MATCH(TB_Vendas[[#This Row],[Qtd]],Desc_Quantidades,1),MATCH(VLOOKUP(TB_Vendas[[#This Row],[Código]],TB_Produtos[],4,0),Desc_Categorias,0))</f>
        <v>0</v>
      </c>
      <c r="K42" s="69">
        <f>VLOOKUP(TB_Vendas[[#This Row],[Vendedor]],Vendedores!$A$5:$D$9,4,0)</f>
        <v>0.15</v>
      </c>
      <c r="L42" s="69">
        <f>IF(TB_Vendas[[#This Row],[Desc.]]&gt;TB_Vendas[[#This Row],[Desc. Vendedor]],TB_Vendas[[#This Row],[Desc. Vendedor]],TB_Vendas[[#This Row],[Desc.]])</f>
        <v>0</v>
      </c>
      <c r="M42" s="8">
        <f>TB_Vendas[[#This Row],[Preço Unitário]]*TB_Vendas[[#This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VLOOKUP(TB_Vendas[[#This Row],[Código]],TB_Produtos[#All],4,0)</f>
        <v>Vestuário</v>
      </c>
      <c r="F43" s="1">
        <v>4</v>
      </c>
      <c r="G43" s="29">
        <f>VLOOKUP(TB_Vendas[[#This Row],[Código]],TB_Produtos[#All],6,0)</f>
        <v>46.9</v>
      </c>
      <c r="H43" s="120">
        <f>MATCH(TB_Vendas[[#This Row],[Categoria]],Desc_Categorias,0)</f>
        <v>3</v>
      </c>
      <c r="I43" s="69">
        <f>VLOOKUP(TB_Vendas[[#This Row],[Qtd]],Desc_TabelaToda,TB_Vendas[[#This Row],[Índice]],TRUE)</f>
        <v>0.2</v>
      </c>
      <c r="J43" s="69">
        <f>INDEX(Desc_TabelaToda,MATCH(TB_Vendas[[#This Row],[Qtd]],Desc_Quantidades,1),MATCH(VLOOKUP(TB_Vendas[[#This Row],[Código]],TB_Produtos[],4,0),Desc_Categorias,0))</f>
        <v>0.2</v>
      </c>
      <c r="K43" s="69">
        <f>VLOOKUP(TB_Vendas[[#This Row],[Vendedor]],Vendedores!$A$5:$D$9,4,0)</f>
        <v>0.2</v>
      </c>
      <c r="L43" s="69">
        <f>IF(TB_Vendas[[#This Row],[Desc.]]&gt;TB_Vendas[[#This Row],[Desc. Vendedor]],TB_Vendas[[#This Row],[Desc. Vendedor]],TB_Vendas[[#This Row],[Desc.]])</f>
        <v>0.2</v>
      </c>
      <c r="M43" s="8">
        <f>TB_Vendas[[#This Row],[Preço Unitário]]*TB_Vendas[[#This Row],[Qtd]]</f>
        <v>187.6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VLOOKUP(TB_Vendas[[#This Row],[Código]],TB_Produtos[#All],4,0)</f>
        <v>Vestuário</v>
      </c>
      <c r="F44" s="1">
        <v>2</v>
      </c>
      <c r="G44" s="29">
        <f>VLOOKUP(TB_Vendas[[#This Row],[Código]],TB_Produtos[#All],6,0)</f>
        <v>72.5</v>
      </c>
      <c r="H44" s="120">
        <f>MATCH(TB_Vendas[[#This Row],[Categoria]],Desc_Categorias,0)</f>
        <v>3</v>
      </c>
      <c r="I44" s="69">
        <f>VLOOKUP(TB_Vendas[[#This Row],[Qtd]],Desc_TabelaToda,TB_Vendas[[#This Row],[Índice]],TRUE)</f>
        <v>0.15</v>
      </c>
      <c r="J44" s="69">
        <f>INDEX(Desc_TabelaToda,MATCH(TB_Vendas[[#This Row],[Qtd]],Desc_Quantidades,1),MATCH(VLOOKUP(TB_Vendas[[#This Row],[Código]],TB_Produtos[],4,0),Desc_Categorias,0))</f>
        <v>0.15</v>
      </c>
      <c r="K44" s="69">
        <f>VLOOKUP(TB_Vendas[[#This Row],[Vendedor]],Vendedores!$A$5:$D$9,4,0)</f>
        <v>0.15</v>
      </c>
      <c r="L44" s="69">
        <f>IF(TB_Vendas[[#This Row],[Desc.]]&gt;TB_Vendas[[#This Row],[Desc. Vendedor]],TB_Vendas[[#This Row],[Desc. Vendedor]],TB_Vendas[[#This Row],[Desc.]])</f>
        <v>0.15</v>
      </c>
      <c r="M44" s="8">
        <f>TB_Vendas[[#This Row],[Preço Unitário]]*TB_Vendas[[#This Row],[Qtd]]</f>
        <v>145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VLOOKUP(TB_Vendas[[#This Row],[Código]],TB_Produtos[#All],4,0)</f>
        <v>Vestuário</v>
      </c>
      <c r="F45" s="1">
        <v>3</v>
      </c>
      <c r="G45" s="29">
        <f>VLOOKUP(TB_Vendas[[#This Row],[Código]],TB_Produtos[#All],6,0)</f>
        <v>140</v>
      </c>
      <c r="H45" s="120">
        <f>MATCH(TB_Vendas[[#This Row],[Categoria]],Desc_Categorias,0)</f>
        <v>3</v>
      </c>
      <c r="I45" s="69">
        <f>VLOOKUP(TB_Vendas[[#This Row],[Qtd]],Desc_TabelaToda,TB_Vendas[[#This Row],[Índice]],TRUE)</f>
        <v>0.2</v>
      </c>
      <c r="J45" s="69">
        <f>INDEX(Desc_TabelaToda,MATCH(TB_Vendas[[#This Row],[Qtd]],Desc_Quantidades,1),MATCH(VLOOKUP(TB_Vendas[[#This Row],[Código]],TB_Produtos[],4,0),Desc_Categorias,0))</f>
        <v>0.2</v>
      </c>
      <c r="K45" s="69">
        <f>VLOOKUP(TB_Vendas[[#This Row],[Vendedor]],Vendedores!$A$5:$D$9,4,0)</f>
        <v>0.2</v>
      </c>
      <c r="L45" s="69">
        <f>IF(TB_Vendas[[#This Row],[Desc.]]&gt;TB_Vendas[[#This Row],[Desc. Vendedor]],TB_Vendas[[#This Row],[Desc. Vendedor]],TB_Vendas[[#This Row],[Desc.]])</f>
        <v>0.2</v>
      </c>
      <c r="M45" s="8">
        <f>TB_Vendas[[#This Row],[Preço Unitário]]*TB_Vendas[[#This Row],[Qtd]]</f>
        <v>420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VLOOKUP(TB_Vendas[[#This Row],[Código]],TB_Produtos[#All],4,0)</f>
        <v>Vestuário</v>
      </c>
      <c r="F46" s="1">
        <v>1</v>
      </c>
      <c r="G46" s="29">
        <f>VLOOKUP(TB_Vendas[[#This Row],[Código]],TB_Produtos[#All],6,0)</f>
        <v>91.4</v>
      </c>
      <c r="H46" s="120">
        <f>MATCH(TB_Vendas[[#This Row],[Categoria]],Desc_Categorias,0)</f>
        <v>3</v>
      </c>
      <c r="I46" s="69">
        <f>VLOOKUP(TB_Vendas[[#This Row],[Qtd]],Desc_TabelaToda,TB_Vendas[[#This Row],[Índice]],TRUE)</f>
        <v>0.1</v>
      </c>
      <c r="J46" s="69">
        <f>INDEX(Desc_TabelaToda,MATCH(TB_Vendas[[#This Row],[Qtd]],Desc_Quantidades,1),MATCH(VLOOKUP(TB_Vendas[[#This Row],[Código]],TB_Produtos[],4,0),Desc_Categorias,0))</f>
        <v>0.1</v>
      </c>
      <c r="K46" s="69">
        <f>VLOOKUP(TB_Vendas[[#This Row],[Vendedor]],Vendedores!$A$5:$D$9,4,0)</f>
        <v>0.25</v>
      </c>
      <c r="L46" s="69">
        <f>IF(TB_Vendas[[#This Row],[Desc.]]&gt;TB_Vendas[[#This Row],[Desc. Vendedor]],TB_Vendas[[#This Row],[Desc. Vendedor]],TB_Vendas[[#This Row],[Desc.]])</f>
        <v>0.1</v>
      </c>
      <c r="M46" s="8">
        <f>TB_Vendas[[#This Row],[Preço Unitário]]*TB_Vendas[[#This Row],[Qtd]]</f>
        <v>91.4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VLOOKUP(TB_Vendas[[#This Row],[Código]],TB_Produtos[#All],4,0)</f>
        <v>Acessórios</v>
      </c>
      <c r="F47" s="1">
        <v>2</v>
      </c>
      <c r="G47" s="29">
        <f>VLOOKUP(TB_Vendas[[#This Row],[Código]],TB_Produtos[#All],6,0)</f>
        <v>349.9</v>
      </c>
      <c r="H47" s="120">
        <f>MATCH(TB_Vendas[[#This Row],[Categoria]],Desc_Categorias,0)</f>
        <v>2</v>
      </c>
      <c r="I47" s="69">
        <f>VLOOKUP(TB_Vendas[[#This Row],[Qtd]],Desc_TabelaToda,TB_Vendas[[#This Row],[Índice]],TRUE)</f>
        <v>0.05</v>
      </c>
      <c r="J47" s="69">
        <f>INDEX(Desc_TabelaToda,MATCH(TB_Vendas[[#This Row],[Qtd]],Desc_Quantidades,1),MATCH(VLOOKUP(TB_Vendas[[#This Row],[Código]],TB_Produtos[],4,0),Desc_Categorias,0))</f>
        <v>0.05</v>
      </c>
      <c r="K47" s="69">
        <f>VLOOKUP(TB_Vendas[[#This Row],[Vendedor]],Vendedores!$A$5:$D$9,4,0)</f>
        <v>0.2</v>
      </c>
      <c r="L47" s="69">
        <f>IF(TB_Vendas[[#This Row],[Desc.]]&gt;TB_Vendas[[#This Row],[Desc. Vendedor]],TB_Vendas[[#This Row],[Desc. Vendedor]],TB_Vendas[[#This Row],[Desc.]])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VLOOKUP(TB_Vendas[[#This Row],[Código]],TB_Produtos[#All],4,0)</f>
        <v>Vestuário</v>
      </c>
      <c r="F48" s="1">
        <v>3</v>
      </c>
      <c r="G48" s="29">
        <f>VLOOKUP(TB_Vendas[[#This Row],[Código]],TB_Produtos[#All],6,0)</f>
        <v>65.900000000000006</v>
      </c>
      <c r="H48" s="120">
        <f>MATCH(TB_Vendas[[#This Row],[Categoria]],Desc_Categorias,0)</f>
        <v>3</v>
      </c>
      <c r="I48" s="69">
        <f>VLOOKUP(TB_Vendas[[#This Row],[Qtd]],Desc_TabelaToda,TB_Vendas[[#This Row],[Índice]],TRUE)</f>
        <v>0.2</v>
      </c>
      <c r="J48" s="69">
        <f>INDEX(Desc_TabelaToda,MATCH(TB_Vendas[[#This Row],[Qtd]],Desc_Quantidades,1),MATCH(VLOOKUP(TB_Vendas[[#This Row],[Código]],TB_Produtos[],4,0),Desc_Categorias,0))</f>
        <v>0.2</v>
      </c>
      <c r="K48" s="69">
        <f>VLOOKUP(TB_Vendas[[#This Row],[Vendedor]],Vendedores!$A$5:$D$9,4,0)</f>
        <v>0.25</v>
      </c>
      <c r="L48" s="69">
        <f>IF(TB_Vendas[[#This Row],[Desc.]]&gt;TB_Vendas[[#This Row],[Desc. Vendedor]],TB_Vendas[[#This Row],[Desc. Vendedor]],TB_Vendas[[#This Row],[Desc.]])</f>
        <v>0.2</v>
      </c>
      <c r="M48" s="8">
        <f>TB_Vendas[[#This Row],[Preço Unitário]]*TB_Vendas[[#This Row],[Qtd]]</f>
        <v>197.70000000000002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VLOOKUP(TB_Vendas[[#This Row],[Código]],TB_Produtos[#All],4,0)</f>
        <v>Vestuário</v>
      </c>
      <c r="F49" s="1">
        <v>2</v>
      </c>
      <c r="G49" s="29">
        <f>VLOOKUP(TB_Vendas[[#This Row],[Código]],TB_Produtos[#All],6,0)</f>
        <v>91.4</v>
      </c>
      <c r="H49" s="120">
        <f>MATCH(TB_Vendas[[#This Row],[Categoria]],Desc_Categorias,0)</f>
        <v>3</v>
      </c>
      <c r="I49" s="69">
        <f>VLOOKUP(TB_Vendas[[#This Row],[Qtd]],Desc_TabelaToda,TB_Vendas[[#This Row],[Índice]],TRUE)</f>
        <v>0.15</v>
      </c>
      <c r="J49" s="69">
        <f>INDEX(Desc_TabelaToda,MATCH(TB_Vendas[[#This Row],[Qtd]],Desc_Quantidades,1),MATCH(VLOOKUP(TB_Vendas[[#This Row],[Código]],TB_Produtos[],4,0),Desc_Categorias,0))</f>
        <v>0.15</v>
      </c>
      <c r="K49" s="69">
        <f>VLOOKUP(TB_Vendas[[#This Row],[Vendedor]],Vendedores!$A$5:$D$9,4,0)</f>
        <v>0.2</v>
      </c>
      <c r="L49" s="69">
        <f>IF(TB_Vendas[[#This Row],[Desc.]]&gt;TB_Vendas[[#This Row],[Desc. Vendedor]],TB_Vendas[[#This Row],[Desc. Vendedor]],TB_Vendas[[#This Row],[Desc.]])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VLOOKUP(TB_Vendas[[#This Row],[Código]],TB_Produtos[#All],4,0)</f>
        <v>Acessórios</v>
      </c>
      <c r="F50" s="1">
        <v>4</v>
      </c>
      <c r="G50" s="29">
        <f>VLOOKUP(TB_Vendas[[#This Row],[Código]],TB_Produtos[#All],6,0)</f>
        <v>259.89999999999998</v>
      </c>
      <c r="H50" s="120">
        <f>MATCH(TB_Vendas[[#This Row],[Categoria]],Desc_Categorias,0)</f>
        <v>2</v>
      </c>
      <c r="I50" s="69">
        <f>VLOOKUP(TB_Vendas[[#This Row],[Qtd]],Desc_TabelaToda,TB_Vendas[[#This Row],[Índice]],TRUE)</f>
        <v>0.15</v>
      </c>
      <c r="J50" s="69">
        <f>INDEX(Desc_TabelaToda,MATCH(TB_Vendas[[#This Row],[Qtd]],Desc_Quantidades,1),MATCH(VLOOKUP(TB_Vendas[[#This Row],[Código]],TB_Produtos[],4,0),Desc_Categorias,0))</f>
        <v>0.15</v>
      </c>
      <c r="K50" s="69">
        <f>VLOOKUP(TB_Vendas[[#This Row],[Vendedor]],Vendedores!$A$5:$D$9,4,0)</f>
        <v>0.25</v>
      </c>
      <c r="L50" s="69">
        <f>IF(TB_Vendas[[#This Row],[Desc.]]&gt;TB_Vendas[[#This Row],[Desc. Vendedor]],TB_Vendas[[#This Row],[Desc. Vendedor]],TB_Vendas[[#This Row],[Desc.]])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VLOOKUP(TB_Vendas[[#This Row],[Código]],TB_Produtos[#All],4,0)</f>
        <v>Acessórios</v>
      </c>
      <c r="F51" s="1">
        <v>3</v>
      </c>
      <c r="G51" s="29">
        <f>VLOOKUP(TB_Vendas[[#This Row],[Código]],TB_Produtos[#All],6,0)</f>
        <v>145</v>
      </c>
      <c r="H51" s="120">
        <f>MATCH(TB_Vendas[[#This Row],[Categoria]],Desc_Categorias,0)</f>
        <v>2</v>
      </c>
      <c r="I51" s="69">
        <f>VLOOKUP(TB_Vendas[[#This Row],[Qtd]],Desc_TabelaToda,TB_Vendas[[#This Row],[Índice]],TRUE)</f>
        <v>0.15</v>
      </c>
      <c r="J51" s="69">
        <f>INDEX(Desc_TabelaToda,MATCH(TB_Vendas[[#This Row],[Qtd]],Desc_Quantidades,1),MATCH(VLOOKUP(TB_Vendas[[#This Row],[Código]],TB_Produtos[],4,0),Desc_Categorias,0))</f>
        <v>0.15</v>
      </c>
      <c r="K51" s="69">
        <f>VLOOKUP(TB_Vendas[[#This Row],[Vendedor]],Vendedores!$A$5:$D$9,4,0)</f>
        <v>0.2</v>
      </c>
      <c r="L51" s="69">
        <f>IF(TB_Vendas[[#This Row],[Desc.]]&gt;TB_Vendas[[#This Row],[Desc. Vendedor]],TB_Vendas[[#This Row],[Desc. Vendedor]],TB_Vendas[[#This Row],[Desc.]])</f>
        <v>0.15</v>
      </c>
      <c r="M51" s="8">
        <f>TB_Vendas[[#This Row],[Preço Unitário]]*TB_Vendas[[#This Row],[Qtd]]</f>
        <v>435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VLOOKUP(TB_Vendas[[#This Row],[Código]],TB_Produtos[#All],4,0)</f>
        <v>Vestuário</v>
      </c>
      <c r="F52" s="1">
        <v>2</v>
      </c>
      <c r="G52" s="29">
        <f>VLOOKUP(TB_Vendas[[#This Row],[Código]],TB_Produtos[#All],6,0)</f>
        <v>142.9</v>
      </c>
      <c r="H52" s="120">
        <f>MATCH(TB_Vendas[[#This Row],[Categoria]],Desc_Categorias,0)</f>
        <v>3</v>
      </c>
      <c r="I52" s="69">
        <f>VLOOKUP(TB_Vendas[[#This Row],[Qtd]],Desc_TabelaToda,TB_Vendas[[#This Row],[Índice]],TRUE)</f>
        <v>0.15</v>
      </c>
      <c r="J52" s="69">
        <f>INDEX(Desc_TabelaToda,MATCH(TB_Vendas[[#This Row],[Qtd]],Desc_Quantidades,1),MATCH(VLOOKUP(TB_Vendas[[#This Row],[Código]],TB_Produtos[],4,0),Desc_Categorias,0))</f>
        <v>0.15</v>
      </c>
      <c r="K52" s="69">
        <f>VLOOKUP(TB_Vendas[[#This Row],[Vendedor]],Vendedores!$A$5:$D$9,4,0)</f>
        <v>0.1</v>
      </c>
      <c r="L52" s="69">
        <f>IF(TB_Vendas[[#This Row],[Desc.]]&gt;TB_Vendas[[#This Row],[Desc. Vendedor]],TB_Vendas[[#This Row],[Desc. Vendedor]],TB_Vendas[[#This Row],[Desc.]])</f>
        <v>0.1</v>
      </c>
      <c r="M52" s="8">
        <f>TB_Vendas[[#This Row],[Preço Unitário]]*TB_Vendas[[#This Row],[Qtd]]</f>
        <v>285.8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VLOOKUP(TB_Vendas[[#This Row],[Código]],TB_Produtos[#All],4,0)</f>
        <v>Vestuário</v>
      </c>
      <c r="F53" s="1">
        <v>2</v>
      </c>
      <c r="G53" s="29">
        <f>VLOOKUP(TB_Vendas[[#This Row],[Código]],TB_Produtos[#All],6,0)</f>
        <v>180</v>
      </c>
      <c r="H53" s="120">
        <f>MATCH(TB_Vendas[[#This Row],[Categoria]],Desc_Categorias,0)</f>
        <v>3</v>
      </c>
      <c r="I53" s="69">
        <f>VLOOKUP(TB_Vendas[[#This Row],[Qtd]],Desc_TabelaToda,TB_Vendas[[#This Row],[Índice]],TRUE)</f>
        <v>0.15</v>
      </c>
      <c r="J53" s="69">
        <f>INDEX(Desc_TabelaToda,MATCH(TB_Vendas[[#This Row],[Qtd]],Desc_Quantidades,1),MATCH(VLOOKUP(TB_Vendas[[#This Row],[Código]],TB_Produtos[],4,0),Desc_Categorias,0))</f>
        <v>0.15</v>
      </c>
      <c r="K53" s="69">
        <f>VLOOKUP(TB_Vendas[[#This Row],[Vendedor]],Vendedores!$A$5:$D$9,4,0)</f>
        <v>0.2</v>
      </c>
      <c r="L53" s="69">
        <f>IF(TB_Vendas[[#This Row],[Desc.]]&gt;TB_Vendas[[#This Row],[Desc. Vendedor]],TB_Vendas[[#This Row],[Desc. Vendedor]],TB_Vendas[[#This Row],[Desc.]])</f>
        <v>0.15</v>
      </c>
      <c r="M53" s="8">
        <f>TB_Vendas[[#This Row],[Preço Unitário]]*TB_Vendas[[#This Row],[Qtd]]</f>
        <v>360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VLOOKUP(TB_Vendas[[#This Row],[Código]],TB_Produtos[#All],4,0)</f>
        <v>Vestuário</v>
      </c>
      <c r="F54" s="1">
        <v>2</v>
      </c>
      <c r="G54" s="29">
        <f>VLOOKUP(TB_Vendas[[#This Row],[Código]],TB_Produtos[#All],6,0)</f>
        <v>42.5</v>
      </c>
      <c r="H54" s="120">
        <f>MATCH(TB_Vendas[[#This Row],[Categoria]],Desc_Categorias,0)</f>
        <v>3</v>
      </c>
      <c r="I54" s="69">
        <f>VLOOKUP(TB_Vendas[[#This Row],[Qtd]],Desc_TabelaToda,TB_Vendas[[#This Row],[Índice]],TRUE)</f>
        <v>0.15</v>
      </c>
      <c r="J54" s="69">
        <f>INDEX(Desc_TabelaToda,MATCH(TB_Vendas[[#This Row],[Qtd]],Desc_Quantidades,1),MATCH(VLOOKUP(TB_Vendas[[#This Row],[Código]],TB_Produtos[],4,0),Desc_Categorias,0))</f>
        <v>0.15</v>
      </c>
      <c r="K54" s="69">
        <f>VLOOKUP(TB_Vendas[[#This Row],[Vendedor]],Vendedores!$A$5:$D$9,4,0)</f>
        <v>0.1</v>
      </c>
      <c r="L54" s="69">
        <f>IF(TB_Vendas[[#This Row],[Desc.]]&gt;TB_Vendas[[#This Row],[Desc. Vendedor]],TB_Vendas[[#This Row],[Desc. Vendedor]],TB_Vendas[[#This Row],[Desc.]])</f>
        <v>0.1</v>
      </c>
      <c r="M54" s="8">
        <f>TB_Vendas[[#This Row],[Preço Unitário]]*TB_Vendas[[#This Row],[Qtd]]</f>
        <v>85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VLOOKUP(TB_Vendas[[#This Row],[Código]],TB_Produtos[#All],4,0)</f>
        <v>Vestuário</v>
      </c>
      <c r="F55" s="1">
        <v>1</v>
      </c>
      <c r="G55" s="29">
        <f>VLOOKUP(TB_Vendas[[#This Row],[Código]],TB_Produtos[#All],6,0)</f>
        <v>65.900000000000006</v>
      </c>
      <c r="H55" s="120">
        <f>MATCH(TB_Vendas[[#This Row],[Categoria]],Desc_Categorias,0)</f>
        <v>3</v>
      </c>
      <c r="I55" s="69">
        <f>VLOOKUP(TB_Vendas[[#This Row],[Qtd]],Desc_TabelaToda,TB_Vendas[[#This Row],[Índice]],TRUE)</f>
        <v>0.1</v>
      </c>
      <c r="J55" s="69">
        <f>INDEX(Desc_TabelaToda,MATCH(TB_Vendas[[#This Row],[Qtd]],Desc_Quantidades,1),MATCH(VLOOKUP(TB_Vendas[[#This Row],[Código]],TB_Produtos[],4,0),Desc_Categorias,0))</f>
        <v>0.1</v>
      </c>
      <c r="K55" s="69">
        <f>VLOOKUP(TB_Vendas[[#This Row],[Vendedor]],Vendedores!$A$5:$D$9,4,0)</f>
        <v>0.25</v>
      </c>
      <c r="L55" s="69">
        <f>IF(TB_Vendas[[#This Row],[Desc.]]&gt;TB_Vendas[[#This Row],[Desc. Vendedor]],TB_Vendas[[#This Row],[Desc. Vendedor]],TB_Vendas[[#This Row],[Desc.]])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VLOOKUP(TB_Vendas[[#This Row],[Código]],TB_Produtos[#All],4,0)</f>
        <v>Vestuário</v>
      </c>
      <c r="F56" s="1">
        <v>1</v>
      </c>
      <c r="G56" s="29">
        <f>VLOOKUP(TB_Vendas[[#This Row],[Código]],TB_Produtos[#All],6,0)</f>
        <v>180</v>
      </c>
      <c r="H56" s="120">
        <f>MATCH(TB_Vendas[[#This Row],[Categoria]],Desc_Categorias,0)</f>
        <v>3</v>
      </c>
      <c r="I56" s="69">
        <f>VLOOKUP(TB_Vendas[[#This Row],[Qtd]],Desc_TabelaToda,TB_Vendas[[#This Row],[Índice]],TRUE)</f>
        <v>0.1</v>
      </c>
      <c r="J56" s="69">
        <f>INDEX(Desc_TabelaToda,MATCH(TB_Vendas[[#This Row],[Qtd]],Desc_Quantidades,1),MATCH(VLOOKUP(TB_Vendas[[#This Row],[Código]],TB_Produtos[],4,0),Desc_Categorias,0))</f>
        <v>0.1</v>
      </c>
      <c r="K56" s="69">
        <f>VLOOKUP(TB_Vendas[[#This Row],[Vendedor]],Vendedores!$A$5:$D$9,4,0)</f>
        <v>0.1</v>
      </c>
      <c r="L56" s="69">
        <f>IF(TB_Vendas[[#This Row],[Desc.]]&gt;TB_Vendas[[#This Row],[Desc. Vendedor]],TB_Vendas[[#This Row],[Desc. Vendedor]],TB_Vendas[[#This Row],[Desc.]])</f>
        <v>0.1</v>
      </c>
      <c r="M56" s="8">
        <f>TB_Vendas[[#This Row],[Preço Unitário]]*TB_Vendas[[#This Row],[Qtd]]</f>
        <v>180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VLOOKUP(TB_Vendas[[#This Row],[Código]],TB_Produtos[#All],4,0)</f>
        <v>Vestuário</v>
      </c>
      <c r="F57" s="1">
        <v>3</v>
      </c>
      <c r="G57" s="29">
        <f>VLOOKUP(TB_Vendas[[#This Row],[Código]],TB_Produtos[#All],6,0)</f>
        <v>32.9</v>
      </c>
      <c r="H57" s="120">
        <f>MATCH(TB_Vendas[[#This Row],[Categoria]],Desc_Categorias,0)</f>
        <v>3</v>
      </c>
      <c r="I57" s="69">
        <f>VLOOKUP(TB_Vendas[[#This Row],[Qtd]],Desc_TabelaToda,TB_Vendas[[#This Row],[Índice]],TRUE)</f>
        <v>0.2</v>
      </c>
      <c r="J57" s="69">
        <f>INDEX(Desc_TabelaToda,MATCH(TB_Vendas[[#This Row],[Qtd]],Desc_Quantidades,1),MATCH(VLOOKUP(TB_Vendas[[#This Row],[Código]],TB_Produtos[],4,0),Desc_Categorias,0))</f>
        <v>0.2</v>
      </c>
      <c r="K57" s="69">
        <f>VLOOKUP(TB_Vendas[[#This Row],[Vendedor]],Vendedores!$A$5:$D$9,4,0)</f>
        <v>0.25</v>
      </c>
      <c r="L57" s="69">
        <f>IF(TB_Vendas[[#This Row],[Desc.]]&gt;TB_Vendas[[#This Row],[Desc. Vendedor]],TB_Vendas[[#This Row],[Desc. Vendedor]],TB_Vendas[[#This Row],[Desc.]])</f>
        <v>0.2</v>
      </c>
      <c r="M57" s="8">
        <f>TB_Vendas[[#This Row],[Preço Unitário]]*TB_Vendas[[#This Row],[Qtd]]</f>
        <v>98.699999999999989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VLOOKUP(TB_Vendas[[#This Row],[Código]],TB_Produtos[#All],4,0)</f>
        <v>Vestuário</v>
      </c>
      <c r="F58" s="1">
        <v>4</v>
      </c>
      <c r="G58" s="29">
        <f>VLOOKUP(TB_Vendas[[#This Row],[Código]],TB_Produtos[#All],6,0)</f>
        <v>92.9</v>
      </c>
      <c r="H58" s="120">
        <f>MATCH(TB_Vendas[[#This Row],[Categoria]],Desc_Categorias,0)</f>
        <v>3</v>
      </c>
      <c r="I58" s="69">
        <f>VLOOKUP(TB_Vendas[[#This Row],[Qtd]],Desc_TabelaToda,TB_Vendas[[#This Row],[Índice]],TRUE)</f>
        <v>0.2</v>
      </c>
      <c r="J58" s="69">
        <f>INDEX(Desc_TabelaToda,MATCH(TB_Vendas[[#This Row],[Qtd]],Desc_Quantidades,1),MATCH(VLOOKUP(TB_Vendas[[#This Row],[Código]],TB_Produtos[],4,0),Desc_Categorias,0))</f>
        <v>0.2</v>
      </c>
      <c r="K58" s="69">
        <f>VLOOKUP(TB_Vendas[[#This Row],[Vendedor]],Vendedores!$A$5:$D$9,4,0)</f>
        <v>0.2</v>
      </c>
      <c r="L58" s="69">
        <f>IF(TB_Vendas[[#This Row],[Desc.]]&gt;TB_Vendas[[#This Row],[Desc. Vendedor]],TB_Vendas[[#This Row],[Desc. Vendedor]],TB_Vendas[[#This Row],[Desc.]])</f>
        <v>0.2</v>
      </c>
      <c r="M58" s="8">
        <f>TB_Vendas[[#This Row],[Preço Unitário]]*TB_Vendas[[#This Row],[Qtd]]</f>
        <v>371.6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VLOOKUP(TB_Vendas[[#This Row],[Código]],TB_Produtos[#All],4,0)</f>
        <v>Calçado</v>
      </c>
      <c r="F59" s="1">
        <v>2</v>
      </c>
      <c r="G59" s="29">
        <f>VLOOKUP(TB_Vendas[[#This Row],[Código]],TB_Produtos[#All],6,0)</f>
        <v>259.89999999999998</v>
      </c>
      <c r="H59" s="120">
        <f>MATCH(TB_Vendas[[#This Row],[Categoria]],Desc_Categorias,0)</f>
        <v>4</v>
      </c>
      <c r="I59" s="69">
        <f>VLOOKUP(TB_Vendas[[#This Row],[Qtd]],Desc_TabelaToda,TB_Vendas[[#This Row],[Índice]],TRUE)</f>
        <v>0.1</v>
      </c>
      <c r="J59" s="69">
        <f>INDEX(Desc_TabelaToda,MATCH(TB_Vendas[[#This Row],[Qtd]],Desc_Quantidades,1),MATCH(VLOOKUP(TB_Vendas[[#This Row],[Código]],TB_Produtos[],4,0),Desc_Categorias,0))</f>
        <v>0.1</v>
      </c>
      <c r="K59" s="69">
        <f>VLOOKUP(TB_Vendas[[#This Row],[Vendedor]],Vendedores!$A$5:$D$9,4,0)</f>
        <v>0.1</v>
      </c>
      <c r="L59" s="69">
        <f>IF(TB_Vendas[[#This Row],[Desc.]]&gt;TB_Vendas[[#This Row],[Desc. Vendedor]],TB_Vendas[[#This Row],[Desc. Vendedor]],TB_Vendas[[#This Row],[Desc.]])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VLOOKUP(TB_Vendas[[#This Row],[Código]],TB_Produtos[#All],4,0)</f>
        <v>Vestuário</v>
      </c>
      <c r="F60" s="1">
        <v>1</v>
      </c>
      <c r="G60" s="29">
        <f>VLOOKUP(TB_Vendas[[#This Row],[Código]],TB_Produtos[#All],6,0)</f>
        <v>259.89999999999998</v>
      </c>
      <c r="H60" s="120">
        <f>MATCH(TB_Vendas[[#This Row],[Categoria]],Desc_Categorias,0)</f>
        <v>3</v>
      </c>
      <c r="I60" s="69">
        <f>VLOOKUP(TB_Vendas[[#This Row],[Qtd]],Desc_TabelaToda,TB_Vendas[[#This Row],[Índice]],TRUE)</f>
        <v>0.1</v>
      </c>
      <c r="J60" s="69">
        <f>INDEX(Desc_TabelaToda,MATCH(TB_Vendas[[#This Row],[Qtd]],Desc_Quantidades,1),MATCH(VLOOKUP(TB_Vendas[[#This Row],[Código]],TB_Produtos[],4,0),Desc_Categorias,0))</f>
        <v>0.1</v>
      </c>
      <c r="K60" s="69">
        <f>VLOOKUP(TB_Vendas[[#This Row],[Vendedor]],Vendedores!$A$5:$D$9,4,0)</f>
        <v>0.15</v>
      </c>
      <c r="L60" s="69">
        <f>IF(TB_Vendas[[#This Row],[Desc.]]&gt;TB_Vendas[[#This Row],[Desc. Vendedor]],TB_Vendas[[#This Row],[Desc. Vendedor]],TB_Vendas[[#This Row],[Desc.]])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VLOOKUP(TB_Vendas[[#This Row],[Código]],TB_Produtos[#All],4,0)</f>
        <v>Vestuário</v>
      </c>
      <c r="F61" s="1">
        <v>5</v>
      </c>
      <c r="G61" s="29">
        <f>VLOOKUP(TB_Vendas[[#This Row],[Código]],TB_Produtos[#All],6,0)</f>
        <v>42.5</v>
      </c>
      <c r="H61" s="120">
        <f>MATCH(TB_Vendas[[#This Row],[Categoria]],Desc_Categorias,0)</f>
        <v>3</v>
      </c>
      <c r="I61" s="69">
        <f>VLOOKUP(TB_Vendas[[#This Row],[Qtd]],Desc_TabelaToda,TB_Vendas[[#This Row],[Índice]],TRUE)</f>
        <v>0.25</v>
      </c>
      <c r="J61" s="69">
        <f>INDEX(Desc_TabelaToda,MATCH(TB_Vendas[[#This Row],[Qtd]],Desc_Quantidades,1),MATCH(VLOOKUP(TB_Vendas[[#This Row],[Código]],TB_Produtos[],4,0),Desc_Categorias,0))</f>
        <v>0.25</v>
      </c>
      <c r="K61" s="69">
        <f>VLOOKUP(TB_Vendas[[#This Row],[Vendedor]],Vendedores!$A$5:$D$9,4,0)</f>
        <v>0.15</v>
      </c>
      <c r="L61" s="69">
        <f>IF(TB_Vendas[[#This Row],[Desc.]]&gt;TB_Vendas[[#This Row],[Desc. Vendedor]],TB_Vendas[[#This Row],[Desc. Vendedor]],TB_Vendas[[#This Row],[Desc.]])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VLOOKUP(TB_Vendas[[#This Row],[Código]],TB_Produtos[#All],4,0)</f>
        <v>Vestuário</v>
      </c>
      <c r="F62" s="1">
        <v>2</v>
      </c>
      <c r="G62" s="29">
        <f>VLOOKUP(TB_Vendas[[#This Row],[Código]],TB_Produtos[#All],6,0)</f>
        <v>32.9</v>
      </c>
      <c r="H62" s="120">
        <f>MATCH(TB_Vendas[[#This Row],[Categoria]],Desc_Categorias,0)</f>
        <v>3</v>
      </c>
      <c r="I62" s="69">
        <f>VLOOKUP(TB_Vendas[[#This Row],[Qtd]],Desc_TabelaToda,TB_Vendas[[#This Row],[Índice]],TRUE)</f>
        <v>0.15</v>
      </c>
      <c r="J62" s="69">
        <f>INDEX(Desc_TabelaToda,MATCH(TB_Vendas[[#This Row],[Qtd]],Desc_Quantidades,1),MATCH(VLOOKUP(TB_Vendas[[#This Row],[Código]],TB_Produtos[],4,0),Desc_Categorias,0))</f>
        <v>0.15</v>
      </c>
      <c r="K62" s="69">
        <f>VLOOKUP(TB_Vendas[[#This Row],[Vendedor]],Vendedores!$A$5:$D$9,4,0)</f>
        <v>0.15</v>
      </c>
      <c r="L62" s="69">
        <f>IF(TB_Vendas[[#This Row],[Desc.]]&gt;TB_Vendas[[#This Row],[Desc. Vendedor]],TB_Vendas[[#This Row],[Desc. Vendedor]],TB_Vendas[[#This Row],[Desc.]])</f>
        <v>0.15</v>
      </c>
      <c r="M62" s="8">
        <f>TB_Vendas[[#This Row],[Preço Unitário]]*TB_Vendas[[#This Row],[Qtd]]</f>
        <v>65.8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VLOOKUP(TB_Vendas[[#This Row],[Código]],TB_Produtos[#All],4,0)</f>
        <v>Vestuário</v>
      </c>
      <c r="F63" s="1">
        <v>3</v>
      </c>
      <c r="G63" s="29">
        <f>VLOOKUP(TB_Vendas[[#This Row],[Código]],TB_Produtos[#All],6,0)</f>
        <v>92.9</v>
      </c>
      <c r="H63" s="120">
        <f>MATCH(TB_Vendas[[#This Row],[Categoria]],Desc_Categorias,0)</f>
        <v>3</v>
      </c>
      <c r="I63" s="69">
        <f>VLOOKUP(TB_Vendas[[#This Row],[Qtd]],Desc_TabelaToda,TB_Vendas[[#This Row],[Índice]],TRUE)</f>
        <v>0.2</v>
      </c>
      <c r="J63" s="69">
        <f>INDEX(Desc_TabelaToda,MATCH(TB_Vendas[[#This Row],[Qtd]],Desc_Quantidades,1),MATCH(VLOOKUP(TB_Vendas[[#This Row],[Código]],TB_Produtos[],4,0),Desc_Categorias,0))</f>
        <v>0.2</v>
      </c>
      <c r="K63" s="69">
        <f>VLOOKUP(TB_Vendas[[#This Row],[Vendedor]],Vendedores!$A$5:$D$9,4,0)</f>
        <v>0.2</v>
      </c>
      <c r="L63" s="69">
        <f>IF(TB_Vendas[[#This Row],[Desc.]]&gt;TB_Vendas[[#This Row],[Desc. Vendedor]],TB_Vendas[[#This Row],[Desc. Vendedor]],TB_Vendas[[#This Row],[Desc.]])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VLOOKUP(TB_Vendas[[#This Row],[Código]],TB_Produtos[#All],4,0)</f>
        <v>Vestuário</v>
      </c>
      <c r="F64" s="1">
        <v>10</v>
      </c>
      <c r="G64" s="29">
        <f>VLOOKUP(TB_Vendas[[#This Row],[Código]],TB_Produtos[#All],6,0)</f>
        <v>25.9</v>
      </c>
      <c r="H64" s="120">
        <f>MATCH(TB_Vendas[[#This Row],[Categoria]],Desc_Categorias,0)</f>
        <v>3</v>
      </c>
      <c r="I64" s="69">
        <f>VLOOKUP(TB_Vendas[[#This Row],[Qtd]],Desc_TabelaToda,TB_Vendas[[#This Row],[Índice]],TRUE)</f>
        <v>0.3</v>
      </c>
      <c r="J64" s="69">
        <f>INDEX(Desc_TabelaToda,MATCH(TB_Vendas[[#This Row],[Qtd]],Desc_Quantidades,1),MATCH(VLOOKUP(TB_Vendas[[#This Row],[Código]],TB_Produtos[],4,0),Desc_Categorias,0))</f>
        <v>0.3</v>
      </c>
      <c r="K64" s="69">
        <f>VLOOKUP(TB_Vendas[[#This Row],[Vendedor]],Vendedores!$A$5:$D$9,4,0)</f>
        <v>0.2</v>
      </c>
      <c r="L64" s="69">
        <f>IF(TB_Vendas[[#This Row],[Desc.]]&gt;TB_Vendas[[#This Row],[Desc. Vendedor]],TB_Vendas[[#This Row],[Desc. Vendedor]],TB_Vendas[[#This Row],[Desc.]])</f>
        <v>0.2</v>
      </c>
      <c r="M64" s="8">
        <f>TB_Vendas[[#This Row],[Preço Unitário]]*TB_Vendas[[#This Row],[Qtd]]</f>
        <v>259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VLOOKUP(TB_Vendas[[#This Row],[Código]],TB_Produtos[#All],4,0)</f>
        <v>Vestuário</v>
      </c>
      <c r="F65" s="1">
        <v>1</v>
      </c>
      <c r="G65" s="29">
        <f>VLOOKUP(TB_Vendas[[#This Row],[Código]],TB_Produtos[#All],6,0)</f>
        <v>72.5</v>
      </c>
      <c r="H65" s="120">
        <f>MATCH(TB_Vendas[[#This Row],[Categoria]],Desc_Categorias,0)</f>
        <v>3</v>
      </c>
      <c r="I65" s="69">
        <f>VLOOKUP(TB_Vendas[[#This Row],[Qtd]],Desc_TabelaToda,TB_Vendas[[#This Row],[Índice]],TRUE)</f>
        <v>0.1</v>
      </c>
      <c r="J65" s="69">
        <f>INDEX(Desc_TabelaToda,MATCH(TB_Vendas[[#This Row],[Qtd]],Desc_Quantidades,1),MATCH(VLOOKUP(TB_Vendas[[#This Row],[Código]],TB_Produtos[],4,0),Desc_Categorias,0))</f>
        <v>0.1</v>
      </c>
      <c r="K65" s="69">
        <f>VLOOKUP(TB_Vendas[[#This Row],[Vendedor]],Vendedores!$A$5:$D$9,4,0)</f>
        <v>0.25</v>
      </c>
      <c r="L65" s="69">
        <f>IF(TB_Vendas[[#This Row],[Desc.]]&gt;TB_Vendas[[#This Row],[Desc. Vendedor]],TB_Vendas[[#This Row],[Desc. Vendedor]],TB_Vendas[[#This Row],[Desc.]])</f>
        <v>0.1</v>
      </c>
      <c r="M65" s="8">
        <f>TB_Vendas[[#This Row],[Preço Unitário]]*TB_Vendas[[#This Row],[Qtd]]</f>
        <v>72.5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VLOOKUP(TB_Vendas[[#This Row],[Código]],TB_Produtos[#All],4,0)</f>
        <v>Vestuário</v>
      </c>
      <c r="F66" s="1">
        <v>4</v>
      </c>
      <c r="G66" s="29">
        <f>VLOOKUP(TB_Vendas[[#This Row],[Código]],TB_Produtos[#All],6,0)</f>
        <v>302.89999999999998</v>
      </c>
      <c r="H66" s="120">
        <f>MATCH(TB_Vendas[[#This Row],[Categoria]],Desc_Categorias,0)</f>
        <v>3</v>
      </c>
      <c r="I66" s="69">
        <f>VLOOKUP(TB_Vendas[[#This Row],[Qtd]],Desc_TabelaToda,TB_Vendas[[#This Row],[Índice]],TRUE)</f>
        <v>0.2</v>
      </c>
      <c r="J66" s="69">
        <f>INDEX(Desc_TabelaToda,MATCH(TB_Vendas[[#This Row],[Qtd]],Desc_Quantidades,1),MATCH(VLOOKUP(TB_Vendas[[#This Row],[Código]],TB_Produtos[],4,0),Desc_Categorias,0))</f>
        <v>0.2</v>
      </c>
      <c r="K66" s="69">
        <f>VLOOKUP(TB_Vendas[[#This Row],[Vendedor]],Vendedores!$A$5:$D$9,4,0)</f>
        <v>0.15</v>
      </c>
      <c r="L66" s="69">
        <f>IF(TB_Vendas[[#This Row],[Desc.]]&gt;TB_Vendas[[#This Row],[Desc. Vendedor]],TB_Vendas[[#This Row],[Desc. Vendedor]],TB_Vendas[[#This Row],[Desc.]])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VLOOKUP(TB_Vendas[[#This Row],[Código]],TB_Produtos[#All],4,0)</f>
        <v>Vestuário</v>
      </c>
      <c r="F67" s="1">
        <v>8</v>
      </c>
      <c r="G67" s="29">
        <f>VLOOKUP(TB_Vendas[[#This Row],[Código]],TB_Produtos[#All],6,0)</f>
        <v>289.89999999999998</v>
      </c>
      <c r="H67" s="120">
        <f>MATCH(TB_Vendas[[#This Row],[Categoria]],Desc_Categorias,0)</f>
        <v>3</v>
      </c>
      <c r="I67" s="69">
        <f>VLOOKUP(TB_Vendas[[#This Row],[Qtd]],Desc_TabelaToda,TB_Vendas[[#This Row],[Índice]],TRUE)</f>
        <v>0.25</v>
      </c>
      <c r="J67" s="69">
        <f>INDEX(Desc_TabelaToda,MATCH(TB_Vendas[[#This Row],[Qtd]],Desc_Quantidades,1),MATCH(VLOOKUP(TB_Vendas[[#This Row],[Código]],TB_Produtos[],4,0),Desc_Categorias,0))</f>
        <v>0.25</v>
      </c>
      <c r="K67" s="69">
        <f>VLOOKUP(TB_Vendas[[#This Row],[Vendedor]],Vendedores!$A$5:$D$9,4,0)</f>
        <v>0.2</v>
      </c>
      <c r="L67" s="69">
        <f>IF(TB_Vendas[[#This Row],[Desc.]]&gt;TB_Vendas[[#This Row],[Desc. Vendedor]],TB_Vendas[[#This Row],[Desc. Vendedor]],TB_Vendas[[#This Row],[Desc.]])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VLOOKUP(TB_Vendas[[#This Row],[Código]],TB_Produtos[#All],4,0)</f>
        <v>Vestuário</v>
      </c>
      <c r="F68" s="1">
        <v>2</v>
      </c>
      <c r="G68" s="29">
        <f>VLOOKUP(TB_Vendas[[#This Row],[Código]],TB_Produtos[#All],6,0)</f>
        <v>54.9</v>
      </c>
      <c r="H68" s="120">
        <f>MATCH(TB_Vendas[[#This Row],[Categoria]],Desc_Categorias,0)</f>
        <v>3</v>
      </c>
      <c r="I68" s="69">
        <f>VLOOKUP(TB_Vendas[[#This Row],[Qtd]],Desc_TabelaToda,TB_Vendas[[#This Row],[Índice]],TRUE)</f>
        <v>0.15</v>
      </c>
      <c r="J68" s="69">
        <f>INDEX(Desc_TabelaToda,MATCH(TB_Vendas[[#This Row],[Qtd]],Desc_Quantidades,1),MATCH(VLOOKUP(TB_Vendas[[#This Row],[Código]],TB_Produtos[],4,0),Desc_Categorias,0))</f>
        <v>0.15</v>
      </c>
      <c r="K68" s="69">
        <f>VLOOKUP(TB_Vendas[[#This Row],[Vendedor]],Vendedores!$A$5:$D$9,4,0)</f>
        <v>0.2</v>
      </c>
      <c r="L68" s="69">
        <f>IF(TB_Vendas[[#This Row],[Desc.]]&gt;TB_Vendas[[#This Row],[Desc. Vendedor]],TB_Vendas[[#This Row],[Desc. Vendedor]],TB_Vendas[[#This Row],[Desc.]])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VLOOKUP(TB_Vendas[[#This Row],[Código]],TB_Produtos[#All],4,0)</f>
        <v>Vestuário</v>
      </c>
      <c r="F69" s="1">
        <v>2</v>
      </c>
      <c r="G69" s="29">
        <f>VLOOKUP(TB_Vendas[[#This Row],[Código]],TB_Produtos[#All],6,0)</f>
        <v>39.9</v>
      </c>
      <c r="H69" s="120">
        <f>MATCH(TB_Vendas[[#This Row],[Categoria]],Desc_Categorias,0)</f>
        <v>3</v>
      </c>
      <c r="I69" s="69">
        <f>VLOOKUP(TB_Vendas[[#This Row],[Qtd]],Desc_TabelaToda,TB_Vendas[[#This Row],[Índice]],TRUE)</f>
        <v>0.15</v>
      </c>
      <c r="J69" s="69">
        <f>INDEX(Desc_TabelaToda,MATCH(TB_Vendas[[#This Row],[Qtd]],Desc_Quantidades,1),MATCH(VLOOKUP(TB_Vendas[[#This Row],[Código]],TB_Produtos[],4,0),Desc_Categorias,0))</f>
        <v>0.15</v>
      </c>
      <c r="K69" s="69">
        <f>VLOOKUP(TB_Vendas[[#This Row],[Vendedor]],Vendedores!$A$5:$D$9,4,0)</f>
        <v>0.15</v>
      </c>
      <c r="L69" s="69">
        <f>IF(TB_Vendas[[#This Row],[Desc.]]&gt;TB_Vendas[[#This Row],[Desc. Vendedor]],TB_Vendas[[#This Row],[Desc. Vendedor]],TB_Vendas[[#This Row],[Desc.]])</f>
        <v>0.15</v>
      </c>
      <c r="M69" s="8">
        <f>TB_Vendas[[#This Row],[Preço Unitário]]*TB_Vendas[[#This Row],[Qtd]]</f>
        <v>79.8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VLOOKUP(TB_Vendas[[#This Row],[Código]],TB_Produtos[#All],4,0)</f>
        <v>Vestuário</v>
      </c>
      <c r="F70" s="1">
        <v>7</v>
      </c>
      <c r="G70" s="29">
        <f>VLOOKUP(TB_Vendas[[#This Row],[Código]],TB_Produtos[#All],6,0)</f>
        <v>54.9</v>
      </c>
      <c r="H70" s="120">
        <f>MATCH(TB_Vendas[[#This Row],[Categoria]],Desc_Categorias,0)</f>
        <v>3</v>
      </c>
      <c r="I70" s="69">
        <f>VLOOKUP(TB_Vendas[[#This Row],[Qtd]],Desc_TabelaToda,TB_Vendas[[#This Row],[Índice]],TRUE)</f>
        <v>0.25</v>
      </c>
      <c r="J70" s="69">
        <f>INDEX(Desc_TabelaToda,MATCH(TB_Vendas[[#This Row],[Qtd]],Desc_Quantidades,1),MATCH(VLOOKUP(TB_Vendas[[#This Row],[Código]],TB_Produtos[],4,0),Desc_Categorias,0))</f>
        <v>0.25</v>
      </c>
      <c r="K70" s="69">
        <f>VLOOKUP(TB_Vendas[[#This Row],[Vendedor]],Vendedores!$A$5:$D$9,4,0)</f>
        <v>0.2</v>
      </c>
      <c r="L70" s="69">
        <f>IF(TB_Vendas[[#This Row],[Desc.]]&gt;TB_Vendas[[#This Row],[Desc. Vendedor]],TB_Vendas[[#This Row],[Desc. Vendedor]],TB_Vendas[[#This Row],[Desc.]])</f>
        <v>0.2</v>
      </c>
      <c r="M70" s="8">
        <f>TB_Vendas[[#This Row],[Preço Unitário]]*TB_Vendas[[#This Row],[Qtd]]</f>
        <v>384.3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VLOOKUP(TB_Vendas[[#This Row],[Código]],TB_Produtos[#All],4,0)</f>
        <v>Vestuário</v>
      </c>
      <c r="F71" s="1">
        <v>4</v>
      </c>
      <c r="G71" s="29">
        <f>VLOOKUP(TB_Vendas[[#This Row],[Código]],TB_Produtos[#All],6,0)</f>
        <v>299.89999999999998</v>
      </c>
      <c r="H71" s="120">
        <f>MATCH(TB_Vendas[[#This Row],[Categoria]],Desc_Categorias,0)</f>
        <v>3</v>
      </c>
      <c r="I71" s="69">
        <f>VLOOKUP(TB_Vendas[[#This Row],[Qtd]],Desc_TabelaToda,TB_Vendas[[#This Row],[Índice]],TRUE)</f>
        <v>0.2</v>
      </c>
      <c r="J71" s="69">
        <f>INDEX(Desc_TabelaToda,MATCH(TB_Vendas[[#This Row],[Qtd]],Desc_Quantidades,1),MATCH(VLOOKUP(TB_Vendas[[#This Row],[Código]],TB_Produtos[],4,0),Desc_Categorias,0))</f>
        <v>0.2</v>
      </c>
      <c r="K71" s="69">
        <f>VLOOKUP(TB_Vendas[[#This Row],[Vendedor]],Vendedores!$A$5:$D$9,4,0)</f>
        <v>0.15</v>
      </c>
      <c r="L71" s="69">
        <f>IF(TB_Vendas[[#This Row],[Desc.]]&gt;TB_Vendas[[#This Row],[Desc. Vendedor]],TB_Vendas[[#This Row],[Desc. Vendedor]],TB_Vendas[[#This Row],[Desc.]])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VLOOKUP(TB_Vendas[[#This Row],[Código]],TB_Produtos[#All],4,0)</f>
        <v>Vestuário</v>
      </c>
      <c r="F72" s="1">
        <v>3</v>
      </c>
      <c r="G72" s="29">
        <f>VLOOKUP(TB_Vendas[[#This Row],[Código]],TB_Produtos[#All],6,0)</f>
        <v>259.89999999999998</v>
      </c>
      <c r="H72" s="120">
        <f>MATCH(TB_Vendas[[#This Row],[Categoria]],Desc_Categorias,0)</f>
        <v>3</v>
      </c>
      <c r="I72" s="69">
        <f>VLOOKUP(TB_Vendas[[#This Row],[Qtd]],Desc_TabelaToda,TB_Vendas[[#This Row],[Índice]],TRUE)</f>
        <v>0.2</v>
      </c>
      <c r="J72" s="69">
        <f>INDEX(Desc_TabelaToda,MATCH(TB_Vendas[[#This Row],[Qtd]],Desc_Quantidades,1),MATCH(VLOOKUP(TB_Vendas[[#This Row],[Código]],TB_Produtos[],4,0),Desc_Categorias,0))</f>
        <v>0.2</v>
      </c>
      <c r="K72" s="69">
        <f>VLOOKUP(TB_Vendas[[#This Row],[Vendedor]],Vendedores!$A$5:$D$9,4,0)</f>
        <v>0.2</v>
      </c>
      <c r="L72" s="69">
        <f>IF(TB_Vendas[[#This Row],[Desc.]]&gt;TB_Vendas[[#This Row],[Desc. Vendedor]],TB_Vendas[[#This Row],[Desc. Vendedor]],TB_Vendas[[#This Row],[Desc.]])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VLOOKUP(TB_Vendas[[#This Row],[Código]],TB_Produtos[#All],4,0)</f>
        <v>Vestuário</v>
      </c>
      <c r="F73" s="1">
        <v>9</v>
      </c>
      <c r="G73" s="29">
        <f>VLOOKUP(TB_Vendas[[#This Row],[Código]],TB_Produtos[#All],6,0)</f>
        <v>72.5</v>
      </c>
      <c r="H73" s="120">
        <f>MATCH(TB_Vendas[[#This Row],[Categoria]],Desc_Categorias,0)</f>
        <v>3</v>
      </c>
      <c r="I73" s="69">
        <f>VLOOKUP(TB_Vendas[[#This Row],[Qtd]],Desc_TabelaToda,TB_Vendas[[#This Row],[Índice]],TRUE)</f>
        <v>0.25</v>
      </c>
      <c r="J73" s="69">
        <f>INDEX(Desc_TabelaToda,MATCH(TB_Vendas[[#This Row],[Qtd]],Desc_Quantidades,1),MATCH(VLOOKUP(TB_Vendas[[#This Row],[Código]],TB_Produtos[],4,0),Desc_Categorias,0))</f>
        <v>0.25</v>
      </c>
      <c r="K73" s="69">
        <f>VLOOKUP(TB_Vendas[[#This Row],[Vendedor]],Vendedores!$A$5:$D$9,4,0)</f>
        <v>0.1</v>
      </c>
      <c r="L73" s="69">
        <f>IF(TB_Vendas[[#This Row],[Desc.]]&gt;TB_Vendas[[#This Row],[Desc. Vendedor]],TB_Vendas[[#This Row],[Desc. Vendedor]],TB_Vendas[[#This Row],[Desc.]])</f>
        <v>0.1</v>
      </c>
      <c r="M73" s="8">
        <f>TB_Vendas[[#This Row],[Preço Unitário]]*TB_Vendas[[#This Row],[Qtd]]</f>
        <v>652.5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VLOOKUP(TB_Vendas[[#This Row],[Código]],TB_Produtos[#All],4,0)</f>
        <v>Vestuário</v>
      </c>
      <c r="F74" s="1">
        <v>4</v>
      </c>
      <c r="G74" s="29">
        <f>VLOOKUP(TB_Vendas[[#This Row],[Código]],TB_Produtos[#All],6,0)</f>
        <v>300</v>
      </c>
      <c r="H74" s="120">
        <f>MATCH(TB_Vendas[[#This Row],[Categoria]],Desc_Categorias,0)</f>
        <v>3</v>
      </c>
      <c r="I74" s="69">
        <f>VLOOKUP(TB_Vendas[[#This Row],[Qtd]],Desc_TabelaToda,TB_Vendas[[#This Row],[Índice]],TRUE)</f>
        <v>0.2</v>
      </c>
      <c r="J74" s="69">
        <f>INDEX(Desc_TabelaToda,MATCH(TB_Vendas[[#This Row],[Qtd]],Desc_Quantidades,1),MATCH(VLOOKUP(TB_Vendas[[#This Row],[Código]],TB_Produtos[],4,0),Desc_Categorias,0))</f>
        <v>0.2</v>
      </c>
      <c r="K74" s="69">
        <f>VLOOKUP(TB_Vendas[[#This Row],[Vendedor]],Vendedores!$A$5:$D$9,4,0)</f>
        <v>0.15</v>
      </c>
      <c r="L74" s="69">
        <f>IF(TB_Vendas[[#This Row],[Desc.]]&gt;TB_Vendas[[#This Row],[Desc. Vendedor]],TB_Vendas[[#This Row],[Desc. Vendedor]],TB_Vendas[[#This Row],[Desc.]])</f>
        <v>0.15</v>
      </c>
      <c r="M74" s="8">
        <f>TB_Vendas[[#This Row],[Preço Unitário]]*TB_Vendas[[#This Row],[Qtd]]</f>
        <v>1200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VLOOKUP(TB_Vendas[[#This Row],[Código]],TB_Produtos[#All],4,0)</f>
        <v>Vestuário</v>
      </c>
      <c r="F75" s="1">
        <v>9</v>
      </c>
      <c r="G75" s="29">
        <f>VLOOKUP(TB_Vendas[[#This Row],[Código]],TB_Produtos[#All],6,0)</f>
        <v>65.900000000000006</v>
      </c>
      <c r="H75" s="120">
        <f>MATCH(TB_Vendas[[#This Row],[Categoria]],Desc_Categorias,0)</f>
        <v>3</v>
      </c>
      <c r="I75" s="69">
        <f>VLOOKUP(TB_Vendas[[#This Row],[Qtd]],Desc_TabelaToda,TB_Vendas[[#This Row],[Índice]],TRUE)</f>
        <v>0.25</v>
      </c>
      <c r="J75" s="69">
        <f>INDEX(Desc_TabelaToda,MATCH(TB_Vendas[[#This Row],[Qtd]],Desc_Quantidades,1),MATCH(VLOOKUP(TB_Vendas[[#This Row],[Código]],TB_Produtos[],4,0),Desc_Categorias,0))</f>
        <v>0.25</v>
      </c>
      <c r="K75" s="69">
        <f>VLOOKUP(TB_Vendas[[#This Row],[Vendedor]],Vendedores!$A$5:$D$9,4,0)</f>
        <v>0.15</v>
      </c>
      <c r="L75" s="69">
        <f>IF(TB_Vendas[[#This Row],[Desc.]]&gt;TB_Vendas[[#This Row],[Desc. Vendedor]],TB_Vendas[[#This Row],[Desc. Vendedor]],TB_Vendas[[#This Row],[Desc.]])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VLOOKUP(TB_Vendas[[#This Row],[Código]],TB_Produtos[#All],4,0)</f>
        <v>Vestuário</v>
      </c>
      <c r="F76" s="1">
        <v>10</v>
      </c>
      <c r="G76" s="29">
        <f>VLOOKUP(TB_Vendas[[#This Row],[Código]],TB_Produtos[#All],6,0)</f>
        <v>92.9</v>
      </c>
      <c r="H76" s="120">
        <f>MATCH(TB_Vendas[[#This Row],[Categoria]],Desc_Categorias,0)</f>
        <v>3</v>
      </c>
      <c r="I76" s="69">
        <f>VLOOKUP(TB_Vendas[[#This Row],[Qtd]],Desc_TabelaToda,TB_Vendas[[#This Row],[Índice]],TRUE)</f>
        <v>0.3</v>
      </c>
      <c r="J76" s="69">
        <f>INDEX(Desc_TabelaToda,MATCH(TB_Vendas[[#This Row],[Qtd]],Desc_Quantidades,1),MATCH(VLOOKUP(TB_Vendas[[#This Row],[Código]],TB_Produtos[],4,0),Desc_Categorias,0))</f>
        <v>0.3</v>
      </c>
      <c r="K76" s="69">
        <f>VLOOKUP(TB_Vendas[[#This Row],[Vendedor]],Vendedores!$A$5:$D$9,4,0)</f>
        <v>0.15</v>
      </c>
      <c r="L76" s="69">
        <f>IF(TB_Vendas[[#This Row],[Desc.]]&gt;TB_Vendas[[#This Row],[Desc. Vendedor]],TB_Vendas[[#This Row],[Desc. Vendedor]],TB_Vendas[[#This Row],[Desc.]])</f>
        <v>0.15</v>
      </c>
      <c r="M76" s="8">
        <f>TB_Vendas[[#This Row],[Preço Unitário]]*TB_Vendas[[#This Row],[Qtd]]</f>
        <v>929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VLOOKUP(TB_Vendas[[#This Row],[Código]],TB_Produtos[#All],4,0)</f>
        <v>Calçado</v>
      </c>
      <c r="F77" s="1">
        <v>1</v>
      </c>
      <c r="G77" s="29">
        <f>VLOOKUP(TB_Vendas[[#This Row],[Código]],TB_Produtos[#All],6,0)</f>
        <v>89.9</v>
      </c>
      <c r="H77" s="120">
        <f>MATCH(TB_Vendas[[#This Row],[Categoria]],Desc_Categorias,0)</f>
        <v>4</v>
      </c>
      <c r="I77" s="69">
        <f>VLOOKUP(TB_Vendas[[#This Row],[Qtd]],Desc_TabelaToda,TB_Vendas[[#This Row],[Índice]],TRUE)</f>
        <v>0</v>
      </c>
      <c r="J77" s="69">
        <f>INDEX(Desc_TabelaToda,MATCH(TB_Vendas[[#This Row],[Qtd]],Desc_Quantidades,1),MATCH(VLOOKUP(TB_Vendas[[#This Row],[Código]],TB_Produtos[],4,0),Desc_Categorias,0))</f>
        <v>0</v>
      </c>
      <c r="K77" s="69">
        <f>VLOOKUP(TB_Vendas[[#This Row],[Vendedor]],Vendedores!$A$5:$D$9,4,0)</f>
        <v>0.1</v>
      </c>
      <c r="L77" s="69">
        <f>IF(TB_Vendas[[#This Row],[Desc.]]&gt;TB_Vendas[[#This Row],[Desc. Vendedor]],TB_Vendas[[#This Row],[Desc. Vendedor]],TB_Vendas[[#This Row],[Desc.]])</f>
        <v>0</v>
      </c>
      <c r="M77" s="8">
        <f>TB_Vendas[[#This Row],[Preço Unitário]]*TB_Vendas[[#This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VLOOKUP(TB_Vendas[[#This Row],[Código]],TB_Produtos[#All],4,0)</f>
        <v>Vestuário</v>
      </c>
      <c r="F78" s="1">
        <v>2</v>
      </c>
      <c r="G78" s="29">
        <f>VLOOKUP(TB_Vendas[[#This Row],[Código]],TB_Produtos[#All],6,0)</f>
        <v>49.9</v>
      </c>
      <c r="H78" s="120">
        <f>MATCH(TB_Vendas[[#This Row],[Categoria]],Desc_Categorias,0)</f>
        <v>3</v>
      </c>
      <c r="I78" s="69">
        <f>VLOOKUP(TB_Vendas[[#This Row],[Qtd]],Desc_TabelaToda,TB_Vendas[[#This Row],[Índice]],TRUE)</f>
        <v>0.15</v>
      </c>
      <c r="J78" s="69">
        <f>INDEX(Desc_TabelaToda,MATCH(TB_Vendas[[#This Row],[Qtd]],Desc_Quantidades,1),MATCH(VLOOKUP(TB_Vendas[[#This Row],[Código]],TB_Produtos[],4,0),Desc_Categorias,0))</f>
        <v>0.15</v>
      </c>
      <c r="K78" s="69">
        <f>VLOOKUP(TB_Vendas[[#This Row],[Vendedor]],Vendedores!$A$5:$D$9,4,0)</f>
        <v>0.1</v>
      </c>
      <c r="L78" s="69">
        <f>IF(TB_Vendas[[#This Row],[Desc.]]&gt;TB_Vendas[[#This Row],[Desc. Vendedor]],TB_Vendas[[#This Row],[Desc. Vendedor]],TB_Vendas[[#This Row],[Desc.]])</f>
        <v>0.1</v>
      </c>
      <c r="M78" s="8">
        <f>TB_Vendas[[#This Row],[Preço Unitário]]*TB_Vendas[[#This Row],[Qtd]]</f>
        <v>99.8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VLOOKUP(TB_Vendas[[#This Row],[Código]],TB_Produtos[#All],4,0)</f>
        <v>Vestuário</v>
      </c>
      <c r="F79" s="1">
        <v>8</v>
      </c>
      <c r="G79" s="29">
        <f>VLOOKUP(TB_Vendas[[#This Row],[Código]],TB_Produtos[#All],6,0)</f>
        <v>70</v>
      </c>
      <c r="H79" s="120">
        <f>MATCH(TB_Vendas[[#This Row],[Categoria]],Desc_Categorias,0)</f>
        <v>3</v>
      </c>
      <c r="I79" s="69">
        <f>VLOOKUP(TB_Vendas[[#This Row],[Qtd]],Desc_TabelaToda,TB_Vendas[[#This Row],[Índice]],TRUE)</f>
        <v>0.25</v>
      </c>
      <c r="J79" s="69">
        <f>INDEX(Desc_TabelaToda,MATCH(TB_Vendas[[#This Row],[Qtd]],Desc_Quantidades,1),MATCH(VLOOKUP(TB_Vendas[[#This Row],[Código]],TB_Produtos[],4,0),Desc_Categorias,0))</f>
        <v>0.25</v>
      </c>
      <c r="K79" s="69">
        <f>VLOOKUP(TB_Vendas[[#This Row],[Vendedor]],Vendedores!$A$5:$D$9,4,0)</f>
        <v>0.25</v>
      </c>
      <c r="L79" s="69">
        <f>IF(TB_Vendas[[#This Row],[Desc.]]&gt;TB_Vendas[[#This Row],[Desc. Vendedor]],TB_Vendas[[#This Row],[Desc. Vendedor]],TB_Vendas[[#This Row],[Desc.]])</f>
        <v>0.25</v>
      </c>
      <c r="M79" s="8">
        <f>TB_Vendas[[#This Row],[Preço Unitário]]*TB_Vendas[[#This Row],[Qtd]]</f>
        <v>560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VLOOKUP(TB_Vendas[[#This Row],[Código]],TB_Produtos[#All],4,0)</f>
        <v>Vestuário</v>
      </c>
      <c r="F80" s="1">
        <v>5</v>
      </c>
      <c r="G80" s="29">
        <f>VLOOKUP(TB_Vendas[[#This Row],[Código]],TB_Produtos[#All],6,0)</f>
        <v>46.9</v>
      </c>
      <c r="H80" s="120">
        <f>MATCH(TB_Vendas[[#This Row],[Categoria]],Desc_Categorias,0)</f>
        <v>3</v>
      </c>
      <c r="I80" s="69">
        <f>VLOOKUP(TB_Vendas[[#This Row],[Qtd]],Desc_TabelaToda,TB_Vendas[[#This Row],[Índice]],TRUE)</f>
        <v>0.25</v>
      </c>
      <c r="J80" s="69">
        <f>INDEX(Desc_TabelaToda,MATCH(TB_Vendas[[#This Row],[Qtd]],Desc_Quantidades,1),MATCH(VLOOKUP(TB_Vendas[[#This Row],[Código]],TB_Produtos[],4,0),Desc_Categorias,0))</f>
        <v>0.25</v>
      </c>
      <c r="K80" s="69">
        <f>VLOOKUP(TB_Vendas[[#This Row],[Vendedor]],Vendedores!$A$5:$D$9,4,0)</f>
        <v>0.1</v>
      </c>
      <c r="L80" s="69">
        <f>IF(TB_Vendas[[#This Row],[Desc.]]&gt;TB_Vendas[[#This Row],[Desc. Vendedor]],TB_Vendas[[#This Row],[Desc. Vendedor]],TB_Vendas[[#This Row],[Desc.]])</f>
        <v>0.1</v>
      </c>
      <c r="M80" s="8">
        <f>TB_Vendas[[#This Row],[Preço Unitário]]*TB_Vendas[[#This Row],[Qtd]]</f>
        <v>234.5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VLOOKUP(TB_Vendas[[#This Row],[Código]],TB_Produtos[#All],4,0)</f>
        <v>Vestuário</v>
      </c>
      <c r="F81" s="1">
        <v>10</v>
      </c>
      <c r="G81" s="29">
        <f>VLOOKUP(TB_Vendas[[#This Row],[Código]],TB_Produtos[#All],6,0)</f>
        <v>289.89999999999998</v>
      </c>
      <c r="H81" s="120">
        <f>MATCH(TB_Vendas[[#This Row],[Categoria]],Desc_Categorias,0)</f>
        <v>3</v>
      </c>
      <c r="I81" s="69">
        <f>VLOOKUP(TB_Vendas[[#This Row],[Qtd]],Desc_TabelaToda,TB_Vendas[[#This Row],[Índice]],TRUE)</f>
        <v>0.3</v>
      </c>
      <c r="J81" s="69">
        <f>INDEX(Desc_TabelaToda,MATCH(TB_Vendas[[#This Row],[Qtd]],Desc_Quantidades,1),MATCH(VLOOKUP(TB_Vendas[[#This Row],[Código]],TB_Produtos[],4,0),Desc_Categorias,0))</f>
        <v>0.3</v>
      </c>
      <c r="K81" s="69">
        <f>VLOOKUP(TB_Vendas[[#This Row],[Vendedor]],Vendedores!$A$5:$D$9,4,0)</f>
        <v>0.25</v>
      </c>
      <c r="L81" s="69">
        <f>IF(TB_Vendas[[#This Row],[Desc.]]&gt;TB_Vendas[[#This Row],[Desc. Vendedor]],TB_Vendas[[#This Row],[Desc. Vendedor]],TB_Vendas[[#This Row],[Desc.]])</f>
        <v>0.25</v>
      </c>
      <c r="M81" s="8">
        <f>TB_Vendas[[#This Row],[Preço Unitário]]*TB_Vendas[[#This Row],[Qtd]]</f>
        <v>2899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VLOOKUP(TB_Vendas[[#This Row],[Código]],TB_Produtos[#All],4,0)</f>
        <v>Vestuário</v>
      </c>
      <c r="F82" s="1">
        <v>1</v>
      </c>
      <c r="G82" s="29">
        <f>VLOOKUP(TB_Vendas[[#This Row],[Código]],TB_Produtos[#All],6,0)</f>
        <v>42.5</v>
      </c>
      <c r="H82" s="120">
        <f>MATCH(TB_Vendas[[#This Row],[Categoria]],Desc_Categorias,0)</f>
        <v>3</v>
      </c>
      <c r="I82" s="69">
        <f>VLOOKUP(TB_Vendas[[#This Row],[Qtd]],Desc_TabelaToda,TB_Vendas[[#This Row],[Índice]],TRUE)</f>
        <v>0.1</v>
      </c>
      <c r="J82" s="69">
        <f>INDEX(Desc_TabelaToda,MATCH(TB_Vendas[[#This Row],[Qtd]],Desc_Quantidades,1),MATCH(VLOOKUP(TB_Vendas[[#This Row],[Código]],TB_Produtos[],4,0),Desc_Categorias,0))</f>
        <v>0.1</v>
      </c>
      <c r="K82" s="69">
        <f>VLOOKUP(TB_Vendas[[#This Row],[Vendedor]],Vendedores!$A$5:$D$9,4,0)</f>
        <v>0.1</v>
      </c>
      <c r="L82" s="69">
        <f>IF(TB_Vendas[[#This Row],[Desc.]]&gt;TB_Vendas[[#This Row],[Desc. Vendedor]],TB_Vendas[[#This Row],[Desc. Vendedor]],TB_Vendas[[#This Row],[Desc.]])</f>
        <v>0.1</v>
      </c>
      <c r="M82" s="8">
        <f>TB_Vendas[[#This Row],[Preço Unitário]]*TB_Vendas[[#This Row],[Qtd]]</f>
        <v>42.5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VLOOKUP(TB_Vendas[[#This Row],[Código]],TB_Produtos[#All],4,0)</f>
        <v>Calçado</v>
      </c>
      <c r="F83" s="1">
        <v>2</v>
      </c>
      <c r="G83" s="29">
        <f>VLOOKUP(TB_Vendas[[#This Row],[Código]],TB_Produtos[#All],6,0)</f>
        <v>89.9</v>
      </c>
      <c r="H83" s="120">
        <f>MATCH(TB_Vendas[[#This Row],[Categoria]],Desc_Categorias,0)</f>
        <v>4</v>
      </c>
      <c r="I83" s="69">
        <f>VLOOKUP(TB_Vendas[[#This Row],[Qtd]],Desc_TabelaToda,TB_Vendas[[#This Row],[Índice]],TRUE)</f>
        <v>0.1</v>
      </c>
      <c r="J83" s="69">
        <f>INDEX(Desc_TabelaToda,MATCH(TB_Vendas[[#This Row],[Qtd]],Desc_Quantidades,1),MATCH(VLOOKUP(TB_Vendas[[#This Row],[Código]],TB_Produtos[],4,0),Desc_Categorias,0))</f>
        <v>0.1</v>
      </c>
      <c r="K83" s="69">
        <f>VLOOKUP(TB_Vendas[[#This Row],[Vendedor]],Vendedores!$A$5:$D$9,4,0)</f>
        <v>0.25</v>
      </c>
      <c r="L83" s="69">
        <f>IF(TB_Vendas[[#This Row],[Desc.]]&gt;TB_Vendas[[#This Row],[Desc. Vendedor]],TB_Vendas[[#This Row],[Desc. Vendedor]],TB_Vendas[[#This Row],[Desc.]])</f>
        <v>0.1</v>
      </c>
      <c r="M83" s="8">
        <f>TB_Vendas[[#This Row],[Preço Unitário]]*TB_Vendas[[#This Row],[Qtd]]</f>
        <v>179.8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VLOOKUP(TB_Vendas[[#This Row],[Código]],TB_Produtos[#All],4,0)</f>
        <v>Calçado</v>
      </c>
      <c r="F84" s="1">
        <v>3</v>
      </c>
      <c r="G84" s="29">
        <f>VLOOKUP(TB_Vendas[[#This Row],[Código]],TB_Produtos[#All],6,0)</f>
        <v>255</v>
      </c>
      <c r="H84" s="120">
        <f>MATCH(TB_Vendas[[#This Row],[Categoria]],Desc_Categorias,0)</f>
        <v>4</v>
      </c>
      <c r="I84" s="69">
        <f>VLOOKUP(TB_Vendas[[#This Row],[Qtd]],Desc_TabelaToda,TB_Vendas[[#This Row],[Índice]],TRUE)</f>
        <v>0.15</v>
      </c>
      <c r="J84" s="69">
        <f>INDEX(Desc_TabelaToda,MATCH(TB_Vendas[[#This Row],[Qtd]],Desc_Quantidades,1),MATCH(VLOOKUP(TB_Vendas[[#This Row],[Código]],TB_Produtos[],4,0),Desc_Categorias,0))</f>
        <v>0.15</v>
      </c>
      <c r="K84" s="69">
        <f>VLOOKUP(TB_Vendas[[#This Row],[Vendedor]],Vendedores!$A$5:$D$9,4,0)</f>
        <v>0.2</v>
      </c>
      <c r="L84" s="69">
        <f>IF(TB_Vendas[[#This Row],[Desc.]]&gt;TB_Vendas[[#This Row],[Desc. Vendedor]],TB_Vendas[[#This Row],[Desc. Vendedor]],TB_Vendas[[#This Row],[Desc.]])</f>
        <v>0.15</v>
      </c>
      <c r="M84" s="8">
        <f>TB_Vendas[[#This Row],[Preço Unitário]]*TB_Vendas[[#This Row],[Qtd]]</f>
        <v>765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VLOOKUP(TB_Vendas[[#This Row],[Código]],TB_Produtos[#All],4,0)</f>
        <v>Vestuário</v>
      </c>
      <c r="F85" s="1">
        <v>6</v>
      </c>
      <c r="G85" s="29">
        <f>VLOOKUP(TB_Vendas[[#This Row],[Código]],TB_Produtos[#All],6,0)</f>
        <v>42.5</v>
      </c>
      <c r="H85" s="120">
        <f>MATCH(TB_Vendas[[#This Row],[Categoria]],Desc_Categorias,0)</f>
        <v>3</v>
      </c>
      <c r="I85" s="69">
        <f>VLOOKUP(TB_Vendas[[#This Row],[Qtd]],Desc_TabelaToda,TB_Vendas[[#This Row],[Índice]],TRUE)</f>
        <v>0.25</v>
      </c>
      <c r="J85" s="69">
        <f>INDEX(Desc_TabelaToda,MATCH(TB_Vendas[[#This Row],[Qtd]],Desc_Quantidades,1),MATCH(VLOOKUP(TB_Vendas[[#This Row],[Código]],TB_Produtos[],4,0),Desc_Categorias,0))</f>
        <v>0.25</v>
      </c>
      <c r="K85" s="69">
        <f>VLOOKUP(TB_Vendas[[#This Row],[Vendedor]],Vendedores!$A$5:$D$9,4,0)</f>
        <v>0.2</v>
      </c>
      <c r="L85" s="69">
        <f>IF(TB_Vendas[[#This Row],[Desc.]]&gt;TB_Vendas[[#This Row],[Desc. Vendedor]],TB_Vendas[[#This Row],[Desc. Vendedor]],TB_Vendas[[#This Row],[Desc.]])</f>
        <v>0.2</v>
      </c>
      <c r="M85" s="8">
        <f>TB_Vendas[[#This Row],[Preço Unitário]]*TB_Vendas[[#This Row],[Qtd]]</f>
        <v>255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VLOOKUP(TB_Vendas[[#This Row],[Código]],TB_Produtos[#All],4,0)</f>
        <v>Vestuário</v>
      </c>
      <c r="F86" s="1">
        <v>8</v>
      </c>
      <c r="G86" s="29">
        <f>VLOOKUP(TB_Vendas[[#This Row],[Código]],TB_Produtos[#All],6,0)</f>
        <v>39.9</v>
      </c>
      <c r="H86" s="120">
        <f>MATCH(TB_Vendas[[#This Row],[Categoria]],Desc_Categorias,0)</f>
        <v>3</v>
      </c>
      <c r="I86" s="69">
        <f>VLOOKUP(TB_Vendas[[#This Row],[Qtd]],Desc_TabelaToda,TB_Vendas[[#This Row],[Índice]],TRUE)</f>
        <v>0.25</v>
      </c>
      <c r="J86" s="69">
        <f>INDEX(Desc_TabelaToda,MATCH(TB_Vendas[[#This Row],[Qtd]],Desc_Quantidades,1),MATCH(VLOOKUP(TB_Vendas[[#This Row],[Código]],TB_Produtos[],4,0),Desc_Categorias,0))</f>
        <v>0.25</v>
      </c>
      <c r="K86" s="69">
        <f>VLOOKUP(TB_Vendas[[#This Row],[Vendedor]],Vendedores!$A$5:$D$9,4,0)</f>
        <v>0.25</v>
      </c>
      <c r="L86" s="69">
        <f>IF(TB_Vendas[[#This Row],[Desc.]]&gt;TB_Vendas[[#This Row],[Desc. Vendedor]],TB_Vendas[[#This Row],[Desc. Vendedor]],TB_Vendas[[#This Row],[Desc.]])</f>
        <v>0.25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3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workbookViewId="0">
      <selection activeCell="E18" sqref="E18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6" t="s">
        <v>154</v>
      </c>
      <c r="C4" s="86"/>
      <c r="D4" s="42"/>
      <c r="E4" s="86" t="s">
        <v>161</v>
      </c>
      <c r="F4" s="86"/>
    </row>
    <row r="5" spans="1:9" ht="5.25" customHeight="1" thickBot="1"/>
    <row r="6" spans="1:9" ht="24.6" customHeight="1" thickBot="1">
      <c r="B6" s="71" t="s">
        <v>155</v>
      </c>
      <c r="C6" s="70" t="s">
        <v>60</v>
      </c>
      <c r="E6" s="71" t="s">
        <v>160</v>
      </c>
      <c r="F6" s="75">
        <v>45024</v>
      </c>
    </row>
    <row r="7" spans="1:9" ht="24.6" customHeight="1" thickTop="1" thickBot="1">
      <c r="B7" s="71" t="s">
        <v>156</v>
      </c>
      <c r="C7" s="50" t="str">
        <f>VLOOKUP(C6,TB_Produtos[#All],2,0)</f>
        <v>Tênis Atitas</v>
      </c>
      <c r="E7" s="71" t="s">
        <v>163</v>
      </c>
      <c r="F7" s="50" t="str">
        <f>IFERROR(HLOOKUP(WEEKDAY(F6),'Cadastros Auxiliares'!B4:I5,2,FALSE),"")</f>
        <v>Sábado</v>
      </c>
      <c r="G7" s="49"/>
    </row>
    <row r="8" spans="1:9" ht="24.6" customHeight="1" thickTop="1" thickBot="1">
      <c r="B8" s="71" t="s">
        <v>156</v>
      </c>
      <c r="C8" s="50" t="str">
        <f>VLOOKUP(C6,TB_Produtos[#All],MATCH("Produtos", TB_Produtos[#Headers], 0),0)</f>
        <v>Tênis Atitas</v>
      </c>
      <c r="E8" s="72" t="s">
        <v>164</v>
      </c>
      <c r="F8" s="76"/>
      <c r="G8" s="49"/>
    </row>
    <row r="9" spans="1:9" ht="24.6" customHeight="1" thickTop="1" thickBot="1">
      <c r="B9" s="72" t="s">
        <v>157</v>
      </c>
      <c r="C9" s="48">
        <f>IFERROR(VLOOKUP(C6,TB_Produtos[#All],3,FALSE),"Não encontrado")</f>
        <v>37</v>
      </c>
      <c r="E9" s="74" t="s">
        <v>162</v>
      </c>
      <c r="F9" s="51">
        <f>SUMIF(TB_Vendas[[#All],[Data]],Consultas!$F$6,TB_Vendas[[#All],[Qtd]])</f>
        <v>3</v>
      </c>
      <c r="G9" s="49"/>
    </row>
    <row r="10" spans="1:9" ht="24.6" customHeight="1" thickTop="1" thickBot="1">
      <c r="B10" s="73" t="s">
        <v>158</v>
      </c>
      <c r="C10" s="48" t="str">
        <f>IFERROR(VLOOKUP($C$6,Produtos!$B$6:$G$66,4,0),"Não encontrado")</f>
        <v>Calçado</v>
      </c>
      <c r="G10" s="49"/>
    </row>
    <row r="11" spans="1:9" ht="24.6" customHeight="1" thickTop="1" thickBot="1">
      <c r="B11" s="73" t="s">
        <v>165</v>
      </c>
      <c r="C11" s="79">
        <f>IFERROR(VLOOKUP($C$6,Produtos!$B$6:$G$66,6,0),"Não encontrado")</f>
        <v>255</v>
      </c>
      <c r="F11" t="s">
        <v>166</v>
      </c>
      <c r="G11" s="49"/>
    </row>
    <row r="12" spans="1:9" ht="22.5" thickTop="1" thickBot="1">
      <c r="B12" s="71" t="s">
        <v>159</v>
      </c>
      <c r="C12" s="48">
        <f>VLOOKUP(C6,TB_Produtos[#All],5,FALSE)</f>
        <v>41</v>
      </c>
      <c r="E12" s="77"/>
      <c r="F12" t="s">
        <v>167</v>
      </c>
    </row>
    <row r="13" spans="1:9" ht="24.75" thickTop="1" thickBot="1">
      <c r="B13" s="71" t="s">
        <v>168</v>
      </c>
      <c r="C13" s="48" t="str">
        <f>IF(C12&gt;10,"Estoque OK", IF(C12=0,"Estoque zerado", "Rever estoque"))</f>
        <v>Estoque OK</v>
      </c>
      <c r="E13" s="78"/>
    </row>
    <row r="14" spans="1:9" ht="26.25" customHeight="1" thickTop="1" thickBot="1">
      <c r="B14" s="71" t="s">
        <v>169</v>
      </c>
      <c r="C14" s="48" t="str">
        <f>_xlfn.IFS(C12=0,"Estoque Zerado",C12&gt;=C15,"Estoque ok",1, "Rever estoque")</f>
        <v>Estoque ok</v>
      </c>
      <c r="E14" s="50" t="str">
        <f>INDEX(TB_Produtos[Categoria],MATCH(C6,TB_Produtos[Código],0))</f>
        <v>Calçado</v>
      </c>
    </row>
    <row r="15" spans="1:9" ht="19.5" thickTop="1" thickBot="1">
      <c r="B15" s="71" t="s">
        <v>170</v>
      </c>
      <c r="C15" s="81">
        <f>VLOOKUP(C10,'Cadastros Auxiliares'!G8:H11,2,FALSE)</f>
        <v>15</v>
      </c>
    </row>
    <row r="16" spans="1:9" ht="19.5" thickTop="1" thickBot="1">
      <c r="B16" s="71" t="s">
        <v>169</v>
      </c>
      <c r="C16" s="48" t="str">
        <f>_xlfn.IFS(C14=0,"Estoque Zerado",C14&gt;=VLOOKUP(C10,'Cadastros Auxiliares'!G8:H11,2,FALSE),"Estoque ok",1, "Rever estoque")</f>
        <v>Estoque ok</v>
      </c>
    </row>
    <row r="17" spans="5:5" ht="15.75" thickTop="1"/>
    <row r="18" spans="5:5">
      <c r="E18">
        <f>MATCH("Produtos", TB_Produtos[#Headers], 0)</f>
        <v>2</v>
      </c>
    </row>
    <row r="19" spans="5:5"/>
    <row r="20" spans="5:5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1"/>
  <sheetViews>
    <sheetView zoomScale="130" zoomScaleNormal="130" workbookViewId="0">
      <selection activeCell="F18" sqref="F18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18.7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18.7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36.75" thickBot="1">
      <c r="B8" s="60" t="s">
        <v>153</v>
      </c>
      <c r="C8" s="61" t="s">
        <v>13</v>
      </c>
      <c r="D8" s="61" t="s">
        <v>12</v>
      </c>
      <c r="E8" s="61" t="s">
        <v>14</v>
      </c>
      <c r="G8" s="60" t="s">
        <v>10</v>
      </c>
      <c r="H8" s="60" t="s">
        <v>170</v>
      </c>
    </row>
    <row r="9" spans="2:10" ht="15.75" thickBot="1">
      <c r="B9" s="55">
        <v>1</v>
      </c>
      <c r="C9" s="59">
        <v>0</v>
      </c>
      <c r="D9" s="59">
        <v>0.1</v>
      </c>
      <c r="E9" s="62">
        <v>0</v>
      </c>
      <c r="G9" s="55" t="s">
        <v>13</v>
      </c>
      <c r="H9" s="80">
        <v>5</v>
      </c>
    </row>
    <row r="10" spans="2:10" ht="15.75" thickBot="1">
      <c r="B10" s="55">
        <v>2</v>
      </c>
      <c r="C10" s="59">
        <v>0.05</v>
      </c>
      <c r="D10" s="59">
        <v>0.15</v>
      </c>
      <c r="E10" s="62">
        <v>0.1</v>
      </c>
      <c r="G10" s="55" t="s">
        <v>12</v>
      </c>
      <c r="H10" s="80">
        <v>10</v>
      </c>
    </row>
    <row r="11" spans="2:10" ht="15.75" thickBot="1">
      <c r="B11" s="55">
        <v>3</v>
      </c>
      <c r="C11" s="59">
        <v>0.15</v>
      </c>
      <c r="D11" s="59">
        <v>0.2</v>
      </c>
      <c r="E11" s="62">
        <v>0.15</v>
      </c>
      <c r="G11" s="55" t="s">
        <v>14</v>
      </c>
      <c r="H11" s="80">
        <v>15</v>
      </c>
    </row>
    <row r="12" spans="2:10" ht="15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5.75" thickBot="1">
      <c r="B13" s="55">
        <v>10</v>
      </c>
      <c r="C13" s="59">
        <v>0.3</v>
      </c>
      <c r="D13" s="59">
        <v>0.3</v>
      </c>
      <c r="E13" s="62">
        <v>0.3</v>
      </c>
    </row>
    <row r="16" spans="2:10">
      <c r="D16" t="s">
        <v>171</v>
      </c>
    </row>
    <row r="17" spans="3:7">
      <c r="C17" s="82" t="s">
        <v>38</v>
      </c>
      <c r="D17">
        <f>MATCH(C19,B8:E8,0)</f>
        <v>3</v>
      </c>
    </row>
    <row r="18" spans="3:7">
      <c r="C18">
        <v>3</v>
      </c>
      <c r="D18" s="83">
        <f>VLOOKUP(C18,B8:E13,MATCH(C19,B8:E8,0),1)</f>
        <v>0.2</v>
      </c>
      <c r="F18">
        <f>MATCH(VLOOKUP(C17,TB_Produtos[],4,0),Desc_Categorias,0)</f>
        <v>3</v>
      </c>
      <c r="G18" t="s">
        <v>172</v>
      </c>
    </row>
    <row r="19" spans="3:7">
      <c r="C19" t="str">
        <f>VLOOKUP(C17,TB_Produtos[],4,0)</f>
        <v>Vestuário</v>
      </c>
      <c r="F19">
        <f>MATCH(C18,B8:B13,1)</f>
        <v>4</v>
      </c>
      <c r="G19" t="s">
        <v>173</v>
      </c>
    </row>
    <row r="20" spans="3:7">
      <c r="F20">
        <f>INDEX(B8:E13,F19,F18)</f>
        <v>0.2</v>
      </c>
    </row>
    <row r="21" spans="3:7">
      <c r="F21">
        <f>INDEX(B8:E13,MATCH(C18,B8:B13,1),MATCH(C19,B8:E8,0))</f>
        <v>0.2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7" t="s">
        <v>78</v>
      </c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9"/>
      <c r="AQ2" s="87" t="s">
        <v>79</v>
      </c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9"/>
      <c r="BK2" s="87" t="s">
        <v>80</v>
      </c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9"/>
    </row>
    <row r="3" spans="3:80" ht="9.75" customHeight="1" thickBot="1">
      <c r="W3" s="90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  <c r="AQ3" s="90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2"/>
      <c r="BK3" s="90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2"/>
    </row>
    <row r="4" spans="3:80" ht="9.75" customHeight="1">
      <c r="W4" s="102">
        <f>COUNTA(TB_Produtos[Código])</f>
        <v>60</v>
      </c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4"/>
      <c r="AQ4" s="102">
        <f>SUM(TB_Vendas[Qtd])</f>
        <v>250</v>
      </c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4"/>
      <c r="BK4" s="111">
        <f>SUM(TB_Vendas[Total])</f>
        <v>33304.799999999988</v>
      </c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3"/>
    </row>
    <row r="5" spans="3:80" ht="9.75" customHeight="1">
      <c r="W5" s="105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7"/>
      <c r="AQ5" s="105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7"/>
      <c r="BK5" s="114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6"/>
    </row>
    <row r="6" spans="3:80" ht="9.75" customHeight="1">
      <c r="W6" s="105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7"/>
      <c r="AQ6" s="105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7"/>
      <c r="BK6" s="114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6"/>
    </row>
    <row r="7" spans="3:80" ht="9.75" customHeight="1" thickBot="1">
      <c r="W7" s="108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10"/>
      <c r="AQ7" s="108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10"/>
      <c r="BK7" s="117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9"/>
    </row>
    <row r="8" spans="3:80" ht="9.75" customHeight="1" thickBot="1"/>
    <row r="9" spans="3:80" ht="9.75" customHeight="1">
      <c r="C9" s="87" t="s">
        <v>81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9"/>
    </row>
    <row r="10" spans="3:80" ht="9.75" customHeight="1" thickBot="1">
      <c r="C10" s="90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2"/>
    </row>
    <row r="11" spans="3:80" ht="9.75" customHeight="1">
      <c r="C11" s="93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5"/>
    </row>
    <row r="12" spans="3:80" ht="9.75" customHeight="1">
      <c r="C12" s="9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8"/>
    </row>
    <row r="13" spans="3:80" ht="9.75" customHeight="1">
      <c r="C13" s="96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8"/>
    </row>
    <row r="14" spans="3:80" ht="9.75" customHeight="1">
      <c r="C14" s="96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8"/>
    </row>
    <row r="15" spans="3:80" ht="9.75" customHeight="1">
      <c r="C15" s="96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8"/>
    </row>
    <row r="16" spans="3:80" ht="9.75" customHeight="1">
      <c r="C16" s="96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8"/>
    </row>
    <row r="17" spans="3:80" ht="9.75" customHeight="1">
      <c r="C17" s="96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8"/>
    </row>
    <row r="18" spans="3:80" ht="9.75" customHeight="1">
      <c r="C18" s="96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8"/>
    </row>
    <row r="19" spans="3:80" ht="9.75" customHeight="1">
      <c r="C19" s="96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8"/>
    </row>
    <row r="20" spans="3:80" ht="9.75" customHeight="1">
      <c r="C20" s="96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8"/>
    </row>
    <row r="21" spans="3:80" ht="9.75" customHeight="1">
      <c r="C21" s="96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8"/>
    </row>
    <row r="22" spans="3:80" ht="9.75" customHeight="1">
      <c r="C22" s="96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8"/>
    </row>
    <row r="23" spans="3:80" ht="9.75" customHeight="1"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8"/>
    </row>
    <row r="24" spans="3:80" ht="9.75" customHeight="1" thickBot="1">
      <c r="C24" s="99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1"/>
    </row>
    <row r="25" spans="3:80" ht="9.75" customHeight="1" thickBot="1"/>
    <row r="26" spans="3:80" ht="9.75" customHeight="1">
      <c r="C26" s="87" t="s">
        <v>82</v>
      </c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9"/>
      <c r="AO26" s="13"/>
      <c r="AP26" s="13"/>
      <c r="AQ26" s="87" t="s">
        <v>83</v>
      </c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9"/>
    </row>
    <row r="27" spans="3:80" ht="9.75" customHeight="1" thickBot="1">
      <c r="C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2"/>
      <c r="AO27" s="13"/>
      <c r="AP27" s="13"/>
      <c r="AQ27" s="90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2"/>
    </row>
    <row r="28" spans="3:80" ht="9.75" customHeight="1">
      <c r="C28" s="93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5"/>
      <c r="AQ28" s="93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5"/>
    </row>
    <row r="29" spans="3:80" ht="9.75" customHeight="1">
      <c r="C29" s="96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8"/>
      <c r="AQ29" s="96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8"/>
    </row>
    <row r="30" spans="3:80" ht="9.75" customHeight="1">
      <c r="C30" s="96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8"/>
      <c r="AQ30" s="96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8"/>
    </row>
    <row r="31" spans="3:80" ht="9.75" customHeight="1">
      <c r="C31" s="96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8"/>
      <c r="AQ31" s="96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8"/>
    </row>
    <row r="32" spans="3:80" ht="9.75" customHeight="1">
      <c r="C32" s="96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8"/>
      <c r="AQ32" s="96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8"/>
    </row>
    <row r="33" spans="3:80" ht="9.75" customHeight="1">
      <c r="C33" s="96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8"/>
      <c r="AQ33" s="96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8"/>
    </row>
    <row r="34" spans="3:80" ht="9.75" customHeight="1">
      <c r="C34" s="96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8"/>
      <c r="AQ34" s="96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8"/>
    </row>
    <row r="35" spans="3:80" ht="9.75" customHeight="1">
      <c r="C35" s="96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8"/>
      <c r="AQ35" s="96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8"/>
    </row>
    <row r="36" spans="3:80" ht="9.75" customHeight="1">
      <c r="C36" s="96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8"/>
      <c r="AQ36" s="96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8"/>
    </row>
    <row r="37" spans="3:80" ht="9.75" customHeight="1">
      <c r="C37" s="96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8"/>
      <c r="AQ37" s="96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8"/>
    </row>
    <row r="38" spans="3:80" ht="9.75" customHeight="1">
      <c r="C38" s="96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8"/>
      <c r="AQ38" s="96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8"/>
    </row>
    <row r="39" spans="3:80" ht="9.75" customHeight="1">
      <c r="C39" s="96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8"/>
      <c r="AQ39" s="96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8"/>
    </row>
    <row r="40" spans="3:80" ht="9.75" customHeight="1">
      <c r="C40" s="96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8"/>
      <c r="AQ40" s="96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8"/>
    </row>
    <row r="41" spans="3:80" ht="9.75" customHeight="1">
      <c r="C41" s="96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8"/>
      <c r="AQ41" s="96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8"/>
    </row>
    <row r="42" spans="3:80" ht="9.75" customHeight="1">
      <c r="C42" s="96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8"/>
      <c r="AQ42" s="96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8"/>
    </row>
    <row r="43" spans="3:80" ht="9.75" customHeight="1">
      <c r="C43" s="96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8"/>
      <c r="AQ43" s="96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8"/>
    </row>
    <row r="44" spans="3:80" ht="9.75" customHeight="1">
      <c r="C44" s="96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8"/>
      <c r="AQ44" s="96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8"/>
    </row>
    <row r="45" spans="3:80" ht="9.75" customHeight="1">
      <c r="C45" s="96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8"/>
      <c r="AQ45" s="96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8"/>
    </row>
    <row r="46" spans="3:80" ht="9.75" customHeight="1" thickBot="1">
      <c r="C46" s="99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  <c r="AQ46" s="99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1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4</vt:i4>
      </vt:variant>
    </vt:vector>
  </HeadingPairs>
  <TitlesOfParts>
    <vt:vector size="12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Desc_Categorias</vt:lpstr>
      <vt:lpstr>Desc_Quantidades</vt:lpstr>
      <vt:lpstr>Desc_TabelaToda</vt:lpstr>
      <vt:lpstr>Int_Desc_Categorias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Rafa RPG</cp:lastModifiedBy>
  <cp:lastPrinted>2023-06-07T14:57:58Z</cp:lastPrinted>
  <dcterms:created xsi:type="dcterms:W3CDTF">2023-06-02T17:54:12Z</dcterms:created>
  <dcterms:modified xsi:type="dcterms:W3CDTF">2024-08-09T22:52:34Z</dcterms:modified>
</cp:coreProperties>
</file>