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3AE1B0B0-F30E-4AB6-93D2-4B3022112442}" xr6:coauthVersionLast="36" xr6:coauthVersionMax="47" xr10:uidLastSave="{00000000-0000-0000-0000-000000000000}"/>
  <bookViews>
    <workbookView xWindow="13950" yWindow="0" windowWidth="23070" windowHeight="12195" tabRatio="698" activeTab="6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Planilha1" sheetId="29" r:id="rId7"/>
    <sheet name="Dados para Gráficos" sheetId="19" state="hidden" r:id="rId8"/>
    <sheet name="Dashboard" sheetId="18" state="hidden" r:id="rId9"/>
  </sheets>
  <definedNames>
    <definedName name="_xlnm._FilterDatabase" localSheetId="3" hidden="1">Vendas!$C$4:$F$86</definedName>
    <definedName name="Desc_Categorias">'Cadastros Auxiliares'!$B$8:$E$8</definedName>
    <definedName name="Desc_Quantidades">'Cadastros Auxiliares'!$B$8:$B$13</definedName>
    <definedName name="Desc_TabelaToda">'Cadastros Auxiliares'!$B$8:$E$13</definedName>
    <definedName name="Int_Desc_Categorias">'Cadastros Auxiliares'!$B$8:$E$8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9" l="1"/>
  <c r="G3" i="29"/>
  <c r="G7" i="29"/>
  <c r="G10" i="29"/>
  <c r="G6" i="29"/>
  <c r="G4" i="29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E5" i="16" l="1"/>
  <c r="H5" i="16" s="1"/>
  <c r="J5" i="16" s="1"/>
  <c r="E6" i="16"/>
  <c r="H6" i="16" s="1"/>
  <c r="J6" i="16" s="1"/>
  <c r="E7" i="16"/>
  <c r="H7" i="16" s="1"/>
  <c r="J7" i="16" s="1"/>
  <c r="E8" i="16"/>
  <c r="H8" i="16" s="1"/>
  <c r="J8" i="16" s="1"/>
  <c r="E9" i="16"/>
  <c r="H9" i="16" s="1"/>
  <c r="J9" i="16" s="1"/>
  <c r="E10" i="16"/>
  <c r="H10" i="16" s="1"/>
  <c r="J10" i="16" s="1"/>
  <c r="E11" i="16"/>
  <c r="H11" i="16" s="1"/>
  <c r="J11" i="16" s="1"/>
  <c r="E12" i="16"/>
  <c r="H12" i="16" s="1"/>
  <c r="J12" i="16" s="1"/>
  <c r="E13" i="16"/>
  <c r="H13" i="16" s="1"/>
  <c r="J13" i="16" s="1"/>
  <c r="E14" i="16"/>
  <c r="H14" i="16" s="1"/>
  <c r="J14" i="16" s="1"/>
  <c r="E15" i="16"/>
  <c r="H15" i="16" s="1"/>
  <c r="J15" i="16" s="1"/>
  <c r="E16" i="16"/>
  <c r="H16" i="16" s="1"/>
  <c r="J16" i="16" s="1"/>
  <c r="E17" i="16"/>
  <c r="H17" i="16" s="1"/>
  <c r="J17" i="16" s="1"/>
  <c r="E18" i="16"/>
  <c r="H18" i="16" s="1"/>
  <c r="J18" i="16" s="1"/>
  <c r="E19" i="16"/>
  <c r="H19" i="16" s="1"/>
  <c r="J19" i="16" s="1"/>
  <c r="E20" i="16"/>
  <c r="H20" i="16" s="1"/>
  <c r="J20" i="16" s="1"/>
  <c r="E21" i="16"/>
  <c r="H21" i="16" s="1"/>
  <c r="J21" i="16" s="1"/>
  <c r="E22" i="16"/>
  <c r="H22" i="16" s="1"/>
  <c r="J22" i="16" s="1"/>
  <c r="E23" i="16"/>
  <c r="H23" i="16" s="1"/>
  <c r="J23" i="16" s="1"/>
  <c r="E24" i="16"/>
  <c r="H24" i="16" s="1"/>
  <c r="J24" i="16" s="1"/>
  <c r="E25" i="16"/>
  <c r="H25" i="16" s="1"/>
  <c r="J25" i="16" s="1"/>
  <c r="E26" i="16"/>
  <c r="H26" i="16" s="1"/>
  <c r="J26" i="16" s="1"/>
  <c r="E27" i="16"/>
  <c r="H27" i="16" s="1"/>
  <c r="J27" i="16" s="1"/>
  <c r="E28" i="16"/>
  <c r="H28" i="16" s="1"/>
  <c r="J28" i="16" s="1"/>
  <c r="E29" i="16"/>
  <c r="H29" i="16" s="1"/>
  <c r="J29" i="16" s="1"/>
  <c r="E30" i="16"/>
  <c r="H30" i="16" s="1"/>
  <c r="J30" i="16" s="1"/>
  <c r="E31" i="16"/>
  <c r="H31" i="16" s="1"/>
  <c r="J31" i="16" s="1"/>
  <c r="E32" i="16"/>
  <c r="H32" i="16" s="1"/>
  <c r="J32" i="16" s="1"/>
  <c r="E33" i="16"/>
  <c r="H33" i="16" s="1"/>
  <c r="J33" i="16" s="1"/>
  <c r="E34" i="16"/>
  <c r="H34" i="16" s="1"/>
  <c r="J34" i="16" s="1"/>
  <c r="E35" i="16"/>
  <c r="H35" i="16" s="1"/>
  <c r="J35" i="16" s="1"/>
  <c r="E36" i="16"/>
  <c r="H36" i="16" s="1"/>
  <c r="J36" i="16" s="1"/>
  <c r="E37" i="16"/>
  <c r="H37" i="16" s="1"/>
  <c r="J37" i="16" s="1"/>
  <c r="E38" i="16"/>
  <c r="H38" i="16" s="1"/>
  <c r="J38" i="16" s="1"/>
  <c r="E39" i="16"/>
  <c r="H39" i="16" s="1"/>
  <c r="J39" i="16" s="1"/>
  <c r="E40" i="16"/>
  <c r="H40" i="16" s="1"/>
  <c r="J40" i="16" s="1"/>
  <c r="E41" i="16"/>
  <c r="H41" i="16" s="1"/>
  <c r="J41" i="16" s="1"/>
  <c r="E42" i="16"/>
  <c r="H42" i="16" s="1"/>
  <c r="J42" i="16" s="1"/>
  <c r="E43" i="16"/>
  <c r="H43" i="16" s="1"/>
  <c r="J43" i="16" s="1"/>
  <c r="E44" i="16"/>
  <c r="H44" i="16" s="1"/>
  <c r="J44" i="16" s="1"/>
  <c r="E45" i="16"/>
  <c r="H45" i="16" s="1"/>
  <c r="J45" i="16" s="1"/>
  <c r="E46" i="16"/>
  <c r="H46" i="16" s="1"/>
  <c r="J46" i="16" s="1"/>
  <c r="E47" i="16"/>
  <c r="H47" i="16" s="1"/>
  <c r="J47" i="16" s="1"/>
  <c r="E48" i="16"/>
  <c r="H48" i="16" s="1"/>
  <c r="J48" i="16" s="1"/>
  <c r="E49" i="16"/>
  <c r="H49" i="16" s="1"/>
  <c r="J49" i="16" s="1"/>
  <c r="E50" i="16"/>
  <c r="H50" i="16" s="1"/>
  <c r="J50" i="16" s="1"/>
  <c r="E51" i="16"/>
  <c r="H51" i="16" s="1"/>
  <c r="J51" i="16" s="1"/>
  <c r="E52" i="16"/>
  <c r="H52" i="16" s="1"/>
  <c r="J52" i="16" s="1"/>
  <c r="E53" i="16"/>
  <c r="H53" i="16" s="1"/>
  <c r="J53" i="16" s="1"/>
  <c r="E54" i="16"/>
  <c r="H54" i="16" s="1"/>
  <c r="J54" i="16" s="1"/>
  <c r="E55" i="16"/>
  <c r="H55" i="16" s="1"/>
  <c r="J55" i="16" s="1"/>
  <c r="E56" i="16"/>
  <c r="H56" i="16" s="1"/>
  <c r="J56" i="16" s="1"/>
  <c r="E57" i="16"/>
  <c r="H57" i="16" s="1"/>
  <c r="J57" i="16" s="1"/>
  <c r="E58" i="16"/>
  <c r="H58" i="16" s="1"/>
  <c r="J58" i="16" s="1"/>
  <c r="E59" i="16"/>
  <c r="H59" i="16" s="1"/>
  <c r="J59" i="16" s="1"/>
  <c r="E60" i="16"/>
  <c r="H60" i="16" s="1"/>
  <c r="J60" i="16" s="1"/>
  <c r="E61" i="16"/>
  <c r="H61" i="16" s="1"/>
  <c r="J61" i="16" s="1"/>
  <c r="E62" i="16"/>
  <c r="H62" i="16" s="1"/>
  <c r="J62" i="16" s="1"/>
  <c r="E63" i="16"/>
  <c r="H63" i="16" s="1"/>
  <c r="J63" i="16" s="1"/>
  <c r="E64" i="16"/>
  <c r="H64" i="16" s="1"/>
  <c r="J64" i="16" s="1"/>
  <c r="E65" i="16"/>
  <c r="H65" i="16" s="1"/>
  <c r="J65" i="16" s="1"/>
  <c r="E66" i="16"/>
  <c r="H66" i="16" s="1"/>
  <c r="J66" i="16" s="1"/>
  <c r="E67" i="16"/>
  <c r="H67" i="16" s="1"/>
  <c r="J67" i="16" s="1"/>
  <c r="E68" i="16"/>
  <c r="H68" i="16" s="1"/>
  <c r="J68" i="16" s="1"/>
  <c r="E69" i="16"/>
  <c r="H69" i="16" s="1"/>
  <c r="J69" i="16" s="1"/>
  <c r="E70" i="16"/>
  <c r="H70" i="16" s="1"/>
  <c r="J70" i="16" s="1"/>
  <c r="E71" i="16"/>
  <c r="H71" i="16" s="1"/>
  <c r="J71" i="16" s="1"/>
  <c r="E72" i="16"/>
  <c r="H72" i="16" s="1"/>
  <c r="J72" i="16" s="1"/>
  <c r="E73" i="16"/>
  <c r="H73" i="16" s="1"/>
  <c r="J73" i="16" s="1"/>
  <c r="E74" i="16"/>
  <c r="H74" i="16" s="1"/>
  <c r="J74" i="16" s="1"/>
  <c r="E75" i="16"/>
  <c r="H75" i="16" s="1"/>
  <c r="J75" i="16" s="1"/>
  <c r="E76" i="16"/>
  <c r="H76" i="16" s="1"/>
  <c r="J76" i="16" s="1"/>
  <c r="E77" i="16"/>
  <c r="H77" i="16" s="1"/>
  <c r="J77" i="16" s="1"/>
  <c r="E78" i="16"/>
  <c r="H78" i="16" s="1"/>
  <c r="J78" i="16" s="1"/>
  <c r="E79" i="16"/>
  <c r="H79" i="16" s="1"/>
  <c r="J79" i="16" s="1"/>
  <c r="E80" i="16"/>
  <c r="H80" i="16" s="1"/>
  <c r="J80" i="16" s="1"/>
  <c r="E81" i="16"/>
  <c r="H81" i="16" s="1"/>
  <c r="J81" i="16" s="1"/>
  <c r="E82" i="16"/>
  <c r="H82" i="16" s="1"/>
  <c r="J82" i="16" s="1"/>
  <c r="E83" i="16"/>
  <c r="H83" i="16" s="1"/>
  <c r="J83" i="16" s="1"/>
  <c r="E84" i="16"/>
  <c r="H84" i="16" s="1"/>
  <c r="J84" i="16" s="1"/>
  <c r="E85" i="16"/>
  <c r="H85" i="16" s="1"/>
  <c r="J85" i="16" s="1"/>
  <c r="E86" i="16"/>
  <c r="H86" i="16" s="1"/>
  <c r="J86" i="16" s="1"/>
  <c r="L5" i="16" l="1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K5" i="16" l="1"/>
  <c r="M5" i="16" s="1"/>
  <c r="K6" i="16"/>
  <c r="M6" i="16" s="1"/>
  <c r="K7" i="16"/>
  <c r="M7" i="16" s="1"/>
  <c r="K8" i="16"/>
  <c r="M8" i="16" s="1"/>
  <c r="K9" i="16"/>
  <c r="M9" i="16" s="1"/>
  <c r="K10" i="16"/>
  <c r="M10" i="16" s="1"/>
  <c r="K11" i="16"/>
  <c r="M11" i="16" s="1"/>
  <c r="K12" i="16"/>
  <c r="M12" i="16" s="1"/>
  <c r="K13" i="16"/>
  <c r="M13" i="16" s="1"/>
  <c r="K14" i="16"/>
  <c r="M14" i="16" s="1"/>
  <c r="K15" i="16"/>
  <c r="M15" i="16" s="1"/>
  <c r="K16" i="16"/>
  <c r="M16" i="16" s="1"/>
  <c r="K17" i="16"/>
  <c r="M17" i="16" s="1"/>
  <c r="K18" i="16"/>
  <c r="M18" i="16" s="1"/>
  <c r="K19" i="16"/>
  <c r="M19" i="16" s="1"/>
  <c r="K20" i="16"/>
  <c r="M20" i="16" s="1"/>
  <c r="K21" i="16"/>
  <c r="M21" i="16" s="1"/>
  <c r="K22" i="16"/>
  <c r="M22" i="16" s="1"/>
  <c r="K23" i="16"/>
  <c r="M23" i="16" s="1"/>
  <c r="K24" i="16"/>
  <c r="M24" i="16" s="1"/>
  <c r="K25" i="16"/>
  <c r="M25" i="16" s="1"/>
  <c r="K26" i="16"/>
  <c r="M26" i="16" s="1"/>
  <c r="K27" i="16"/>
  <c r="M27" i="16" s="1"/>
  <c r="K28" i="16"/>
  <c r="M28" i="16" s="1"/>
  <c r="K29" i="16"/>
  <c r="M29" i="16" s="1"/>
  <c r="K30" i="16"/>
  <c r="M30" i="16" s="1"/>
  <c r="K31" i="16"/>
  <c r="M31" i="16" s="1"/>
  <c r="K32" i="16"/>
  <c r="M32" i="16" s="1"/>
  <c r="K33" i="16"/>
  <c r="M33" i="16" s="1"/>
  <c r="K34" i="16"/>
  <c r="M34" i="16" s="1"/>
  <c r="K35" i="16"/>
  <c r="M35" i="16" s="1"/>
  <c r="K36" i="16"/>
  <c r="M36" i="16" s="1"/>
  <c r="K37" i="16"/>
  <c r="M37" i="16" s="1"/>
  <c r="K38" i="16"/>
  <c r="M38" i="16" s="1"/>
  <c r="K39" i="16"/>
  <c r="M39" i="16" s="1"/>
  <c r="K40" i="16"/>
  <c r="M40" i="16" s="1"/>
  <c r="K41" i="16"/>
  <c r="M41" i="16" s="1"/>
  <c r="K42" i="16"/>
  <c r="M42" i="16" s="1"/>
  <c r="K43" i="16"/>
  <c r="M43" i="16" s="1"/>
  <c r="K44" i="16"/>
  <c r="M44" i="16" s="1"/>
  <c r="K45" i="16"/>
  <c r="M45" i="16" s="1"/>
  <c r="K46" i="16"/>
  <c r="M46" i="16" s="1"/>
  <c r="K47" i="16"/>
  <c r="M47" i="16" s="1"/>
  <c r="K48" i="16"/>
  <c r="M48" i="16" s="1"/>
  <c r="K49" i="16"/>
  <c r="M49" i="16" s="1"/>
  <c r="K50" i="16"/>
  <c r="M50" i="16" s="1"/>
  <c r="K51" i="16"/>
  <c r="M51" i="16" s="1"/>
  <c r="K52" i="16"/>
  <c r="M52" i="16" s="1"/>
  <c r="K53" i="16"/>
  <c r="M53" i="16" s="1"/>
  <c r="K54" i="16"/>
  <c r="M54" i="16" s="1"/>
  <c r="K55" i="16"/>
  <c r="M55" i="16" s="1"/>
  <c r="K56" i="16"/>
  <c r="M56" i="16" s="1"/>
  <c r="K57" i="16"/>
  <c r="M57" i="16" s="1"/>
  <c r="K58" i="16"/>
  <c r="M58" i="16" s="1"/>
  <c r="K59" i="16"/>
  <c r="M59" i="16" s="1"/>
  <c r="K60" i="16"/>
  <c r="M60" i="16" s="1"/>
  <c r="K61" i="16"/>
  <c r="M61" i="16" s="1"/>
  <c r="K62" i="16"/>
  <c r="M62" i="16" s="1"/>
  <c r="K63" i="16"/>
  <c r="M63" i="16" s="1"/>
  <c r="K64" i="16"/>
  <c r="M64" i="16" s="1"/>
  <c r="K65" i="16"/>
  <c r="M65" i="16" s="1"/>
  <c r="K66" i="16"/>
  <c r="M66" i="16" s="1"/>
  <c r="K67" i="16"/>
  <c r="M67" i="16" s="1"/>
  <c r="K68" i="16"/>
  <c r="M68" i="16" s="1"/>
  <c r="K69" i="16"/>
  <c r="M69" i="16" s="1"/>
  <c r="K70" i="16"/>
  <c r="M70" i="16" s="1"/>
  <c r="K71" i="16"/>
  <c r="M71" i="16" s="1"/>
  <c r="K72" i="16"/>
  <c r="M72" i="16" s="1"/>
  <c r="K73" i="16"/>
  <c r="M73" i="16" s="1"/>
  <c r="K74" i="16"/>
  <c r="M74" i="16" s="1"/>
  <c r="K75" i="16"/>
  <c r="M75" i="16" s="1"/>
  <c r="K76" i="16"/>
  <c r="M76" i="16" s="1"/>
  <c r="K77" i="16"/>
  <c r="M77" i="16" s="1"/>
  <c r="K78" i="16"/>
  <c r="M78" i="16" s="1"/>
  <c r="K79" i="16"/>
  <c r="M79" i="16" s="1"/>
  <c r="K80" i="16"/>
  <c r="M80" i="16" s="1"/>
  <c r="K81" i="16"/>
  <c r="M81" i="16" s="1"/>
  <c r="K82" i="16"/>
  <c r="M82" i="16" s="1"/>
  <c r="K83" i="16"/>
  <c r="M83" i="16" s="1"/>
  <c r="K84" i="16"/>
  <c r="M84" i="16" s="1"/>
  <c r="K85" i="16"/>
  <c r="M85" i="16" s="1"/>
  <c r="K86" i="16"/>
  <c r="M86" i="16" s="1"/>
  <c r="F18" i="23"/>
  <c r="C8" i="24"/>
  <c r="E18" i="24"/>
  <c r="E14" i="24"/>
  <c r="C7" i="24"/>
  <c r="F19" i="23" l="1"/>
  <c r="C19" i="23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F21" i="23" l="1"/>
  <c r="F20" i="23"/>
  <c r="D17" i="23"/>
  <c r="D18" i="23"/>
  <c r="C12" i="24" l="1"/>
  <c r="C13" i="24" l="1"/>
  <c r="F7" i="24" l="1"/>
  <c r="C11" i="24" l="1"/>
  <c r="C10" i="24"/>
  <c r="C15" i="24" s="1"/>
  <c r="C14" i="24" s="1"/>
  <c r="C16" i="24" s="1"/>
  <c r="C9" i="24"/>
  <c r="F9" i="24" l="1"/>
  <c r="N68" i="16" l="1"/>
  <c r="N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N83" i="16" l="1"/>
  <c r="N75" i="16"/>
  <c r="N73" i="16"/>
  <c r="N65" i="16"/>
  <c r="N64" i="16"/>
  <c r="N79" i="16"/>
  <c r="N71" i="16"/>
  <c r="N80" i="16"/>
  <c r="N72" i="16"/>
  <c r="N84" i="16"/>
  <c r="N67" i="16"/>
  <c r="N82" i="16"/>
  <c r="N74" i="16"/>
  <c r="N66" i="16"/>
  <c r="N86" i="16"/>
  <c r="N78" i="16"/>
  <c r="N70" i="16"/>
  <c r="N85" i="16"/>
  <c r="N77" i="16"/>
  <c r="N69" i="16"/>
  <c r="N81" i="16"/>
  <c r="N5" i="16" l="1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8" authorId="0" shapeId="0" xr:uid="{E1EE0359-1C7D-4DB2-ABBE-0EE231A818B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9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  <comment ref="E14" authorId="0" shapeId="0" xr:uid="{951887BD-8385-4008-8735-78A1B7AA86FA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D17" authorId="0" shapeId="0" xr:uid="{B06CBAAC-3553-4C73-AEBE-098C99276FD4}">
      <text>
        <r>
          <rPr>
            <b/>
            <sz val="9"/>
            <color indexed="81"/>
            <rFont val="Segoe UI"/>
            <charset val="1"/>
          </rPr>
          <t xml:space="preserve">Corresp
1º Parâmetro:
          Célula de busca
2º Parâmetro
          A Linha ou Coluna dos Dados (não a matriz inteira
3º Parâmetro
          Tipo de pesquisa
</t>
        </r>
      </text>
    </comment>
  </commentList>
</comments>
</file>

<file path=xl/sharedStrings.xml><?xml version="1.0" encoding="utf-8"?>
<sst xmlns="http://schemas.openxmlformats.org/spreadsheetml/2006/main" count="534" uniqueCount="187">
  <si>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</si>
  <si>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</si>
  <si>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</si>
  <si>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</si>
  <si>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</si>
  <si>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</si>
  <si>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</si>
  <si>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</si>
  <si>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</si>
  <si>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</si>
  <si>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</si>
  <si>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</si>
  <si>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</si>
  <si>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</si>
  <si>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</si>
  <si>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</si>
  <si>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</si>
  <si>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</si>
  <si>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</si>
  <si>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</si>
  <si>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</si>
  <si>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</si>
  <si>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</si>
  <si>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</si>
  <si>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</si>
  <si>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</si>
  <si>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</si>
  <si>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</si>
  <si>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</si>
  <si>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</si>
  <si>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</si>
  <si>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</si>
  <si>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</si>
  <si>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</si>
  <si>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</si>
  <si>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</si>
  <si>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</si>
  <si>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</si>
  <si>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</si>
  <si>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</si>
  <si>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</si>
  <si>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</si>
  <si>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</si>
  <si>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</si>
  <si>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</si>
  <si>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</si>
  <si>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</si>
  <si>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</si>
  <si>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</si>
  <si>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</si>
  <si>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</si>
  <si>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</si>
  <si>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</si>
  <si>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</si>
  <si>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</si>
  <si>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</si>
  <si>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</si>
  <si>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</si>
  <si>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</si>
  <si>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</si>
  <si>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</si>
  <si>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</si>
  <si>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</si>
  <si>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</si>
  <si>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</si>
  <si>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</si>
  <si>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</si>
  <si>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</si>
  <si>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</si>
  <si>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</si>
  <si>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</si>
  <si>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</si>
  <si>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</si>
  <si>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</si>
  <si>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</si>
  <si>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</si>
  <si>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</si>
  <si>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</si>
  <si>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</si>
  <si>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</si>
  <si>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</si>
  <si>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</si>
  <si>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</si>
  <si>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</si>
  <si>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</si>
  <si>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</si>
  <si>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</si>
  <si>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</si>
  <si>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</si>
  <si>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</si>
  <si>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</si>
  <si>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</si>
  <si>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</si>
  <si>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</si>
  <si>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</si>
  <si>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</si>
  <si>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</si>
  <si>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</si>
  <si>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</si>
  <si>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</si>
  <si>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</si>
  <si>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</si>
  <si>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</si>
  <si>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</si>
  <si>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</si>
  <si>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</si>
  <si>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</si>
  <si>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</si>
  <si>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</si>
  <si>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</si>
  <si>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</si>
  <si>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</si>
  <si>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</si>
  <si>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</si>
  <si>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</si>
  <si>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</si>
  <si>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</si>
  <si>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</si>
  <si>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</si>
  <si>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</si>
  <si>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</si>
  <si>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</si>
  <si>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</si>
  <si>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</si>
  <si>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</si>
  <si>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</si>
  <si>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</si>
  <si>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</si>
  <si>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</si>
  <si>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</si>
  <si>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</si>
  <si>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</si>
  <si>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</si>
  <si>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</si>
  <si>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</si>
  <si>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</si>
  <si>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</si>
  <si>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</si>
  <si>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</si>
  <si>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</si>
  <si>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</si>
  <si>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</si>
  <si>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</si>
  <si>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</si>
  <si>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</si>
  <si>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</si>
  <si>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</si>
  <si>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</si>
  <si>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</si>
  <si>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</si>
  <si>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</si>
  <si>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</si>
  <si>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</si>
  <si>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</si>
  <si>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</si>
  <si>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</si>
  <si>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</si>
  <si>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</si>
  <si>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</si>
  <si>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</si>
  <si>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</si>
  <si>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</si>
  <si>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</si>
  <si>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</si>
  <si>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</si>
  <si>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>DIA.DA.SEMANA</t>
  </si>
  <si>
    <t>PROCV(DIA.DA.SEMANA)</t>
  </si>
  <si>
    <t xml:space="preserve">Situação SE: </t>
  </si>
  <si>
    <t xml:space="preserve">Situação SES: </t>
  </si>
  <si>
    <t>Estoque Mínimo</t>
  </si>
  <si>
    <t>CORRESP</t>
  </si>
  <si>
    <t>Coluna</t>
  </si>
  <si>
    <t>Linha</t>
  </si>
  <si>
    <t>Índice</t>
  </si>
  <si>
    <t>Desc.3</t>
  </si>
  <si>
    <t>Desconto (Diretão)</t>
  </si>
  <si>
    <t>Desconto (Passo a Passo)</t>
  </si>
  <si>
    <t>Desconto (Vendedor)</t>
  </si>
  <si>
    <t>Desconto Final</t>
  </si>
  <si>
    <t>Bolsa Coringa</t>
  </si>
  <si>
    <t>Bolsa de Couro</t>
  </si>
  <si>
    <t>Calça Jeans</t>
  </si>
  <si>
    <t>Ache o preço do produto que tem aproximadamente 20 unidades</t>
  </si>
  <si>
    <r>
      <t>A </t>
    </r>
    <r>
      <rPr>
        <sz val="12"/>
        <color theme="8"/>
        <rFont val="Arial Unicode MS"/>
      </rPr>
      <t>PROCV</t>
    </r>
    <r>
      <rPr>
        <sz val="12"/>
        <color theme="8"/>
        <rFont val="Times New Roman"/>
        <family val="1"/>
      </rPr>
      <t> </t>
    </r>
    <r>
      <rPr>
        <b/>
        <sz val="12"/>
        <color theme="8"/>
        <rFont val="Times New Roman"/>
        <family val="1"/>
      </rPr>
      <t>não</t>
    </r>
    <r>
      <rPr>
        <sz val="12"/>
        <color theme="8"/>
        <rFont val="Times New Roman"/>
        <family val="1"/>
      </rPr>
      <t> faz a procura aproximada se a lista não estiver em ordem!</t>
    </r>
  </si>
  <si>
    <t>PRODUTOS</t>
  </si>
  <si>
    <t>ESTOQUE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</si>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</sst>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  <numFmt numFmtId="166" formatCode="&quot;R$&quot;\ #,##0.00"/>
  </numFmts>
  <fonts count="3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  <font>
      <b/>
      <sz val="9"/>
      <color indexed="81"/>
      <name val="Segoe UI"/>
      <charset val="1"/>
    </font>
    <font>
      <b/>
      <sz val="8"/>
      <color theme="0" tint="-4.9989318521683403E-2"/>
      <name val="Montserrat"/>
    </font>
    <font>
      <b/>
      <sz val="11"/>
      <color rgb="FFFF0000"/>
      <name val="Calibri"/>
      <family val="2"/>
      <scheme val="minor"/>
    </font>
    <font>
      <sz val="14"/>
      <color rgb="FFDAFF01"/>
      <name val="Times New Roman"/>
      <family val="1"/>
    </font>
    <font>
      <sz val="11"/>
      <color rgb="FFDAFF01"/>
      <name val="Calibri"/>
      <family val="2"/>
      <scheme val="minor"/>
    </font>
    <font>
      <sz val="12"/>
      <color theme="8"/>
      <name val="Times New Roman"/>
      <family val="1"/>
    </font>
    <font>
      <sz val="12"/>
      <color theme="8"/>
      <name val="Arial Unicode MS"/>
    </font>
    <font>
      <b/>
      <sz val="12"/>
      <color theme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" fillId="0" borderId="0" xfId="0" applyFont="1"/>
    <xf numFmtId="0" fontId="26" fillId="0" borderId="0" xfId="0" applyFont="1"/>
    <xf numFmtId="166" fontId="24" fillId="7" borderId="26" xfId="0" applyNumberFormat="1" applyFont="1" applyFill="1" applyBorder="1" applyAlignment="1">
      <alignment horizontal="center" vertical="center"/>
    </xf>
    <xf numFmtId="1" fontId="16" fillId="0" borderId="7" xfId="5" applyNumberFormat="1" applyFont="1" applyBorder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/>
    </xf>
    <xf numFmtId="1" fontId="0" fillId="0" borderId="33" xfId="0" applyNumberFormat="1" applyFont="1" applyBorder="1" applyAlignment="1">
      <alignment horizontal="center"/>
    </xf>
    <xf numFmtId="9" fontId="0" fillId="0" borderId="0" xfId="5" applyFont="1"/>
    <xf numFmtId="0" fontId="0" fillId="0" borderId="0" xfId="0" applyNumberFormat="1" applyAlignment="1">
      <alignment horizontal="center"/>
    </xf>
    <xf numFmtId="0" fontId="17" fillId="2" borderId="0" xfId="3" applyFont="1" applyFill="1" applyBorder="1" applyAlignment="1">
      <alignment horizontal="center" wrapText="1"/>
    </xf>
    <xf numFmtId="0" fontId="29" fillId="2" borderId="0" xfId="3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165" fontId="0" fillId="0" borderId="0" xfId="4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0" fillId="2" borderId="0" xfId="0" applyFont="1" applyFill="1" applyAlignment="1">
      <alignment horizontal="center"/>
    </xf>
    <xf numFmtId="0" fontId="31" fillId="2" borderId="0" xfId="0" applyFont="1" applyFill="1"/>
    <xf numFmtId="0" fontId="32" fillId="2" borderId="0" xfId="0" applyFont="1" applyFill="1"/>
    <xf numFmtId="0" fontId="33" fillId="0" borderId="0" xfId="0" applyFont="1"/>
    <xf numFmtId="0" fontId="0" fillId="8" borderId="0" xfId="0" applyFont="1" applyFill="1" applyAlignment="1">
      <alignment horizontal="center"/>
    </xf>
    <xf numFmtId="165" fontId="0" fillId="8" borderId="0" xfId="4" applyNumberFormat="1" applyFont="1" applyFill="1" applyAlignment="1">
      <alignment horizontal="center"/>
    </xf>
    <xf numFmtId="0" fontId="0" fillId="0" borderId="34" xfId="0" applyFont="1" applyBorder="1" applyAlignment="1">
      <alignment horizontal="center"/>
    </xf>
    <xf numFmtId="165" fontId="0" fillId="0" borderId="34" xfId="4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8" borderId="34" xfId="0" applyFont="1" applyFill="1" applyBorder="1" applyAlignment="1">
      <alignment horizontal="center"/>
    </xf>
    <xf numFmtId="165" fontId="0" fillId="0" borderId="0" xfId="4" applyNumberFormat="1" applyFont="1" applyBorder="1" applyAlignment="1">
      <alignment horizontal="center"/>
    </xf>
    <xf numFmtId="165" fontId="0" fillId="8" borderId="34" xfId="4" applyNumberFormat="1" applyFont="1" applyFill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27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1750.9</c:v>
                </c:pt>
                <c:pt idx="1">
                  <c:v>2974.9</c:v>
                </c:pt>
                <c:pt idx="2">
                  <c:v>3698.1</c:v>
                </c:pt>
                <c:pt idx="3">
                  <c:v>3651.0999999999995</c:v>
                </c:pt>
                <c:pt idx="4">
                  <c:v>2776.2999999999997</c:v>
                </c:pt>
                <c:pt idx="5">
                  <c:v>3477.7000000000007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10</xdr:col>
      <xdr:colOff>228599</xdr:colOff>
      <xdr:row>0</xdr:row>
      <xdr:rowOff>85725</xdr:rowOff>
    </xdr:from>
    <xdr:to>
      <xdr:col>11</xdr:col>
      <xdr:colOff>116057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8</xdr:col>
      <xdr:colOff>292345</xdr:colOff>
      <xdr:row>0</xdr:row>
      <xdr:rowOff>85725</xdr:rowOff>
    </xdr:from>
    <xdr:to>
      <xdr:col>9</xdr:col>
      <xdr:colOff>446502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7</xdr:col>
      <xdr:colOff>46527</xdr:colOff>
      <xdr:row>0</xdr:row>
      <xdr:rowOff>85725</xdr:rowOff>
    </xdr:from>
    <xdr:to>
      <xdr:col>8</xdr:col>
      <xdr:colOff>199953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6</xdr:col>
      <xdr:colOff>15387</xdr:colOff>
      <xdr:row>0</xdr:row>
      <xdr:rowOff>85725</xdr:rowOff>
    </xdr:from>
    <xdr:to>
      <xdr:col>6</xdr:col>
      <xdr:colOff>994557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2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25"/>
    <tableColumn id="2" xr3:uid="{E100D4E2-C3A0-43FF-A1D9-90A4BC2A9918}" name="Produtos"/>
    <tableColumn id="3" xr3:uid="{2EF7FEE0-6B6F-4534-86A0-46B6555B7BEF}" name="Tamanho" dataDxfId="24"/>
    <tableColumn id="4" xr3:uid="{4435A4B8-E7F0-4D66-A4F8-6A9FEAA36D5A}" name="Categoria"/>
    <tableColumn id="6" xr3:uid="{15F9CACC-A558-4A20-80CF-C2ADA2603221}" name="Estoque" dataDxfId="23"/>
    <tableColumn id="5" xr3:uid="{CA8AD0DE-58EC-4839-85FB-1DD75DA28087}" name="Preço Unitário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O86" totalsRowShown="0" headerRowDxfId="21" dataDxfId="20" headerRowCellStyle="Cabeçalho Meteora">
  <autoFilter ref="A4:O86" xr:uid="{AD739091-30BD-4C30-BDDA-7504C0C4B6E2}"/>
  <tableColumns count="15">
    <tableColumn id="7" xr3:uid="{5E8DE7C3-CDB6-4314-A5CC-C44D3C21973F}" name="Nº" dataDxfId="19">
      <calculatedColumnFormula>MONTH(TB_Vendas[[#This Row],[Data]])</calculatedColumnFormula>
    </tableColumn>
    <tableColumn id="10" xr3:uid="{BD1ABB49-B48B-4C50-A034-45488FDC03A8}" name="Mês" dataDxfId="18">
      <calculatedColumnFormula>PROPER(TEXT(DATE(,TB_Vendas[[#This Row],[Nº]],1),"Mmm"))</calculatedColumnFormula>
    </tableColumn>
    <tableColumn id="1" xr3:uid="{43632F1F-6978-4CE7-BB13-7CCE587D6821}" name="Data" dataDxfId="17"/>
    <tableColumn id="12" xr3:uid="{205A55AB-454E-4288-AE23-042C3C399E7A}" name="Código" dataDxfId="16"/>
    <tableColumn id="4" xr3:uid="{FF498027-E8BA-44D8-8736-0BB5EC1FBABF}" name="Categoria" dataDxfId="15">
      <calculatedColumnFormula>VLOOKUP(TB_Vendas[[#This Row],[Código]],TB_Produtos[#All],4,0)</calculatedColumnFormula>
    </tableColumn>
    <tableColumn id="5" xr3:uid="{7DC2ADED-AF8A-4BC8-A38E-FEF676FE49C9}" name="Qtd" dataDxfId="14"/>
    <tableColumn id="9" xr3:uid="{05B7315B-2774-41BC-AFEC-4A19E452D6C7}" name="Preço Unitário" dataDxfId="13">
      <calculatedColumnFormula>VLOOKUP(TB_Vendas[[#This Row],[Código]],TB_Produtos[#All],6,0)</calculatedColumnFormula>
    </tableColumn>
    <tableColumn id="14" xr3:uid="{E3884B12-A7A2-4AF9-9167-E984F229A9E5}" name="Índice" dataDxfId="12">
      <calculatedColumnFormula>MATCH(TB_Vendas[[#This Row],[Categoria]],Desc_Categorias,0)</calculatedColumnFormula>
    </tableColumn>
    <tableColumn id="15" xr3:uid="{34917608-2E3C-4A2E-8B17-0A5F2191C3F7}" name="Desc.3" dataDxfId="11" dataCellStyle="Porcentagem">
      <calculatedColumnFormula>VLOOKUP(TB_Vendas[[#This Row],[Qtd]],Desc_TabelaToda,_xlfn.IFS(TB_Vendas[[#This Row],[Categoria]]='Cadastros Auxiliares'!$C$8,2,TB_Vendas[[#This Row],[Categoria]]='Cadastros Auxiliares'!$D$8,3,TB_Vendas[[#This Row],[Categoria]]='Cadastros Auxiliares'!$E$8,4),TRUE)</calculatedColumnFormula>
    </tableColumn>
    <tableColumn id="13" xr3:uid="{6A0654E0-20DE-4CD2-976A-41ED0167881E}" name="Desconto (Passo a Passo)" dataDxfId="10">
      <calculatedColumnFormula>VLOOKUP(TB_Vendas[[#This Row],[Qtd]],Desc_TabelaToda,TB_Vendas[[#This Row],[Índice]],TRUE)</calculatedColumnFormula>
    </tableColumn>
    <tableColumn id="2" xr3:uid="{4BEBDE19-FA81-4412-AC83-E0AE6998A9B4}" name="Desconto (Diretão)" dataDxfId="9" dataCellStyle="Porcentagem">
      <calculatedColumnFormula>INDEX(Desc_TabelaToda,MATCH(TB_Vendas[[#This Row],[Qtd]],Desc_Quantidades,1),MATCH(VLOOKUP(TB_Vendas[[#This Row],[Código]],TB_Produtos[],4,0),Desc_Categorias,0))</calculatedColumnFormula>
    </tableColumn>
    <tableColumn id="3" xr3:uid="{EFA6B0E7-AC23-4F94-BA6E-D976C75B2690}" name="Desconto (Vendedor)" dataDxfId="8" dataCellStyle="Porcentagem">
      <calculatedColumnFormula>VLOOKUP(TB_Vendas[[#This Row],[Vendedor]],Vendedores!$A$5:$D$9,4,0)</calculatedColumnFormula>
    </tableColumn>
    <tableColumn id="11" xr3:uid="{EEE0E260-9AD8-45FC-95F2-FCE29E013745}" name="Desconto Final" dataDxfId="7" dataCellStyle="Porcentagem">
      <calculatedColumnFormula>IF(TB_Vendas[[#This Row],[Desconto (Diretão)]]&gt;TB_Vendas[[#This Row],[Desconto (Vendedor)]],TB_Vendas[[#This Row],[Desconto (Vendedor)]],TB_Vendas[[#This Row],[Desconto (Diretão)]])</calculatedColumnFormula>
    </tableColumn>
    <tableColumn id="6" xr3:uid="{9459B662-6A4F-4486-82B1-12F67B8F842E}" name="Total" dataDxfId="6">
      <calculatedColumnFormula>TB_Vendas[[#This Row],[Preço Unitário]]*TB_Vendas[[#This Row],[Qtd]]</calculatedColumnFormula>
    </tableColumn>
    <tableColumn id="8" xr3:uid="{192FEBCA-1287-48A6-9BE6-69528F71C305}" name="Vendedor" dataDxfId="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1A4950-91C6-4B8E-8453-994FB3ABC771}" name="Tabela1" displayName="Tabela1" ref="B2:D10" totalsRowShown="0" headerRowDxfId="1">
  <autoFilter ref="B2:D10" xr:uid="{B008AB60-197E-40EA-BDC4-A33BB315319E}"/>
  <sortState ref="B3:D10">
    <sortCondition ref="B2:B10"/>
  </sortState>
  <tableColumns count="3">
    <tableColumn id="1" xr3:uid="{0EFFA429-F889-4639-9A8F-F10B0CF676F0}" name="Produtos" dataDxfId="4"/>
    <tableColumn id="2" xr3:uid="{4E5E1BD8-3D50-4FE6-8148-8F289DD711F6}" name="Estoque" dataDxfId="3"/>
    <tableColumn id="3" xr3:uid="{D5796047-3AC0-464A-8147-B881C8FEA5D1}" name="Preço Unitário" dataDxfId="2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sheetPr codeName="Planilha1"/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</row>
    <row r="4" spans="1:1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</row>
    <row r="6" spans="1:1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sheetPr codeName="Planilha2"/>
  <dimension ref="A1:I66"/>
  <sheetViews>
    <sheetView showGridLines="0" zoomScale="140" zoomScaleNormal="140" workbookViewId="0">
      <selection activeCell="B10" sqref="B10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133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sheetPr codeName="Planilha3"/>
  <dimension ref="A1:E9"/>
  <sheetViews>
    <sheetView workbookViewId="0"/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8" t="s">
        <v>133</v>
      </c>
      <c r="C1" s="88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145</v>
      </c>
      <c r="D4" s="53" t="s">
        <v>146</v>
      </c>
    </row>
    <row r="5" spans="1:5" ht="22.5" customHeight="1">
      <c r="A5" s="64" t="s">
        <v>126</v>
      </c>
      <c r="B5" s="57" t="s">
        <v>73</v>
      </c>
      <c r="C5" s="57" t="s">
        <v>147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148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149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150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151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sheetPr codeName="Planilha4"/>
  <dimension ref="A1:O86"/>
  <sheetViews>
    <sheetView topLeftCell="B1" zoomScale="130" zoomScaleNormal="130" workbookViewId="0">
      <selection activeCell="G6" sqref="G6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6.42578125" style="1" bestFit="1" customWidth="1"/>
    <col min="6" max="6" width="10.140625" bestFit="1" customWidth="1"/>
    <col min="7" max="7" width="15.5703125" customWidth="1"/>
    <col min="8" max="8" width="12.42578125" bestFit="1" customWidth="1"/>
    <col min="9" max="9" width="12.42578125" customWidth="1"/>
    <col min="10" max="10" width="13.28515625" bestFit="1" customWidth="1"/>
    <col min="11" max="11" width="12" bestFit="1" customWidth="1"/>
    <col min="12" max="12" width="11.85546875" customWidth="1"/>
    <col min="13" max="13" width="17" bestFit="1" customWidth="1"/>
    <col min="14" max="14" width="12.7109375" bestFit="1" customWidth="1"/>
  </cols>
  <sheetData>
    <row r="1" spans="1:15" s="40" customFormat="1" ht="40.15" customHeight="1">
      <c r="A1" s="43"/>
      <c r="C1" s="47" t="s">
        <v>134</v>
      </c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5" s="41" customFormat="1" ht="4.5" customHeight="1">
      <c r="A2" s="44"/>
      <c r="B2" s="44"/>
      <c r="C2" s="44"/>
      <c r="D2" s="44"/>
      <c r="E2" s="44"/>
      <c r="F2" s="44"/>
    </row>
    <row r="3" spans="1:15" ht="4.5" customHeight="1">
      <c r="A3" s="42"/>
      <c r="B3" s="42"/>
      <c r="C3" s="42"/>
      <c r="D3" s="42"/>
      <c r="E3" s="42"/>
      <c r="F3" s="42"/>
    </row>
    <row r="4" spans="1:15" ht="35.2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10</v>
      </c>
      <c r="F4" s="36" t="s">
        <v>15</v>
      </c>
      <c r="G4" s="85" t="s">
        <v>11</v>
      </c>
      <c r="H4" s="36" t="s">
        <v>173</v>
      </c>
      <c r="I4" s="36" t="s">
        <v>174</v>
      </c>
      <c r="J4" s="86" t="s">
        <v>176</v>
      </c>
      <c r="K4" s="86" t="s">
        <v>175</v>
      </c>
      <c r="L4" s="86" t="s">
        <v>177</v>
      </c>
      <c r="M4" s="85" t="s">
        <v>178</v>
      </c>
      <c r="N4" s="37" t="s">
        <v>16</v>
      </c>
      <c r="O4" s="36" t="s">
        <v>74</v>
      </c>
    </row>
    <row r="5" spans="1:15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0" t="str">
        <f>VLOOKUP(TB_Vendas[[#This Row],[Código]],TB_Produtos[#All],4,0)</f>
        <v>Acessórios</v>
      </c>
      <c r="F5" s="1">
        <v>1</v>
      </c>
      <c r="G5" s="29">
        <f>VLOOKUP(TB_Vendas[[#This Row],[Código]],TB_Produtos[#All],6,0)</f>
        <v>39.9</v>
      </c>
      <c r="H5" s="84">
        <f>MATCH(TB_Vendas[[#This Row],[Categoria]],Desc_Categorias,0)</f>
        <v>2</v>
      </c>
      <c r="I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5" s="69">
        <f>VLOOKUP(TB_Vendas[[#This Row],[Qtd]],Desc_TabelaToda,TB_Vendas[[#This Row],[Índice]],TRUE)</f>
        <v>0</v>
      </c>
      <c r="K5" s="69">
        <f>INDEX(Desc_TabelaToda,MATCH(TB_Vendas[[#This Row],[Qtd]],Desc_Quantidades,1),MATCH(VLOOKUP(TB_Vendas[[#This Row],[Código]],TB_Produtos[],4,0),Desc_Categorias,0))</f>
        <v>0</v>
      </c>
      <c r="L5" s="69">
        <f>VLOOKUP(TB_Vendas[[#This Row],[Vendedor]],Vendedores!$A$5:$D$9,4,0)</f>
        <v>0.25</v>
      </c>
      <c r="M5" s="69">
        <f>IF(TB_Vendas[[#This Row],[Desconto (Diretão)]]&gt;TB_Vendas[[#This Row],[Desconto (Vendedor)]],TB_Vendas[[#This Row],[Desconto (Vendedor)]],TB_Vendas[[#This Row],[Desconto (Diretão)]])</f>
        <v>0</v>
      </c>
      <c r="N5" s="8">
        <f>TB_Vendas[[#This Row],[Preço Unitário]]*TB_Vendas[[#This Row],[Qtd]]</f>
        <v>39.9</v>
      </c>
      <c r="O5" s="1" t="s">
        <v>127</v>
      </c>
    </row>
    <row r="6" spans="1:15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0" t="str">
        <f>VLOOKUP(TB_Vendas[[#This Row],[Código]],TB_Produtos[#All],4,0)</f>
        <v>Acessórios</v>
      </c>
      <c r="F6" s="1">
        <v>1</v>
      </c>
      <c r="G6" s="29">
        <f>VLOOKUP(TB_Vendas[[#This Row],[Código]],TB_Produtos[#All],6,0)</f>
        <v>259.89999999999998</v>
      </c>
      <c r="H6" s="84">
        <f>MATCH(TB_Vendas[[#This Row],[Categoria]],Desc_Categorias,0)</f>
        <v>2</v>
      </c>
      <c r="I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6" s="69">
        <f>VLOOKUP(TB_Vendas[[#This Row],[Qtd]],Desc_TabelaToda,TB_Vendas[[#This Row],[Índice]],TRUE)</f>
        <v>0</v>
      </c>
      <c r="K6" s="69">
        <f>INDEX(Desc_TabelaToda,MATCH(TB_Vendas[[#This Row],[Qtd]],Desc_Quantidades,1),MATCH(VLOOKUP(TB_Vendas[[#This Row],[Código]],TB_Produtos[],4,0),Desc_Categorias,0))</f>
        <v>0</v>
      </c>
      <c r="L6" s="69">
        <f>VLOOKUP(TB_Vendas[[#This Row],[Vendedor]],Vendedores!$A$5:$D$9,4,0)</f>
        <v>0.25</v>
      </c>
      <c r="M6" s="69">
        <f>IF(TB_Vendas[[#This Row],[Desconto (Diretão)]]&gt;TB_Vendas[[#This Row],[Desconto (Vendedor)]],TB_Vendas[[#This Row],[Desconto (Vendedor)]],TB_Vendas[[#This Row],[Desconto (Diretão)]])</f>
        <v>0</v>
      </c>
      <c r="N6" s="8">
        <f>TB_Vendas[[#This Row],[Preço Unitário]]*TB_Vendas[[#This Row],[Qtd]]</f>
        <v>259.89999999999998</v>
      </c>
      <c r="O6" s="1" t="s">
        <v>127</v>
      </c>
    </row>
    <row r="7" spans="1:15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0" t="str">
        <f>VLOOKUP(TB_Vendas[[#This Row],[Código]],TB_Produtos[#All],4,0)</f>
        <v>Vestuário</v>
      </c>
      <c r="F7" s="1">
        <v>2</v>
      </c>
      <c r="G7" s="29">
        <f>VLOOKUP(TB_Vendas[[#This Row],[Código]],TB_Produtos[#All],6,0)</f>
        <v>32.9</v>
      </c>
      <c r="H7" s="84">
        <f>MATCH(TB_Vendas[[#This Row],[Categoria]],Desc_Categorias,0)</f>
        <v>3</v>
      </c>
      <c r="I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7" s="69">
        <f>VLOOKUP(TB_Vendas[[#This Row],[Qtd]],Desc_TabelaToda,TB_Vendas[[#This Row],[Índice]],TRUE)</f>
        <v>0.15</v>
      </c>
      <c r="K7" s="69">
        <f>INDEX(Desc_TabelaToda,MATCH(TB_Vendas[[#This Row],[Qtd]],Desc_Quantidades,1),MATCH(VLOOKUP(TB_Vendas[[#This Row],[Código]],TB_Produtos[],4,0),Desc_Categorias,0))</f>
        <v>0.15</v>
      </c>
      <c r="L7" s="69">
        <f>VLOOKUP(TB_Vendas[[#This Row],[Vendedor]],Vendedores!$A$5:$D$9,4,0)</f>
        <v>0.2</v>
      </c>
      <c r="M7" s="69">
        <f>IF(TB_Vendas[[#This Row],[Desconto (Diretão)]]&gt;TB_Vendas[[#This Row],[Desconto (Vendedor)]],TB_Vendas[[#This Row],[Desconto (Vendedor)]],TB_Vendas[[#This Row],[Desconto (Diretão)]])</f>
        <v>0.15</v>
      </c>
      <c r="N7" s="8">
        <f>TB_Vendas[[#This Row],[Preço Unitário]]*TB_Vendas[[#This Row],[Qtd]]</f>
        <v>65.8</v>
      </c>
      <c r="O7" s="1" t="s">
        <v>126</v>
      </c>
    </row>
    <row r="8" spans="1:15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0" t="str">
        <f>VLOOKUP(TB_Vendas[[#This Row],[Código]],TB_Produtos[#All],4,0)</f>
        <v>Vestuário</v>
      </c>
      <c r="F8" s="1">
        <v>1</v>
      </c>
      <c r="G8" s="29">
        <f>VLOOKUP(TB_Vendas[[#This Row],[Código]],TB_Produtos[#All],6,0)</f>
        <v>46.9</v>
      </c>
      <c r="H8" s="84">
        <f>MATCH(TB_Vendas[[#This Row],[Categoria]],Desc_Categorias,0)</f>
        <v>3</v>
      </c>
      <c r="I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8" s="69">
        <f>VLOOKUP(TB_Vendas[[#This Row],[Qtd]],Desc_TabelaToda,TB_Vendas[[#This Row],[Índice]],TRUE)</f>
        <v>0.1</v>
      </c>
      <c r="K8" s="69">
        <f>INDEX(Desc_TabelaToda,MATCH(TB_Vendas[[#This Row],[Qtd]],Desc_Quantidades,1),MATCH(VLOOKUP(TB_Vendas[[#This Row],[Código]],TB_Produtos[],4,0),Desc_Categorias,0))</f>
        <v>0.1</v>
      </c>
      <c r="L8" s="69">
        <f>VLOOKUP(TB_Vendas[[#This Row],[Vendedor]],Vendedores!$A$5:$D$9,4,0)</f>
        <v>0.15</v>
      </c>
      <c r="M8" s="69">
        <f>IF(TB_Vendas[[#This Row],[Desconto (Diretão)]]&gt;TB_Vendas[[#This Row],[Desconto (Vendedor)]],TB_Vendas[[#This Row],[Desconto (Vendedor)]],TB_Vendas[[#This Row],[Desconto (Diretão)]])</f>
        <v>0.1</v>
      </c>
      <c r="N8" s="8">
        <f>TB_Vendas[[#This Row],[Preço Unitário]]*TB_Vendas[[#This Row],[Qtd]]</f>
        <v>46.9</v>
      </c>
      <c r="O8" s="1" t="s">
        <v>130</v>
      </c>
    </row>
    <row r="9" spans="1:15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0" t="str">
        <f>VLOOKUP(TB_Vendas[[#This Row],[Código]],TB_Produtos[#All],4,0)</f>
        <v>Vestuário</v>
      </c>
      <c r="F9" s="1">
        <v>1</v>
      </c>
      <c r="G9" s="29">
        <f>VLOOKUP(TB_Vendas[[#This Row],[Código]],TB_Produtos[#All],6,0)</f>
        <v>29.9</v>
      </c>
      <c r="H9" s="84">
        <f>MATCH(TB_Vendas[[#This Row],[Categoria]],Desc_Categorias,0)</f>
        <v>3</v>
      </c>
      <c r="I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9" s="69">
        <f>VLOOKUP(TB_Vendas[[#This Row],[Qtd]],Desc_TabelaToda,TB_Vendas[[#This Row],[Índice]],TRUE)</f>
        <v>0.1</v>
      </c>
      <c r="K9" s="69">
        <f>INDEX(Desc_TabelaToda,MATCH(TB_Vendas[[#This Row],[Qtd]],Desc_Quantidades,1),MATCH(VLOOKUP(TB_Vendas[[#This Row],[Código]],TB_Produtos[],4,0),Desc_Categorias,0))</f>
        <v>0.1</v>
      </c>
      <c r="L9" s="69">
        <f>VLOOKUP(TB_Vendas[[#This Row],[Vendedor]],Vendedores!$A$5:$D$9,4,0)</f>
        <v>0.25</v>
      </c>
      <c r="M9" s="69">
        <f>IF(TB_Vendas[[#This Row],[Desconto (Diretão)]]&gt;TB_Vendas[[#This Row],[Desconto (Vendedor)]],TB_Vendas[[#This Row],[Desconto (Vendedor)]],TB_Vendas[[#This Row],[Desconto (Diretão)]])</f>
        <v>0.1</v>
      </c>
      <c r="N9" s="8">
        <f>TB_Vendas[[#This Row],[Preço Unitário]]*TB_Vendas[[#This Row],[Qtd]]</f>
        <v>29.9</v>
      </c>
      <c r="O9" s="1" t="s">
        <v>127</v>
      </c>
    </row>
    <row r="10" spans="1:15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0" t="str">
        <f>VLOOKUP(TB_Vendas[[#This Row],[Código]],TB_Produtos[#All],4,0)</f>
        <v>Vestuário</v>
      </c>
      <c r="F10" s="1">
        <v>1</v>
      </c>
      <c r="G10" s="29">
        <f>VLOOKUP(TB_Vendas[[#This Row],[Código]],TB_Produtos[#All],6,0)</f>
        <v>299.89999999999998</v>
      </c>
      <c r="H10" s="84">
        <f>MATCH(TB_Vendas[[#This Row],[Categoria]],Desc_Categorias,0)</f>
        <v>3</v>
      </c>
      <c r="I1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0" s="69">
        <f>VLOOKUP(TB_Vendas[[#This Row],[Qtd]],Desc_TabelaToda,TB_Vendas[[#This Row],[Índice]],TRUE)</f>
        <v>0.1</v>
      </c>
      <c r="K10" s="69">
        <f>INDEX(Desc_TabelaToda,MATCH(TB_Vendas[[#This Row],[Qtd]],Desc_Quantidades,1),MATCH(VLOOKUP(TB_Vendas[[#This Row],[Código]],TB_Produtos[],4,0),Desc_Categorias,0))</f>
        <v>0.1</v>
      </c>
      <c r="L10" s="69">
        <f>VLOOKUP(TB_Vendas[[#This Row],[Vendedor]],Vendedores!$A$5:$D$9,4,0)</f>
        <v>0.15</v>
      </c>
      <c r="M10" s="69">
        <f>IF(TB_Vendas[[#This Row],[Desconto (Diretão)]]&gt;TB_Vendas[[#This Row],[Desconto (Vendedor)]],TB_Vendas[[#This Row],[Desconto (Vendedor)]],TB_Vendas[[#This Row],[Desconto (Diretão)]])</f>
        <v>0.1</v>
      </c>
      <c r="N10" s="8">
        <f>TB_Vendas[[#This Row],[Preço Unitário]]*TB_Vendas[[#This Row],[Qtd]]</f>
        <v>299.89999999999998</v>
      </c>
      <c r="O10" s="1" t="s">
        <v>130</v>
      </c>
    </row>
    <row r="11" spans="1:15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0" t="str">
        <f>VLOOKUP(TB_Vendas[[#This Row],[Código]],TB_Produtos[#All],4,0)</f>
        <v>Vestuário</v>
      </c>
      <c r="F11" s="1">
        <v>1</v>
      </c>
      <c r="G11" s="29">
        <f>VLOOKUP(TB_Vendas[[#This Row],[Código]],TB_Produtos[#All],6,0)</f>
        <v>146</v>
      </c>
      <c r="H11" s="84">
        <f>MATCH(TB_Vendas[[#This Row],[Categoria]],Desc_Categorias,0)</f>
        <v>3</v>
      </c>
      <c r="I1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1" s="69">
        <f>VLOOKUP(TB_Vendas[[#This Row],[Qtd]],Desc_TabelaToda,TB_Vendas[[#This Row],[Índice]],TRUE)</f>
        <v>0.1</v>
      </c>
      <c r="K11" s="69">
        <f>INDEX(Desc_TabelaToda,MATCH(TB_Vendas[[#This Row],[Qtd]],Desc_Quantidades,1),MATCH(VLOOKUP(TB_Vendas[[#This Row],[Código]],TB_Produtos[],4,0),Desc_Categorias,0))</f>
        <v>0.1</v>
      </c>
      <c r="L11" s="69">
        <f>VLOOKUP(TB_Vendas[[#This Row],[Vendedor]],Vendedores!$A$5:$D$9,4,0)</f>
        <v>0.1</v>
      </c>
      <c r="M11" s="69">
        <f>IF(TB_Vendas[[#This Row],[Desconto (Diretão)]]&gt;TB_Vendas[[#This Row],[Desconto (Vendedor)]],TB_Vendas[[#This Row],[Desconto (Vendedor)]],TB_Vendas[[#This Row],[Desconto (Diretão)]])</f>
        <v>0.1</v>
      </c>
      <c r="N11" s="8">
        <f>TB_Vendas[[#This Row],[Preço Unitário]]*TB_Vendas[[#This Row],[Qtd]]</f>
        <v>146</v>
      </c>
      <c r="O11" s="1" t="s">
        <v>128</v>
      </c>
    </row>
    <row r="12" spans="1:15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0" t="str">
        <f>VLOOKUP(TB_Vendas[[#This Row],[Código]],TB_Produtos[#All],4,0)</f>
        <v>Vestuário</v>
      </c>
      <c r="F12" s="1">
        <v>2</v>
      </c>
      <c r="G12" s="29">
        <f>VLOOKUP(TB_Vendas[[#This Row],[Código]],TB_Produtos[#All],6,0)</f>
        <v>89.9</v>
      </c>
      <c r="H12" s="84">
        <f>MATCH(TB_Vendas[[#This Row],[Categoria]],Desc_Categorias,0)</f>
        <v>3</v>
      </c>
      <c r="I1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12" s="69">
        <f>VLOOKUP(TB_Vendas[[#This Row],[Qtd]],Desc_TabelaToda,TB_Vendas[[#This Row],[Índice]],TRUE)</f>
        <v>0.15</v>
      </c>
      <c r="K12" s="69">
        <f>INDEX(Desc_TabelaToda,MATCH(TB_Vendas[[#This Row],[Qtd]],Desc_Quantidades,1),MATCH(VLOOKUP(TB_Vendas[[#This Row],[Código]],TB_Produtos[],4,0),Desc_Categorias,0))</f>
        <v>0.15</v>
      </c>
      <c r="L12" s="69">
        <f>VLOOKUP(TB_Vendas[[#This Row],[Vendedor]],Vendedores!$A$5:$D$9,4,0)</f>
        <v>0.1</v>
      </c>
      <c r="M12" s="69">
        <f>IF(TB_Vendas[[#This Row],[Desconto (Diretão)]]&gt;TB_Vendas[[#This Row],[Desconto (Vendedor)]],TB_Vendas[[#This Row],[Desconto (Vendedor)]],TB_Vendas[[#This Row],[Desconto (Diretão)]])</f>
        <v>0.1</v>
      </c>
      <c r="N12" s="8">
        <f>TB_Vendas[[#This Row],[Preço Unitário]]*TB_Vendas[[#This Row],[Qtd]]</f>
        <v>179.8</v>
      </c>
      <c r="O12" s="1" t="s">
        <v>128</v>
      </c>
    </row>
    <row r="13" spans="1:15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0" t="str">
        <f>VLOOKUP(TB_Vendas[[#This Row],[Código]],TB_Produtos[#All],4,0)</f>
        <v>Calçado</v>
      </c>
      <c r="F13" s="1">
        <v>2</v>
      </c>
      <c r="G13" s="29">
        <f>VLOOKUP(TB_Vendas[[#This Row],[Código]],TB_Produtos[#All],6,0)</f>
        <v>250</v>
      </c>
      <c r="H13" s="84">
        <f>MATCH(TB_Vendas[[#This Row],[Categoria]],Desc_Categorias,0)</f>
        <v>4</v>
      </c>
      <c r="I1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3" s="69">
        <f>VLOOKUP(TB_Vendas[[#This Row],[Qtd]],Desc_TabelaToda,TB_Vendas[[#This Row],[Índice]],TRUE)</f>
        <v>0.1</v>
      </c>
      <c r="K13" s="69">
        <f>INDEX(Desc_TabelaToda,MATCH(TB_Vendas[[#This Row],[Qtd]],Desc_Quantidades,1),MATCH(VLOOKUP(TB_Vendas[[#This Row],[Código]],TB_Produtos[],4,0),Desc_Categorias,0))</f>
        <v>0.1</v>
      </c>
      <c r="L13" s="69">
        <f>VLOOKUP(TB_Vendas[[#This Row],[Vendedor]],Vendedores!$A$5:$D$9,4,0)</f>
        <v>0.25</v>
      </c>
      <c r="M13" s="69">
        <f>IF(TB_Vendas[[#This Row],[Desconto (Diretão)]]&gt;TB_Vendas[[#This Row],[Desconto (Vendedor)]],TB_Vendas[[#This Row],[Desconto (Vendedor)]],TB_Vendas[[#This Row],[Desconto (Diretão)]])</f>
        <v>0.1</v>
      </c>
      <c r="N13" s="8">
        <f>TB_Vendas[[#This Row],[Preço Unitário]]*TB_Vendas[[#This Row],[Qtd]]</f>
        <v>500</v>
      </c>
      <c r="O13" s="1" t="s">
        <v>127</v>
      </c>
    </row>
    <row r="14" spans="1:15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0" t="str">
        <f>VLOOKUP(TB_Vendas[[#This Row],[Código]],TB_Produtos[#All],4,0)</f>
        <v>Vestuário</v>
      </c>
      <c r="F14" s="1">
        <v>1</v>
      </c>
      <c r="G14" s="29">
        <f>VLOOKUP(TB_Vendas[[#This Row],[Código]],TB_Produtos[#All],6,0)</f>
        <v>39.9</v>
      </c>
      <c r="H14" s="84">
        <f>MATCH(TB_Vendas[[#This Row],[Categoria]],Desc_Categorias,0)</f>
        <v>3</v>
      </c>
      <c r="I1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4" s="69">
        <f>VLOOKUP(TB_Vendas[[#This Row],[Qtd]],Desc_TabelaToda,TB_Vendas[[#This Row],[Índice]],TRUE)</f>
        <v>0.1</v>
      </c>
      <c r="K14" s="69">
        <f>INDEX(Desc_TabelaToda,MATCH(TB_Vendas[[#This Row],[Qtd]],Desc_Quantidades,1),MATCH(VLOOKUP(TB_Vendas[[#This Row],[Código]],TB_Produtos[],4,0),Desc_Categorias,0))</f>
        <v>0.1</v>
      </c>
      <c r="L14" s="69">
        <f>VLOOKUP(TB_Vendas[[#This Row],[Vendedor]],Vendedores!$A$5:$D$9,4,0)</f>
        <v>0.25</v>
      </c>
      <c r="M14" s="69">
        <f>IF(TB_Vendas[[#This Row],[Desconto (Diretão)]]&gt;TB_Vendas[[#This Row],[Desconto (Vendedor)]],TB_Vendas[[#This Row],[Desconto (Vendedor)]],TB_Vendas[[#This Row],[Desconto (Diretão)]])</f>
        <v>0.1</v>
      </c>
      <c r="N14" s="8">
        <f>TB_Vendas[[#This Row],[Preço Unitário]]*TB_Vendas[[#This Row],[Qtd]]</f>
        <v>39.9</v>
      </c>
      <c r="O14" s="1" t="s">
        <v>127</v>
      </c>
    </row>
    <row r="15" spans="1:15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0" t="str">
        <f>VLOOKUP(TB_Vendas[[#This Row],[Código]],TB_Produtos[#All],4,0)</f>
        <v>Vestuário</v>
      </c>
      <c r="F15" s="1">
        <v>1</v>
      </c>
      <c r="G15" s="29">
        <f>VLOOKUP(TB_Vendas[[#This Row],[Código]],TB_Produtos[#All],6,0)</f>
        <v>142.9</v>
      </c>
      <c r="H15" s="84">
        <f>MATCH(TB_Vendas[[#This Row],[Categoria]],Desc_Categorias,0)</f>
        <v>3</v>
      </c>
      <c r="I1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5" s="69">
        <f>VLOOKUP(TB_Vendas[[#This Row],[Qtd]],Desc_TabelaToda,TB_Vendas[[#This Row],[Índice]],TRUE)</f>
        <v>0.1</v>
      </c>
      <c r="K15" s="69">
        <f>INDEX(Desc_TabelaToda,MATCH(TB_Vendas[[#This Row],[Qtd]],Desc_Quantidades,1),MATCH(VLOOKUP(TB_Vendas[[#This Row],[Código]],TB_Produtos[],4,0),Desc_Categorias,0))</f>
        <v>0.1</v>
      </c>
      <c r="L15" s="69">
        <f>VLOOKUP(TB_Vendas[[#This Row],[Vendedor]],Vendedores!$A$5:$D$9,4,0)</f>
        <v>0.2</v>
      </c>
      <c r="M15" s="69">
        <f>IF(TB_Vendas[[#This Row],[Desconto (Diretão)]]&gt;TB_Vendas[[#This Row],[Desconto (Vendedor)]],TB_Vendas[[#This Row],[Desconto (Vendedor)]],TB_Vendas[[#This Row],[Desconto (Diretão)]])</f>
        <v>0.1</v>
      </c>
      <c r="N15" s="8">
        <f>TB_Vendas[[#This Row],[Preço Unitário]]*TB_Vendas[[#This Row],[Qtd]]</f>
        <v>142.9</v>
      </c>
      <c r="O15" s="1" t="s">
        <v>129</v>
      </c>
    </row>
    <row r="16" spans="1:15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0" t="str">
        <f>VLOOKUP(TB_Vendas[[#This Row],[Código]],TB_Produtos[#All],4,0)</f>
        <v>Vestuário</v>
      </c>
      <c r="F16" s="1">
        <v>1</v>
      </c>
      <c r="G16" s="29">
        <f>VLOOKUP(TB_Vendas[[#This Row],[Código]],TB_Produtos[#All],6,0)</f>
        <v>300</v>
      </c>
      <c r="H16" s="84">
        <f>MATCH(TB_Vendas[[#This Row],[Categoria]],Desc_Categorias,0)</f>
        <v>3</v>
      </c>
      <c r="I1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16" s="69">
        <f>VLOOKUP(TB_Vendas[[#This Row],[Qtd]],Desc_TabelaToda,TB_Vendas[[#This Row],[Índice]],TRUE)</f>
        <v>0.1</v>
      </c>
      <c r="K16" s="69">
        <f>INDEX(Desc_TabelaToda,MATCH(TB_Vendas[[#This Row],[Qtd]],Desc_Quantidades,1),MATCH(VLOOKUP(TB_Vendas[[#This Row],[Código]],TB_Produtos[],4,0),Desc_Categorias,0))</f>
        <v>0.1</v>
      </c>
      <c r="L16" s="69">
        <f>VLOOKUP(TB_Vendas[[#This Row],[Vendedor]],Vendedores!$A$5:$D$9,4,0)</f>
        <v>0.1</v>
      </c>
      <c r="M16" s="69">
        <f>IF(TB_Vendas[[#This Row],[Desconto (Diretão)]]&gt;TB_Vendas[[#This Row],[Desconto (Vendedor)]],TB_Vendas[[#This Row],[Desconto (Vendedor)]],TB_Vendas[[#This Row],[Desconto (Diretão)]])</f>
        <v>0.1</v>
      </c>
      <c r="N16" s="8">
        <f>TB_Vendas[[#This Row],[Preço Unitário]]*TB_Vendas[[#This Row],[Qtd]]</f>
        <v>300</v>
      </c>
      <c r="O16" s="1" t="s">
        <v>128</v>
      </c>
    </row>
    <row r="17" spans="1:15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0" t="str">
        <f>VLOOKUP(TB_Vendas[[#This Row],[Código]],TB_Produtos[#All],4,0)</f>
        <v>Vestuário</v>
      </c>
      <c r="F17" s="1">
        <v>2</v>
      </c>
      <c r="G17" s="29">
        <f>VLOOKUP(TB_Vendas[[#This Row],[Código]],TB_Produtos[#All],6,0)</f>
        <v>289.89999999999998</v>
      </c>
      <c r="H17" s="84">
        <f>MATCH(TB_Vendas[[#This Row],[Categoria]],Desc_Categorias,0)</f>
        <v>3</v>
      </c>
      <c r="I1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17" s="69">
        <f>VLOOKUP(TB_Vendas[[#This Row],[Qtd]],Desc_TabelaToda,TB_Vendas[[#This Row],[Índice]],TRUE)</f>
        <v>0.15</v>
      </c>
      <c r="K17" s="69">
        <f>INDEX(Desc_TabelaToda,MATCH(TB_Vendas[[#This Row],[Qtd]],Desc_Quantidades,1),MATCH(VLOOKUP(TB_Vendas[[#This Row],[Código]],TB_Produtos[],4,0),Desc_Categorias,0))</f>
        <v>0.15</v>
      </c>
      <c r="L17" s="69">
        <f>VLOOKUP(TB_Vendas[[#This Row],[Vendedor]],Vendedores!$A$5:$D$9,4,0)</f>
        <v>0.2</v>
      </c>
      <c r="M17" s="69">
        <f>IF(TB_Vendas[[#This Row],[Desconto (Diretão)]]&gt;TB_Vendas[[#This Row],[Desconto (Vendedor)]],TB_Vendas[[#This Row],[Desconto (Vendedor)]],TB_Vendas[[#This Row],[Desconto (Diretão)]])</f>
        <v>0.15</v>
      </c>
      <c r="N17" s="8">
        <f>TB_Vendas[[#This Row],[Preço Unitário]]*TB_Vendas[[#This Row],[Qtd]]</f>
        <v>579.79999999999995</v>
      </c>
      <c r="O17" s="1" t="s">
        <v>129</v>
      </c>
    </row>
    <row r="18" spans="1:15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0" t="str">
        <f>VLOOKUP(TB_Vendas[[#This Row],[Código]],TB_Produtos[#All],4,0)</f>
        <v>Calçado</v>
      </c>
      <c r="F18" s="1">
        <v>1</v>
      </c>
      <c r="G18" s="29">
        <f>VLOOKUP(TB_Vendas[[#This Row],[Código]],TB_Produtos[#All],6,0)</f>
        <v>249.9</v>
      </c>
      <c r="H18" s="84">
        <f>MATCH(TB_Vendas[[#This Row],[Categoria]],Desc_Categorias,0)</f>
        <v>4</v>
      </c>
      <c r="I1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18" s="69">
        <f>VLOOKUP(TB_Vendas[[#This Row],[Qtd]],Desc_TabelaToda,TB_Vendas[[#This Row],[Índice]],TRUE)</f>
        <v>0</v>
      </c>
      <c r="K18" s="69">
        <f>INDEX(Desc_TabelaToda,MATCH(TB_Vendas[[#This Row],[Qtd]],Desc_Quantidades,1),MATCH(VLOOKUP(TB_Vendas[[#This Row],[Código]],TB_Produtos[],4,0),Desc_Categorias,0))</f>
        <v>0</v>
      </c>
      <c r="L18" s="69">
        <f>VLOOKUP(TB_Vendas[[#This Row],[Vendedor]],Vendedores!$A$5:$D$9,4,0)</f>
        <v>0.2</v>
      </c>
      <c r="M18" s="69">
        <f>IF(TB_Vendas[[#This Row],[Desconto (Diretão)]]&gt;TB_Vendas[[#This Row],[Desconto (Vendedor)]],TB_Vendas[[#This Row],[Desconto (Vendedor)]],TB_Vendas[[#This Row],[Desconto (Diretão)]])</f>
        <v>0</v>
      </c>
      <c r="N18" s="8">
        <f>TB_Vendas[[#This Row],[Preço Unitário]]*TB_Vendas[[#This Row],[Qtd]]</f>
        <v>249.9</v>
      </c>
      <c r="O18" s="1" t="s">
        <v>129</v>
      </c>
    </row>
    <row r="19" spans="1:15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0" t="str">
        <f>VLOOKUP(TB_Vendas[[#This Row],[Código]],TB_Produtos[#All],4,0)</f>
        <v>Vestuário</v>
      </c>
      <c r="F19" s="1">
        <v>2</v>
      </c>
      <c r="G19" s="29">
        <f>VLOOKUP(TB_Vendas[[#This Row],[Código]],TB_Produtos[#All],6,0)</f>
        <v>39.9</v>
      </c>
      <c r="H19" s="84">
        <f>MATCH(TB_Vendas[[#This Row],[Categoria]],Desc_Categorias,0)</f>
        <v>3</v>
      </c>
      <c r="I1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19" s="69">
        <f>VLOOKUP(TB_Vendas[[#This Row],[Qtd]],Desc_TabelaToda,TB_Vendas[[#This Row],[Índice]],TRUE)</f>
        <v>0.15</v>
      </c>
      <c r="K19" s="69">
        <f>INDEX(Desc_TabelaToda,MATCH(TB_Vendas[[#This Row],[Qtd]],Desc_Quantidades,1),MATCH(VLOOKUP(TB_Vendas[[#This Row],[Código]],TB_Produtos[],4,0),Desc_Categorias,0))</f>
        <v>0.15</v>
      </c>
      <c r="L19" s="69">
        <f>VLOOKUP(TB_Vendas[[#This Row],[Vendedor]],Vendedores!$A$5:$D$9,4,0)</f>
        <v>0.2</v>
      </c>
      <c r="M19" s="69">
        <f>IF(TB_Vendas[[#This Row],[Desconto (Diretão)]]&gt;TB_Vendas[[#This Row],[Desconto (Vendedor)]],TB_Vendas[[#This Row],[Desconto (Vendedor)]],TB_Vendas[[#This Row],[Desconto (Diretão)]])</f>
        <v>0.15</v>
      </c>
      <c r="N19" s="8">
        <f>TB_Vendas[[#This Row],[Preço Unitário]]*TB_Vendas[[#This Row],[Qtd]]</f>
        <v>79.8</v>
      </c>
      <c r="O19" s="1" t="s">
        <v>129</v>
      </c>
    </row>
    <row r="20" spans="1:15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0" t="str">
        <f>VLOOKUP(TB_Vendas[[#This Row],[Código]],TB_Produtos[#All],4,0)</f>
        <v>Vestuário</v>
      </c>
      <c r="F20" s="1">
        <v>4</v>
      </c>
      <c r="G20" s="29">
        <f>VLOOKUP(TB_Vendas[[#This Row],[Código]],TB_Produtos[#All],6,0)</f>
        <v>289.89999999999998</v>
      </c>
      <c r="H20" s="84">
        <f>MATCH(TB_Vendas[[#This Row],[Categoria]],Desc_Categorias,0)</f>
        <v>3</v>
      </c>
      <c r="I2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20" s="69">
        <f>VLOOKUP(TB_Vendas[[#This Row],[Qtd]],Desc_TabelaToda,TB_Vendas[[#This Row],[Índice]],TRUE)</f>
        <v>0.2</v>
      </c>
      <c r="K20" s="69">
        <f>INDEX(Desc_TabelaToda,MATCH(TB_Vendas[[#This Row],[Qtd]],Desc_Quantidades,1),MATCH(VLOOKUP(TB_Vendas[[#This Row],[Código]],TB_Produtos[],4,0),Desc_Categorias,0))</f>
        <v>0.2</v>
      </c>
      <c r="L20" s="69">
        <f>VLOOKUP(TB_Vendas[[#This Row],[Vendedor]],Vendedores!$A$5:$D$9,4,0)</f>
        <v>0.2</v>
      </c>
      <c r="M20" s="69">
        <f>IF(TB_Vendas[[#This Row],[Desconto (Diretão)]]&gt;TB_Vendas[[#This Row],[Desconto (Vendedor)]],TB_Vendas[[#This Row],[Desconto (Vendedor)]],TB_Vendas[[#This Row],[Desconto (Diretão)]])</f>
        <v>0.2</v>
      </c>
      <c r="N20" s="8">
        <f>TB_Vendas[[#This Row],[Preço Unitário]]*TB_Vendas[[#This Row],[Qtd]]</f>
        <v>1159.5999999999999</v>
      </c>
      <c r="O20" s="1" t="s">
        <v>129</v>
      </c>
    </row>
    <row r="21" spans="1:15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0" t="str">
        <f>VLOOKUP(TB_Vendas[[#This Row],[Código]],TB_Produtos[#All],4,0)</f>
        <v>Vestuário</v>
      </c>
      <c r="F21" s="1">
        <v>3</v>
      </c>
      <c r="G21" s="29">
        <f>VLOOKUP(TB_Vendas[[#This Row],[Código]],TB_Produtos[#All],6,0)</f>
        <v>180</v>
      </c>
      <c r="H21" s="84">
        <f>MATCH(TB_Vendas[[#This Row],[Categoria]],Desc_Categorias,0)</f>
        <v>3</v>
      </c>
      <c r="I2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21" s="69">
        <f>VLOOKUP(TB_Vendas[[#This Row],[Qtd]],Desc_TabelaToda,TB_Vendas[[#This Row],[Índice]],TRUE)</f>
        <v>0.2</v>
      </c>
      <c r="K21" s="69">
        <f>INDEX(Desc_TabelaToda,MATCH(TB_Vendas[[#This Row],[Qtd]],Desc_Quantidades,1),MATCH(VLOOKUP(TB_Vendas[[#This Row],[Código]],TB_Produtos[],4,0),Desc_Categorias,0))</f>
        <v>0.2</v>
      </c>
      <c r="L21" s="69">
        <f>VLOOKUP(TB_Vendas[[#This Row],[Vendedor]],Vendedores!$A$5:$D$9,4,0)</f>
        <v>0.25</v>
      </c>
      <c r="M21" s="69">
        <f>IF(TB_Vendas[[#This Row],[Desconto (Diretão)]]&gt;TB_Vendas[[#This Row],[Desconto (Vendedor)]],TB_Vendas[[#This Row],[Desconto (Vendedor)]],TB_Vendas[[#This Row],[Desconto (Diretão)]])</f>
        <v>0.2</v>
      </c>
      <c r="N21" s="8">
        <f>TB_Vendas[[#This Row],[Preço Unitário]]*TB_Vendas[[#This Row],[Qtd]]</f>
        <v>540</v>
      </c>
      <c r="O21" s="1" t="s">
        <v>127</v>
      </c>
    </row>
    <row r="22" spans="1:15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0" t="str">
        <f>VLOOKUP(TB_Vendas[[#This Row],[Código]],TB_Produtos[#All],4,0)</f>
        <v>Vestuário</v>
      </c>
      <c r="F22" s="1">
        <v>2</v>
      </c>
      <c r="G22" s="29">
        <f>VLOOKUP(TB_Vendas[[#This Row],[Código]],TB_Produtos[#All],6,0)</f>
        <v>32.9</v>
      </c>
      <c r="H22" s="84">
        <f>MATCH(TB_Vendas[[#This Row],[Categoria]],Desc_Categorias,0)</f>
        <v>3</v>
      </c>
      <c r="I2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22" s="69">
        <f>VLOOKUP(TB_Vendas[[#This Row],[Qtd]],Desc_TabelaToda,TB_Vendas[[#This Row],[Índice]],TRUE)</f>
        <v>0.15</v>
      </c>
      <c r="K22" s="69">
        <f>INDEX(Desc_TabelaToda,MATCH(TB_Vendas[[#This Row],[Qtd]],Desc_Quantidades,1),MATCH(VLOOKUP(TB_Vendas[[#This Row],[Código]],TB_Produtos[],4,0),Desc_Categorias,0))</f>
        <v>0.15</v>
      </c>
      <c r="L22" s="69">
        <f>VLOOKUP(TB_Vendas[[#This Row],[Vendedor]],Vendedores!$A$5:$D$9,4,0)</f>
        <v>0.2</v>
      </c>
      <c r="M22" s="69">
        <f>IF(TB_Vendas[[#This Row],[Desconto (Diretão)]]&gt;TB_Vendas[[#This Row],[Desconto (Vendedor)]],TB_Vendas[[#This Row],[Desconto (Vendedor)]],TB_Vendas[[#This Row],[Desconto (Diretão)]])</f>
        <v>0.15</v>
      </c>
      <c r="N22" s="8">
        <f>TB_Vendas[[#This Row],[Preço Unitário]]*TB_Vendas[[#This Row],[Qtd]]</f>
        <v>65.8</v>
      </c>
      <c r="O22" s="1" t="s">
        <v>126</v>
      </c>
    </row>
    <row r="23" spans="1:15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0" t="str">
        <f>VLOOKUP(TB_Vendas[[#This Row],[Código]],TB_Produtos[#All],4,0)</f>
        <v>Calçado</v>
      </c>
      <c r="F23" s="1">
        <v>3</v>
      </c>
      <c r="G23" s="29">
        <f>VLOOKUP(TB_Vendas[[#This Row],[Código]],TB_Produtos[#All],6,0)</f>
        <v>255</v>
      </c>
      <c r="H23" s="84">
        <f>MATCH(TB_Vendas[[#This Row],[Categoria]],Desc_Categorias,0)</f>
        <v>4</v>
      </c>
      <c r="I2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23" s="69">
        <f>VLOOKUP(TB_Vendas[[#This Row],[Qtd]],Desc_TabelaToda,TB_Vendas[[#This Row],[Índice]],TRUE)</f>
        <v>0.15</v>
      </c>
      <c r="K23" s="69">
        <f>INDEX(Desc_TabelaToda,MATCH(TB_Vendas[[#This Row],[Qtd]],Desc_Quantidades,1),MATCH(VLOOKUP(TB_Vendas[[#This Row],[Código]],TB_Produtos[],4,0),Desc_Categorias,0))</f>
        <v>0.15</v>
      </c>
      <c r="L23" s="69">
        <f>VLOOKUP(TB_Vendas[[#This Row],[Vendedor]],Vendedores!$A$5:$D$9,4,0)</f>
        <v>0.2</v>
      </c>
      <c r="M23" s="69">
        <f>IF(TB_Vendas[[#This Row],[Desconto (Diretão)]]&gt;TB_Vendas[[#This Row],[Desconto (Vendedor)]],TB_Vendas[[#This Row],[Desconto (Vendedor)]],TB_Vendas[[#This Row],[Desconto (Diretão)]])</f>
        <v>0.15</v>
      </c>
      <c r="N23" s="8">
        <f>TB_Vendas[[#This Row],[Preço Unitário]]*TB_Vendas[[#This Row],[Qtd]]</f>
        <v>765</v>
      </c>
      <c r="O23" s="1" t="s">
        <v>129</v>
      </c>
    </row>
    <row r="24" spans="1:15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0" t="str">
        <f>VLOOKUP(TB_Vendas[[#This Row],[Código]],TB_Produtos[#All],4,0)</f>
        <v>Vestuário</v>
      </c>
      <c r="F24" s="1">
        <v>1</v>
      </c>
      <c r="G24" s="29">
        <f>VLOOKUP(TB_Vendas[[#This Row],[Código]],TB_Produtos[#All],6,0)</f>
        <v>142.9</v>
      </c>
      <c r="H24" s="84">
        <f>MATCH(TB_Vendas[[#This Row],[Categoria]],Desc_Categorias,0)</f>
        <v>3</v>
      </c>
      <c r="I2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24" s="69">
        <f>VLOOKUP(TB_Vendas[[#This Row],[Qtd]],Desc_TabelaToda,TB_Vendas[[#This Row],[Índice]],TRUE)</f>
        <v>0.1</v>
      </c>
      <c r="K24" s="69">
        <f>INDEX(Desc_TabelaToda,MATCH(TB_Vendas[[#This Row],[Qtd]],Desc_Quantidades,1),MATCH(VLOOKUP(TB_Vendas[[#This Row],[Código]],TB_Produtos[],4,0),Desc_Categorias,0))</f>
        <v>0.1</v>
      </c>
      <c r="L24" s="69">
        <f>VLOOKUP(TB_Vendas[[#This Row],[Vendedor]],Vendedores!$A$5:$D$9,4,0)</f>
        <v>0.2</v>
      </c>
      <c r="M24" s="69">
        <f>IF(TB_Vendas[[#This Row],[Desconto (Diretão)]]&gt;TB_Vendas[[#This Row],[Desconto (Vendedor)]],TB_Vendas[[#This Row],[Desconto (Vendedor)]],TB_Vendas[[#This Row],[Desconto (Diretão)]])</f>
        <v>0.1</v>
      </c>
      <c r="N24" s="8">
        <f>TB_Vendas[[#This Row],[Preço Unitário]]*TB_Vendas[[#This Row],[Qtd]]</f>
        <v>142.9</v>
      </c>
      <c r="O24" s="1" t="s">
        <v>126</v>
      </c>
    </row>
    <row r="25" spans="1:15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0" t="str">
        <f>VLOOKUP(TB_Vendas[[#This Row],[Código]],TB_Produtos[#All],4,0)</f>
        <v>Vestuário</v>
      </c>
      <c r="F25" s="1">
        <v>4</v>
      </c>
      <c r="G25" s="29">
        <f>VLOOKUP(TB_Vendas[[#This Row],[Código]],TB_Produtos[#All],6,0)</f>
        <v>92.9</v>
      </c>
      <c r="H25" s="84">
        <f>MATCH(TB_Vendas[[#This Row],[Categoria]],Desc_Categorias,0)</f>
        <v>3</v>
      </c>
      <c r="I2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25" s="69">
        <f>VLOOKUP(TB_Vendas[[#This Row],[Qtd]],Desc_TabelaToda,TB_Vendas[[#This Row],[Índice]],TRUE)</f>
        <v>0.2</v>
      </c>
      <c r="K25" s="69">
        <f>INDEX(Desc_TabelaToda,MATCH(TB_Vendas[[#This Row],[Qtd]],Desc_Quantidades,1),MATCH(VLOOKUP(TB_Vendas[[#This Row],[Código]],TB_Produtos[],4,0),Desc_Categorias,0))</f>
        <v>0.2</v>
      </c>
      <c r="L25" s="69">
        <f>VLOOKUP(TB_Vendas[[#This Row],[Vendedor]],Vendedores!$A$5:$D$9,4,0)</f>
        <v>0.1</v>
      </c>
      <c r="M25" s="69">
        <f>IF(TB_Vendas[[#This Row],[Desconto (Diretão)]]&gt;TB_Vendas[[#This Row],[Desconto (Vendedor)]],TB_Vendas[[#This Row],[Desconto (Vendedor)]],TB_Vendas[[#This Row],[Desconto (Diretão)]])</f>
        <v>0.1</v>
      </c>
      <c r="N25" s="8">
        <f>TB_Vendas[[#This Row],[Preço Unitário]]*TB_Vendas[[#This Row],[Qtd]]</f>
        <v>371.6</v>
      </c>
      <c r="O25" s="1" t="s">
        <v>128</v>
      </c>
    </row>
    <row r="26" spans="1:15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0" t="str">
        <f>VLOOKUP(TB_Vendas[[#This Row],[Código]],TB_Produtos[#All],4,0)</f>
        <v>Vestuário</v>
      </c>
      <c r="F26" s="1">
        <v>2</v>
      </c>
      <c r="G26" s="29">
        <f>VLOOKUP(TB_Vendas[[#This Row],[Código]],TB_Produtos[#All],6,0)</f>
        <v>54.9</v>
      </c>
      <c r="H26" s="84">
        <f>MATCH(TB_Vendas[[#This Row],[Categoria]],Desc_Categorias,0)</f>
        <v>3</v>
      </c>
      <c r="I2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26" s="69">
        <f>VLOOKUP(TB_Vendas[[#This Row],[Qtd]],Desc_TabelaToda,TB_Vendas[[#This Row],[Índice]],TRUE)</f>
        <v>0.15</v>
      </c>
      <c r="K26" s="69">
        <f>INDEX(Desc_TabelaToda,MATCH(TB_Vendas[[#This Row],[Qtd]],Desc_Quantidades,1),MATCH(VLOOKUP(TB_Vendas[[#This Row],[Código]],TB_Produtos[],4,0),Desc_Categorias,0))</f>
        <v>0.15</v>
      </c>
      <c r="L26" s="69">
        <f>VLOOKUP(TB_Vendas[[#This Row],[Vendedor]],Vendedores!$A$5:$D$9,4,0)</f>
        <v>0.2</v>
      </c>
      <c r="M26" s="69">
        <f>IF(TB_Vendas[[#This Row],[Desconto (Diretão)]]&gt;TB_Vendas[[#This Row],[Desconto (Vendedor)]],TB_Vendas[[#This Row],[Desconto (Vendedor)]],TB_Vendas[[#This Row],[Desconto (Diretão)]])</f>
        <v>0.15</v>
      </c>
      <c r="N26" s="8">
        <f>TB_Vendas[[#This Row],[Preço Unitário]]*TB_Vendas[[#This Row],[Qtd]]</f>
        <v>109.8</v>
      </c>
      <c r="O26" s="1" t="s">
        <v>126</v>
      </c>
    </row>
    <row r="27" spans="1:15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0" t="str">
        <f>VLOOKUP(TB_Vendas[[#This Row],[Código]],TB_Produtos[#All],4,0)</f>
        <v>Vestuário</v>
      </c>
      <c r="F27" s="1">
        <v>3</v>
      </c>
      <c r="G27" s="29">
        <f>VLOOKUP(TB_Vendas[[#This Row],[Código]],TB_Produtos[#All],6,0)</f>
        <v>142.9</v>
      </c>
      <c r="H27" s="84">
        <f>MATCH(TB_Vendas[[#This Row],[Categoria]],Desc_Categorias,0)</f>
        <v>3</v>
      </c>
      <c r="I2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27" s="69">
        <f>VLOOKUP(TB_Vendas[[#This Row],[Qtd]],Desc_TabelaToda,TB_Vendas[[#This Row],[Índice]],TRUE)</f>
        <v>0.2</v>
      </c>
      <c r="K27" s="69">
        <f>INDEX(Desc_TabelaToda,MATCH(TB_Vendas[[#This Row],[Qtd]],Desc_Quantidades,1),MATCH(VLOOKUP(TB_Vendas[[#This Row],[Código]],TB_Produtos[],4,0),Desc_Categorias,0))</f>
        <v>0.2</v>
      </c>
      <c r="L27" s="69">
        <f>VLOOKUP(TB_Vendas[[#This Row],[Vendedor]],Vendedores!$A$5:$D$9,4,0)</f>
        <v>0.25</v>
      </c>
      <c r="M27" s="69">
        <f>IF(TB_Vendas[[#This Row],[Desconto (Diretão)]]&gt;TB_Vendas[[#This Row],[Desconto (Vendedor)]],TB_Vendas[[#This Row],[Desconto (Vendedor)]],TB_Vendas[[#This Row],[Desconto (Diretão)]])</f>
        <v>0.2</v>
      </c>
      <c r="N27" s="8">
        <f>TB_Vendas[[#This Row],[Preço Unitário]]*TB_Vendas[[#This Row],[Qtd]]</f>
        <v>428.70000000000005</v>
      </c>
      <c r="O27" s="1" t="s">
        <v>127</v>
      </c>
    </row>
    <row r="28" spans="1:15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0" t="str">
        <f>VLOOKUP(TB_Vendas[[#This Row],[Código]],TB_Produtos[#All],4,0)</f>
        <v>Acessórios</v>
      </c>
      <c r="F28" s="1">
        <v>2</v>
      </c>
      <c r="G28" s="29">
        <f>VLOOKUP(TB_Vendas[[#This Row],[Código]],TB_Produtos[#All],6,0)</f>
        <v>120</v>
      </c>
      <c r="H28" s="84">
        <f>MATCH(TB_Vendas[[#This Row],[Categoria]],Desc_Categorias,0)</f>
        <v>2</v>
      </c>
      <c r="I2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0.05</v>
      </c>
      <c r="J28" s="69">
        <f>VLOOKUP(TB_Vendas[[#This Row],[Qtd]],Desc_TabelaToda,TB_Vendas[[#This Row],[Índice]],TRUE)</f>
        <v>0.05</v>
      </c>
      <c r="K28" s="69">
        <f>INDEX(Desc_TabelaToda,MATCH(TB_Vendas[[#This Row],[Qtd]],Desc_Quantidades,1),MATCH(VLOOKUP(TB_Vendas[[#This Row],[Código]],TB_Produtos[],4,0),Desc_Categorias,0))</f>
        <v>0.05</v>
      </c>
      <c r="L28" s="69">
        <f>VLOOKUP(TB_Vendas[[#This Row],[Vendedor]],Vendedores!$A$5:$D$9,4,0)</f>
        <v>0.25</v>
      </c>
      <c r="M28" s="69">
        <f>IF(TB_Vendas[[#This Row],[Desconto (Diretão)]]&gt;TB_Vendas[[#This Row],[Desconto (Vendedor)]],TB_Vendas[[#This Row],[Desconto (Vendedor)]],TB_Vendas[[#This Row],[Desconto (Diretão)]])</f>
        <v>0.05</v>
      </c>
      <c r="N28" s="8">
        <f>TB_Vendas[[#This Row],[Preço Unitário]]*TB_Vendas[[#This Row],[Qtd]]</f>
        <v>240</v>
      </c>
      <c r="O28" s="1" t="s">
        <v>127</v>
      </c>
    </row>
    <row r="29" spans="1:15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0" t="str">
        <f>VLOOKUP(TB_Vendas[[#This Row],[Código]],TB_Produtos[#All],4,0)</f>
        <v>Vestuário</v>
      </c>
      <c r="F29" s="1">
        <v>1</v>
      </c>
      <c r="G29" s="29">
        <f>VLOOKUP(TB_Vendas[[#This Row],[Código]],TB_Produtos[#All],6,0)</f>
        <v>65.900000000000006</v>
      </c>
      <c r="H29" s="84">
        <f>MATCH(TB_Vendas[[#This Row],[Categoria]],Desc_Categorias,0)</f>
        <v>3</v>
      </c>
      <c r="I2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29" s="69">
        <f>VLOOKUP(TB_Vendas[[#This Row],[Qtd]],Desc_TabelaToda,TB_Vendas[[#This Row],[Índice]],TRUE)</f>
        <v>0.1</v>
      </c>
      <c r="K29" s="69">
        <f>INDEX(Desc_TabelaToda,MATCH(TB_Vendas[[#This Row],[Qtd]],Desc_Quantidades,1),MATCH(VLOOKUP(TB_Vendas[[#This Row],[Código]],TB_Produtos[],4,0),Desc_Categorias,0))</f>
        <v>0.1</v>
      </c>
      <c r="L29" s="69">
        <f>VLOOKUP(TB_Vendas[[#This Row],[Vendedor]],Vendedores!$A$5:$D$9,4,0)</f>
        <v>0.2</v>
      </c>
      <c r="M29" s="69">
        <f>IF(TB_Vendas[[#This Row],[Desconto (Diretão)]]&gt;TB_Vendas[[#This Row],[Desconto (Vendedor)]],TB_Vendas[[#This Row],[Desconto (Vendedor)]],TB_Vendas[[#This Row],[Desconto (Diretão)]])</f>
        <v>0.1</v>
      </c>
      <c r="N29" s="8">
        <f>TB_Vendas[[#This Row],[Preço Unitário]]*TB_Vendas[[#This Row],[Qtd]]</f>
        <v>65.900000000000006</v>
      </c>
      <c r="O29" s="1" t="s">
        <v>129</v>
      </c>
    </row>
    <row r="30" spans="1:15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0" t="str">
        <f>VLOOKUP(TB_Vendas[[#This Row],[Código]],TB_Produtos[#All],4,0)</f>
        <v>Vestuário</v>
      </c>
      <c r="F30" s="1">
        <v>5</v>
      </c>
      <c r="G30" s="29">
        <f>VLOOKUP(TB_Vendas[[#This Row],[Código]],TB_Produtos[#All],6,0)</f>
        <v>32.9</v>
      </c>
      <c r="H30" s="84">
        <f>MATCH(TB_Vendas[[#This Row],[Categoria]],Desc_Categorias,0)</f>
        <v>3</v>
      </c>
      <c r="I3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30" s="69">
        <f>VLOOKUP(TB_Vendas[[#This Row],[Qtd]],Desc_TabelaToda,TB_Vendas[[#This Row],[Índice]],TRUE)</f>
        <v>0.25</v>
      </c>
      <c r="K30" s="69">
        <f>INDEX(Desc_TabelaToda,MATCH(TB_Vendas[[#This Row],[Qtd]],Desc_Quantidades,1),MATCH(VLOOKUP(TB_Vendas[[#This Row],[Código]],TB_Produtos[],4,0),Desc_Categorias,0))</f>
        <v>0.25</v>
      </c>
      <c r="L30" s="69">
        <f>VLOOKUP(TB_Vendas[[#This Row],[Vendedor]],Vendedores!$A$5:$D$9,4,0)</f>
        <v>0.15</v>
      </c>
      <c r="M30" s="69">
        <f>IF(TB_Vendas[[#This Row],[Desconto (Diretão)]]&gt;TB_Vendas[[#This Row],[Desconto (Vendedor)]],TB_Vendas[[#This Row],[Desconto (Vendedor)]],TB_Vendas[[#This Row],[Desconto (Diretão)]])</f>
        <v>0.15</v>
      </c>
      <c r="N30" s="8">
        <f>TB_Vendas[[#This Row],[Preço Unitário]]*TB_Vendas[[#This Row],[Qtd]]</f>
        <v>164.5</v>
      </c>
      <c r="O30" s="1" t="s">
        <v>130</v>
      </c>
    </row>
    <row r="31" spans="1:15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0" t="str">
        <f>VLOOKUP(TB_Vendas[[#This Row],[Código]],TB_Produtos[#All],4,0)</f>
        <v>Vestuário</v>
      </c>
      <c r="F31" s="1">
        <v>2</v>
      </c>
      <c r="G31" s="29">
        <f>VLOOKUP(TB_Vendas[[#This Row],[Código]],TB_Produtos[#All],6,0)</f>
        <v>180</v>
      </c>
      <c r="H31" s="84">
        <f>MATCH(TB_Vendas[[#This Row],[Categoria]],Desc_Categorias,0)</f>
        <v>3</v>
      </c>
      <c r="I3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31" s="69">
        <f>VLOOKUP(TB_Vendas[[#This Row],[Qtd]],Desc_TabelaToda,TB_Vendas[[#This Row],[Índice]],TRUE)</f>
        <v>0.15</v>
      </c>
      <c r="K31" s="69">
        <f>INDEX(Desc_TabelaToda,MATCH(TB_Vendas[[#This Row],[Qtd]],Desc_Quantidades,1),MATCH(VLOOKUP(TB_Vendas[[#This Row],[Código]],TB_Produtos[],4,0),Desc_Categorias,0))</f>
        <v>0.15</v>
      </c>
      <c r="L31" s="69">
        <f>VLOOKUP(TB_Vendas[[#This Row],[Vendedor]],Vendedores!$A$5:$D$9,4,0)</f>
        <v>0.25</v>
      </c>
      <c r="M31" s="69">
        <f>IF(TB_Vendas[[#This Row],[Desconto (Diretão)]]&gt;TB_Vendas[[#This Row],[Desconto (Vendedor)]],TB_Vendas[[#This Row],[Desconto (Vendedor)]],TB_Vendas[[#This Row],[Desconto (Diretão)]])</f>
        <v>0.15</v>
      </c>
      <c r="N31" s="8">
        <f>TB_Vendas[[#This Row],[Preço Unitário]]*TB_Vendas[[#This Row],[Qtd]]</f>
        <v>360</v>
      </c>
      <c r="O31" s="1" t="s">
        <v>127</v>
      </c>
    </row>
    <row r="32" spans="1:15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0" t="str">
        <f>VLOOKUP(TB_Vendas[[#This Row],[Código]],TB_Produtos[#All],4,0)</f>
        <v>Acessórios</v>
      </c>
      <c r="F32" s="1">
        <v>3</v>
      </c>
      <c r="G32" s="29">
        <f>VLOOKUP(TB_Vendas[[#This Row],[Código]],TB_Produtos[#All],6,0)</f>
        <v>349.9</v>
      </c>
      <c r="H32" s="84">
        <f>MATCH(TB_Vendas[[#This Row],[Categoria]],Desc_Categorias,0)</f>
        <v>2</v>
      </c>
      <c r="I3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32" s="69">
        <f>VLOOKUP(TB_Vendas[[#This Row],[Qtd]],Desc_TabelaToda,TB_Vendas[[#This Row],[Índice]],TRUE)</f>
        <v>0.15</v>
      </c>
      <c r="K32" s="69">
        <f>INDEX(Desc_TabelaToda,MATCH(TB_Vendas[[#This Row],[Qtd]],Desc_Quantidades,1),MATCH(VLOOKUP(TB_Vendas[[#This Row],[Código]],TB_Produtos[],4,0),Desc_Categorias,0))</f>
        <v>0.15</v>
      </c>
      <c r="L32" s="69">
        <f>VLOOKUP(TB_Vendas[[#This Row],[Vendedor]],Vendedores!$A$5:$D$9,4,0)</f>
        <v>0.2</v>
      </c>
      <c r="M32" s="69">
        <f>IF(TB_Vendas[[#This Row],[Desconto (Diretão)]]&gt;TB_Vendas[[#This Row],[Desconto (Vendedor)]],TB_Vendas[[#This Row],[Desconto (Vendedor)]],TB_Vendas[[#This Row],[Desconto (Diretão)]])</f>
        <v>0.15</v>
      </c>
      <c r="N32" s="8">
        <f>TB_Vendas[[#This Row],[Preço Unitário]]*TB_Vendas[[#This Row],[Qtd]]</f>
        <v>1049.6999999999998</v>
      </c>
      <c r="O32" s="1" t="s">
        <v>126</v>
      </c>
    </row>
    <row r="33" spans="1:15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0" t="str">
        <f>VLOOKUP(TB_Vendas[[#This Row],[Código]],TB_Produtos[#All],4,0)</f>
        <v>Vestuário</v>
      </c>
      <c r="F33" s="1">
        <v>1</v>
      </c>
      <c r="G33" s="29">
        <f>VLOOKUP(TB_Vendas[[#This Row],[Código]],TB_Produtos[#All],6,0)</f>
        <v>72.5</v>
      </c>
      <c r="H33" s="84">
        <f>MATCH(TB_Vendas[[#This Row],[Categoria]],Desc_Categorias,0)</f>
        <v>3</v>
      </c>
      <c r="I3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33" s="69">
        <f>VLOOKUP(TB_Vendas[[#This Row],[Qtd]],Desc_TabelaToda,TB_Vendas[[#This Row],[Índice]],TRUE)</f>
        <v>0.1</v>
      </c>
      <c r="K33" s="69">
        <f>INDEX(Desc_TabelaToda,MATCH(TB_Vendas[[#This Row],[Qtd]],Desc_Quantidades,1),MATCH(VLOOKUP(TB_Vendas[[#This Row],[Código]],TB_Produtos[],4,0),Desc_Categorias,0))</f>
        <v>0.1</v>
      </c>
      <c r="L33" s="69">
        <f>VLOOKUP(TB_Vendas[[#This Row],[Vendedor]],Vendedores!$A$5:$D$9,4,0)</f>
        <v>0.1</v>
      </c>
      <c r="M33" s="69">
        <f>IF(TB_Vendas[[#This Row],[Desconto (Diretão)]]&gt;TB_Vendas[[#This Row],[Desconto (Vendedor)]],TB_Vendas[[#This Row],[Desconto (Vendedor)]],TB_Vendas[[#This Row],[Desconto (Diretão)]])</f>
        <v>0.1</v>
      </c>
      <c r="N33" s="8">
        <f>TB_Vendas[[#This Row],[Preço Unitário]]*TB_Vendas[[#This Row],[Qtd]]</f>
        <v>72.5</v>
      </c>
      <c r="O33" s="1" t="s">
        <v>128</v>
      </c>
    </row>
    <row r="34" spans="1:15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0" t="str">
        <f>VLOOKUP(TB_Vendas[[#This Row],[Código]],TB_Produtos[#All],4,0)</f>
        <v>Vestuário</v>
      </c>
      <c r="F34" s="1">
        <v>4</v>
      </c>
      <c r="G34" s="29">
        <f>VLOOKUP(TB_Vendas[[#This Row],[Código]],TB_Produtos[#All],6,0)</f>
        <v>259.89999999999998</v>
      </c>
      <c r="H34" s="84">
        <f>MATCH(TB_Vendas[[#This Row],[Categoria]],Desc_Categorias,0)</f>
        <v>3</v>
      </c>
      <c r="I3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34" s="69">
        <f>VLOOKUP(TB_Vendas[[#This Row],[Qtd]],Desc_TabelaToda,TB_Vendas[[#This Row],[Índice]],TRUE)</f>
        <v>0.2</v>
      </c>
      <c r="K34" s="69">
        <f>INDEX(Desc_TabelaToda,MATCH(TB_Vendas[[#This Row],[Qtd]],Desc_Quantidades,1),MATCH(VLOOKUP(TB_Vendas[[#This Row],[Código]],TB_Produtos[],4,0),Desc_Categorias,0))</f>
        <v>0.2</v>
      </c>
      <c r="L34" s="69">
        <f>VLOOKUP(TB_Vendas[[#This Row],[Vendedor]],Vendedores!$A$5:$D$9,4,0)</f>
        <v>0.2</v>
      </c>
      <c r="M34" s="69">
        <f>IF(TB_Vendas[[#This Row],[Desconto (Diretão)]]&gt;TB_Vendas[[#This Row],[Desconto (Vendedor)]],TB_Vendas[[#This Row],[Desconto (Vendedor)]],TB_Vendas[[#This Row],[Desconto (Diretão)]])</f>
        <v>0.2</v>
      </c>
      <c r="N34" s="8">
        <f>TB_Vendas[[#This Row],[Preço Unitário]]*TB_Vendas[[#This Row],[Qtd]]</f>
        <v>1039.5999999999999</v>
      </c>
      <c r="O34" s="1" t="s">
        <v>126</v>
      </c>
    </row>
    <row r="35" spans="1:15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0" t="str">
        <f>VLOOKUP(TB_Vendas[[#This Row],[Código]],TB_Produtos[#All],4,0)</f>
        <v>Vestuário</v>
      </c>
      <c r="F35" s="1">
        <v>3</v>
      </c>
      <c r="G35" s="29">
        <f>VLOOKUP(TB_Vendas[[#This Row],[Código]],TB_Produtos[#All],6,0)</f>
        <v>25.9</v>
      </c>
      <c r="H35" s="84">
        <f>MATCH(TB_Vendas[[#This Row],[Categoria]],Desc_Categorias,0)</f>
        <v>3</v>
      </c>
      <c r="I3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35" s="69">
        <f>VLOOKUP(TB_Vendas[[#This Row],[Qtd]],Desc_TabelaToda,TB_Vendas[[#This Row],[Índice]],TRUE)</f>
        <v>0.2</v>
      </c>
      <c r="K35" s="69">
        <f>INDEX(Desc_TabelaToda,MATCH(TB_Vendas[[#This Row],[Qtd]],Desc_Quantidades,1),MATCH(VLOOKUP(TB_Vendas[[#This Row],[Código]],TB_Produtos[],4,0),Desc_Categorias,0))</f>
        <v>0.2</v>
      </c>
      <c r="L35" s="69">
        <f>VLOOKUP(TB_Vendas[[#This Row],[Vendedor]],Vendedores!$A$5:$D$9,4,0)</f>
        <v>0.25</v>
      </c>
      <c r="M35" s="69">
        <f>IF(TB_Vendas[[#This Row],[Desconto (Diretão)]]&gt;TB_Vendas[[#This Row],[Desconto (Vendedor)]],TB_Vendas[[#This Row],[Desconto (Vendedor)]],TB_Vendas[[#This Row],[Desconto (Diretão)]])</f>
        <v>0.2</v>
      </c>
      <c r="N35" s="8">
        <f>TB_Vendas[[#This Row],[Preço Unitário]]*TB_Vendas[[#This Row],[Qtd]]</f>
        <v>77.699999999999989</v>
      </c>
      <c r="O35" s="1" t="s">
        <v>127</v>
      </c>
    </row>
    <row r="36" spans="1:15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0" t="str">
        <f>VLOOKUP(TB_Vendas[[#This Row],[Código]],TB_Produtos[#All],4,0)</f>
        <v>Acessórios</v>
      </c>
      <c r="F36" s="1">
        <v>2</v>
      </c>
      <c r="G36" s="29">
        <f>VLOOKUP(TB_Vendas[[#This Row],[Código]],TB_Produtos[#All],6,0)</f>
        <v>145</v>
      </c>
      <c r="H36" s="84">
        <f>MATCH(TB_Vendas[[#This Row],[Categoria]],Desc_Categorias,0)</f>
        <v>2</v>
      </c>
      <c r="I3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0.05</v>
      </c>
      <c r="J36" s="69">
        <f>VLOOKUP(TB_Vendas[[#This Row],[Qtd]],Desc_TabelaToda,TB_Vendas[[#This Row],[Índice]],TRUE)</f>
        <v>0.05</v>
      </c>
      <c r="K36" s="69">
        <f>INDEX(Desc_TabelaToda,MATCH(TB_Vendas[[#This Row],[Qtd]],Desc_Quantidades,1),MATCH(VLOOKUP(TB_Vendas[[#This Row],[Código]],TB_Produtos[],4,0),Desc_Categorias,0))</f>
        <v>0.05</v>
      </c>
      <c r="L36" s="69">
        <f>VLOOKUP(TB_Vendas[[#This Row],[Vendedor]],Vendedores!$A$5:$D$9,4,0)</f>
        <v>0.2</v>
      </c>
      <c r="M36" s="69">
        <f>IF(TB_Vendas[[#This Row],[Desconto (Diretão)]]&gt;TB_Vendas[[#This Row],[Desconto (Vendedor)]],TB_Vendas[[#This Row],[Desconto (Vendedor)]],TB_Vendas[[#This Row],[Desconto (Diretão)]])</f>
        <v>0.05</v>
      </c>
      <c r="N36" s="8">
        <f>TB_Vendas[[#This Row],[Preço Unitário]]*TB_Vendas[[#This Row],[Qtd]]</f>
        <v>290</v>
      </c>
      <c r="O36" s="1" t="s">
        <v>126</v>
      </c>
    </row>
    <row r="37" spans="1:15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0" t="str">
        <f>VLOOKUP(TB_Vendas[[#This Row],[Código]],TB_Produtos[#All],4,0)</f>
        <v>Acessórios</v>
      </c>
      <c r="F37" s="1">
        <v>1</v>
      </c>
      <c r="G37" s="29">
        <f>VLOOKUP(TB_Vendas[[#This Row],[Código]],TB_Produtos[#All],6,0)</f>
        <v>39.9</v>
      </c>
      <c r="H37" s="84">
        <f>MATCH(TB_Vendas[[#This Row],[Categoria]],Desc_Categorias,0)</f>
        <v>2</v>
      </c>
      <c r="I3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37" s="69">
        <f>VLOOKUP(TB_Vendas[[#This Row],[Qtd]],Desc_TabelaToda,TB_Vendas[[#This Row],[Índice]],TRUE)</f>
        <v>0</v>
      </c>
      <c r="K37" s="69">
        <f>INDEX(Desc_TabelaToda,MATCH(TB_Vendas[[#This Row],[Qtd]],Desc_Quantidades,1),MATCH(VLOOKUP(TB_Vendas[[#This Row],[Código]],TB_Produtos[],4,0),Desc_Categorias,0))</f>
        <v>0</v>
      </c>
      <c r="L37" s="69">
        <f>VLOOKUP(TB_Vendas[[#This Row],[Vendedor]],Vendedores!$A$5:$D$9,4,0)</f>
        <v>0.25</v>
      </c>
      <c r="M37" s="69">
        <f>IF(TB_Vendas[[#This Row],[Desconto (Diretão)]]&gt;TB_Vendas[[#This Row],[Desconto (Vendedor)]],TB_Vendas[[#This Row],[Desconto (Vendedor)]],TB_Vendas[[#This Row],[Desconto (Diretão)]])</f>
        <v>0</v>
      </c>
      <c r="N37" s="8">
        <f>TB_Vendas[[#This Row],[Preço Unitário]]*TB_Vendas[[#This Row],[Qtd]]</f>
        <v>39.9</v>
      </c>
      <c r="O37" s="1" t="s">
        <v>127</v>
      </c>
    </row>
    <row r="38" spans="1:15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0" t="str">
        <f>VLOOKUP(TB_Vendas[[#This Row],[Código]],TB_Produtos[#All],4,0)</f>
        <v>Acessórios</v>
      </c>
      <c r="F38" s="1">
        <v>3</v>
      </c>
      <c r="G38" s="29">
        <f>VLOOKUP(TB_Vendas[[#This Row],[Código]],TB_Produtos[#All],6,0)</f>
        <v>349.9</v>
      </c>
      <c r="H38" s="84">
        <f>MATCH(TB_Vendas[[#This Row],[Categoria]],Desc_Categorias,0)</f>
        <v>2</v>
      </c>
      <c r="I3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38" s="69">
        <f>VLOOKUP(TB_Vendas[[#This Row],[Qtd]],Desc_TabelaToda,TB_Vendas[[#This Row],[Índice]],TRUE)</f>
        <v>0.15</v>
      </c>
      <c r="K38" s="69">
        <f>INDEX(Desc_TabelaToda,MATCH(TB_Vendas[[#This Row],[Qtd]],Desc_Quantidades,1),MATCH(VLOOKUP(TB_Vendas[[#This Row],[Código]],TB_Produtos[],4,0),Desc_Categorias,0))</f>
        <v>0.15</v>
      </c>
      <c r="L38" s="69">
        <f>VLOOKUP(TB_Vendas[[#This Row],[Vendedor]],Vendedores!$A$5:$D$9,4,0)</f>
        <v>0.2</v>
      </c>
      <c r="M38" s="69">
        <f>IF(TB_Vendas[[#This Row],[Desconto (Diretão)]]&gt;TB_Vendas[[#This Row],[Desconto (Vendedor)]],TB_Vendas[[#This Row],[Desconto (Vendedor)]],TB_Vendas[[#This Row],[Desconto (Diretão)]])</f>
        <v>0.15</v>
      </c>
      <c r="N38" s="8">
        <f>TB_Vendas[[#This Row],[Preço Unitário]]*TB_Vendas[[#This Row],[Qtd]]</f>
        <v>1049.6999999999998</v>
      </c>
      <c r="O38" s="1" t="s">
        <v>129</v>
      </c>
    </row>
    <row r="39" spans="1:15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0" t="str">
        <f>VLOOKUP(TB_Vendas[[#This Row],[Código]],TB_Produtos[#All],4,0)</f>
        <v>Calçado</v>
      </c>
      <c r="F39" s="1">
        <v>4</v>
      </c>
      <c r="G39" s="29">
        <f>VLOOKUP(TB_Vendas[[#This Row],[Código]],TB_Produtos[#All],6,0)</f>
        <v>89.9</v>
      </c>
      <c r="H39" s="84">
        <f>MATCH(TB_Vendas[[#This Row],[Categoria]],Desc_Categorias,0)</f>
        <v>4</v>
      </c>
      <c r="I3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39" s="69">
        <f>VLOOKUP(TB_Vendas[[#This Row],[Qtd]],Desc_TabelaToda,TB_Vendas[[#This Row],[Índice]],TRUE)</f>
        <v>0.15</v>
      </c>
      <c r="K39" s="69">
        <f>INDEX(Desc_TabelaToda,MATCH(TB_Vendas[[#This Row],[Qtd]],Desc_Quantidades,1),MATCH(VLOOKUP(TB_Vendas[[#This Row],[Código]],TB_Produtos[],4,0),Desc_Categorias,0))</f>
        <v>0.15</v>
      </c>
      <c r="L39" s="69">
        <f>VLOOKUP(TB_Vendas[[#This Row],[Vendedor]],Vendedores!$A$5:$D$9,4,0)</f>
        <v>0.2</v>
      </c>
      <c r="M39" s="69">
        <f>IF(TB_Vendas[[#This Row],[Desconto (Diretão)]]&gt;TB_Vendas[[#This Row],[Desconto (Vendedor)]],TB_Vendas[[#This Row],[Desconto (Vendedor)]],TB_Vendas[[#This Row],[Desconto (Diretão)]])</f>
        <v>0.15</v>
      </c>
      <c r="N39" s="8">
        <f>TB_Vendas[[#This Row],[Preço Unitário]]*TB_Vendas[[#This Row],[Qtd]]</f>
        <v>359.6</v>
      </c>
      <c r="O39" s="1" t="s">
        <v>126</v>
      </c>
    </row>
    <row r="40" spans="1:15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0" t="str">
        <f>VLOOKUP(TB_Vendas[[#This Row],[Código]],TB_Produtos[#All],4,0)</f>
        <v>Calçado</v>
      </c>
      <c r="F40" s="1">
        <v>2</v>
      </c>
      <c r="G40" s="29">
        <f>VLOOKUP(TB_Vendas[[#This Row],[Código]],TB_Produtos[#All],6,0)</f>
        <v>89.9</v>
      </c>
      <c r="H40" s="84">
        <f>MATCH(TB_Vendas[[#This Row],[Categoria]],Desc_Categorias,0)</f>
        <v>4</v>
      </c>
      <c r="I4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40" s="69">
        <f>VLOOKUP(TB_Vendas[[#This Row],[Qtd]],Desc_TabelaToda,TB_Vendas[[#This Row],[Índice]],TRUE)</f>
        <v>0.1</v>
      </c>
      <c r="K40" s="69">
        <f>INDEX(Desc_TabelaToda,MATCH(TB_Vendas[[#This Row],[Qtd]],Desc_Quantidades,1),MATCH(VLOOKUP(TB_Vendas[[#This Row],[Código]],TB_Produtos[],4,0),Desc_Categorias,0))</f>
        <v>0.1</v>
      </c>
      <c r="L40" s="69">
        <f>VLOOKUP(TB_Vendas[[#This Row],[Vendedor]],Vendedores!$A$5:$D$9,4,0)</f>
        <v>0.2</v>
      </c>
      <c r="M40" s="69">
        <f>IF(TB_Vendas[[#This Row],[Desconto (Diretão)]]&gt;TB_Vendas[[#This Row],[Desconto (Vendedor)]],TB_Vendas[[#This Row],[Desconto (Vendedor)]],TB_Vendas[[#This Row],[Desconto (Diretão)]])</f>
        <v>0.1</v>
      </c>
      <c r="N40" s="8">
        <f>TB_Vendas[[#This Row],[Preço Unitário]]*TB_Vendas[[#This Row],[Qtd]]</f>
        <v>179.8</v>
      </c>
      <c r="O40" s="1" t="s">
        <v>129</v>
      </c>
    </row>
    <row r="41" spans="1:15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0" t="str">
        <f>VLOOKUP(TB_Vendas[[#This Row],[Código]],TB_Produtos[#All],4,0)</f>
        <v>Vestuário</v>
      </c>
      <c r="F41" s="1">
        <v>3</v>
      </c>
      <c r="G41" s="29">
        <f>VLOOKUP(TB_Vendas[[#This Row],[Código]],TB_Produtos[#All],6,0)</f>
        <v>69.900000000000006</v>
      </c>
      <c r="H41" s="84">
        <f>MATCH(TB_Vendas[[#This Row],[Categoria]],Desc_Categorias,0)</f>
        <v>3</v>
      </c>
      <c r="I4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41" s="69">
        <f>VLOOKUP(TB_Vendas[[#This Row],[Qtd]],Desc_TabelaToda,TB_Vendas[[#This Row],[Índice]],TRUE)</f>
        <v>0.2</v>
      </c>
      <c r="K41" s="69">
        <f>INDEX(Desc_TabelaToda,MATCH(TB_Vendas[[#This Row],[Qtd]],Desc_Quantidades,1),MATCH(VLOOKUP(TB_Vendas[[#This Row],[Código]],TB_Produtos[],4,0),Desc_Categorias,0))</f>
        <v>0.2</v>
      </c>
      <c r="L41" s="69">
        <f>VLOOKUP(TB_Vendas[[#This Row],[Vendedor]],Vendedores!$A$5:$D$9,4,0)</f>
        <v>0.2</v>
      </c>
      <c r="M41" s="69">
        <f>IF(TB_Vendas[[#This Row],[Desconto (Diretão)]]&gt;TB_Vendas[[#This Row],[Desconto (Vendedor)]],TB_Vendas[[#This Row],[Desconto (Vendedor)]],TB_Vendas[[#This Row],[Desconto (Diretão)]])</f>
        <v>0.2</v>
      </c>
      <c r="N41" s="8">
        <f>TB_Vendas[[#This Row],[Preço Unitário]]*TB_Vendas[[#This Row],[Qtd]]</f>
        <v>209.70000000000002</v>
      </c>
      <c r="O41" s="1" t="s">
        <v>126</v>
      </c>
    </row>
    <row r="42" spans="1:15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0" t="str">
        <f>VLOOKUP(TB_Vendas[[#This Row],[Código]],TB_Produtos[#All],4,0)</f>
        <v>Acessórios</v>
      </c>
      <c r="F42" s="1">
        <v>1</v>
      </c>
      <c r="G42" s="29">
        <f>VLOOKUP(TB_Vendas[[#This Row],[Código]],TB_Produtos[#All],6,0)</f>
        <v>145</v>
      </c>
      <c r="H42" s="84">
        <f>MATCH(TB_Vendas[[#This Row],[Categoria]],Desc_Categorias,0)</f>
        <v>2</v>
      </c>
      <c r="I4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42" s="69">
        <f>VLOOKUP(TB_Vendas[[#This Row],[Qtd]],Desc_TabelaToda,TB_Vendas[[#This Row],[Índice]],TRUE)</f>
        <v>0</v>
      </c>
      <c r="K42" s="69">
        <f>INDEX(Desc_TabelaToda,MATCH(TB_Vendas[[#This Row],[Qtd]],Desc_Quantidades,1),MATCH(VLOOKUP(TB_Vendas[[#This Row],[Código]],TB_Produtos[],4,0),Desc_Categorias,0))</f>
        <v>0</v>
      </c>
      <c r="L42" s="69">
        <f>VLOOKUP(TB_Vendas[[#This Row],[Vendedor]],Vendedores!$A$5:$D$9,4,0)</f>
        <v>0.15</v>
      </c>
      <c r="M42" s="69">
        <f>IF(TB_Vendas[[#This Row],[Desconto (Diretão)]]&gt;TB_Vendas[[#This Row],[Desconto (Vendedor)]],TB_Vendas[[#This Row],[Desconto (Vendedor)]],TB_Vendas[[#This Row],[Desconto (Diretão)]])</f>
        <v>0</v>
      </c>
      <c r="N42" s="8">
        <f>TB_Vendas[[#This Row],[Preço Unitário]]*TB_Vendas[[#This Row],[Qtd]]</f>
        <v>145</v>
      </c>
      <c r="O42" s="1" t="s">
        <v>130</v>
      </c>
    </row>
    <row r="43" spans="1:15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0" t="str">
        <f>VLOOKUP(TB_Vendas[[#This Row],[Código]],TB_Produtos[#All],4,0)</f>
        <v>Vestuário</v>
      </c>
      <c r="F43" s="1">
        <v>4</v>
      </c>
      <c r="G43" s="29">
        <f>VLOOKUP(TB_Vendas[[#This Row],[Código]],TB_Produtos[#All],6,0)</f>
        <v>46.9</v>
      </c>
      <c r="H43" s="84">
        <f>MATCH(TB_Vendas[[#This Row],[Categoria]],Desc_Categorias,0)</f>
        <v>3</v>
      </c>
      <c r="I4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43" s="69">
        <f>VLOOKUP(TB_Vendas[[#This Row],[Qtd]],Desc_TabelaToda,TB_Vendas[[#This Row],[Índice]],TRUE)</f>
        <v>0.2</v>
      </c>
      <c r="K43" s="69">
        <f>INDEX(Desc_TabelaToda,MATCH(TB_Vendas[[#This Row],[Qtd]],Desc_Quantidades,1),MATCH(VLOOKUP(TB_Vendas[[#This Row],[Código]],TB_Produtos[],4,0),Desc_Categorias,0))</f>
        <v>0.2</v>
      </c>
      <c r="L43" s="69">
        <f>VLOOKUP(TB_Vendas[[#This Row],[Vendedor]],Vendedores!$A$5:$D$9,4,0)</f>
        <v>0.2</v>
      </c>
      <c r="M43" s="69">
        <f>IF(TB_Vendas[[#This Row],[Desconto (Diretão)]]&gt;TB_Vendas[[#This Row],[Desconto (Vendedor)]],TB_Vendas[[#This Row],[Desconto (Vendedor)]],TB_Vendas[[#This Row],[Desconto (Diretão)]])</f>
        <v>0.2</v>
      </c>
      <c r="N43" s="8">
        <f>TB_Vendas[[#This Row],[Preço Unitário]]*TB_Vendas[[#This Row],[Qtd]]</f>
        <v>187.6</v>
      </c>
      <c r="O43" s="1" t="s">
        <v>126</v>
      </c>
    </row>
    <row r="44" spans="1:15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0" t="str">
        <f>VLOOKUP(TB_Vendas[[#This Row],[Código]],TB_Produtos[#All],4,0)</f>
        <v>Vestuário</v>
      </c>
      <c r="F44" s="1">
        <v>2</v>
      </c>
      <c r="G44" s="29">
        <f>VLOOKUP(TB_Vendas[[#This Row],[Código]],TB_Produtos[#All],6,0)</f>
        <v>72.5</v>
      </c>
      <c r="H44" s="84">
        <f>MATCH(TB_Vendas[[#This Row],[Categoria]],Desc_Categorias,0)</f>
        <v>3</v>
      </c>
      <c r="I4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44" s="69">
        <f>VLOOKUP(TB_Vendas[[#This Row],[Qtd]],Desc_TabelaToda,TB_Vendas[[#This Row],[Índice]],TRUE)</f>
        <v>0.15</v>
      </c>
      <c r="K44" s="69">
        <f>INDEX(Desc_TabelaToda,MATCH(TB_Vendas[[#This Row],[Qtd]],Desc_Quantidades,1),MATCH(VLOOKUP(TB_Vendas[[#This Row],[Código]],TB_Produtos[],4,0),Desc_Categorias,0))</f>
        <v>0.15</v>
      </c>
      <c r="L44" s="69">
        <f>VLOOKUP(TB_Vendas[[#This Row],[Vendedor]],Vendedores!$A$5:$D$9,4,0)</f>
        <v>0.15</v>
      </c>
      <c r="M44" s="69">
        <f>IF(TB_Vendas[[#This Row],[Desconto (Diretão)]]&gt;TB_Vendas[[#This Row],[Desconto (Vendedor)]],TB_Vendas[[#This Row],[Desconto (Vendedor)]],TB_Vendas[[#This Row],[Desconto (Diretão)]])</f>
        <v>0.15</v>
      </c>
      <c r="N44" s="8">
        <f>TB_Vendas[[#This Row],[Preço Unitário]]*TB_Vendas[[#This Row],[Qtd]]</f>
        <v>145</v>
      </c>
      <c r="O44" s="1" t="s">
        <v>130</v>
      </c>
    </row>
    <row r="45" spans="1:15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0" t="str">
        <f>VLOOKUP(TB_Vendas[[#This Row],[Código]],TB_Produtos[#All],4,0)</f>
        <v>Vestuário</v>
      </c>
      <c r="F45" s="1">
        <v>3</v>
      </c>
      <c r="G45" s="29">
        <f>VLOOKUP(TB_Vendas[[#This Row],[Código]],TB_Produtos[#All],6,0)</f>
        <v>140</v>
      </c>
      <c r="H45" s="84">
        <f>MATCH(TB_Vendas[[#This Row],[Categoria]],Desc_Categorias,0)</f>
        <v>3</v>
      </c>
      <c r="I4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45" s="69">
        <f>VLOOKUP(TB_Vendas[[#This Row],[Qtd]],Desc_TabelaToda,TB_Vendas[[#This Row],[Índice]],TRUE)</f>
        <v>0.2</v>
      </c>
      <c r="K45" s="69">
        <f>INDEX(Desc_TabelaToda,MATCH(TB_Vendas[[#This Row],[Qtd]],Desc_Quantidades,1),MATCH(VLOOKUP(TB_Vendas[[#This Row],[Código]],TB_Produtos[],4,0),Desc_Categorias,0))</f>
        <v>0.2</v>
      </c>
      <c r="L45" s="69">
        <f>VLOOKUP(TB_Vendas[[#This Row],[Vendedor]],Vendedores!$A$5:$D$9,4,0)</f>
        <v>0.2</v>
      </c>
      <c r="M45" s="69">
        <f>IF(TB_Vendas[[#This Row],[Desconto (Diretão)]]&gt;TB_Vendas[[#This Row],[Desconto (Vendedor)]],TB_Vendas[[#This Row],[Desconto (Vendedor)]],TB_Vendas[[#This Row],[Desconto (Diretão)]])</f>
        <v>0.2</v>
      </c>
      <c r="N45" s="8">
        <f>TB_Vendas[[#This Row],[Preço Unitário]]*TB_Vendas[[#This Row],[Qtd]]</f>
        <v>420</v>
      </c>
      <c r="O45" s="1" t="s">
        <v>129</v>
      </c>
    </row>
    <row r="46" spans="1:15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0" t="str">
        <f>VLOOKUP(TB_Vendas[[#This Row],[Código]],TB_Produtos[#All],4,0)</f>
        <v>Vestuário</v>
      </c>
      <c r="F46" s="1">
        <v>1</v>
      </c>
      <c r="G46" s="29">
        <f>VLOOKUP(TB_Vendas[[#This Row],[Código]],TB_Produtos[#All],6,0)</f>
        <v>91.4</v>
      </c>
      <c r="H46" s="84">
        <f>MATCH(TB_Vendas[[#This Row],[Categoria]],Desc_Categorias,0)</f>
        <v>3</v>
      </c>
      <c r="I4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46" s="69">
        <f>VLOOKUP(TB_Vendas[[#This Row],[Qtd]],Desc_TabelaToda,TB_Vendas[[#This Row],[Índice]],TRUE)</f>
        <v>0.1</v>
      </c>
      <c r="K46" s="69">
        <f>INDEX(Desc_TabelaToda,MATCH(TB_Vendas[[#This Row],[Qtd]],Desc_Quantidades,1),MATCH(VLOOKUP(TB_Vendas[[#This Row],[Código]],TB_Produtos[],4,0),Desc_Categorias,0))</f>
        <v>0.1</v>
      </c>
      <c r="L46" s="69">
        <f>VLOOKUP(TB_Vendas[[#This Row],[Vendedor]],Vendedores!$A$5:$D$9,4,0)</f>
        <v>0.25</v>
      </c>
      <c r="M46" s="69">
        <f>IF(TB_Vendas[[#This Row],[Desconto (Diretão)]]&gt;TB_Vendas[[#This Row],[Desconto (Vendedor)]],TB_Vendas[[#This Row],[Desconto (Vendedor)]],TB_Vendas[[#This Row],[Desconto (Diretão)]])</f>
        <v>0.1</v>
      </c>
      <c r="N46" s="8">
        <f>TB_Vendas[[#This Row],[Preço Unitário]]*TB_Vendas[[#This Row],[Qtd]]</f>
        <v>91.4</v>
      </c>
      <c r="O46" s="1" t="s">
        <v>127</v>
      </c>
    </row>
    <row r="47" spans="1:15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0" t="str">
        <f>VLOOKUP(TB_Vendas[[#This Row],[Código]],TB_Produtos[#All],4,0)</f>
        <v>Acessórios</v>
      </c>
      <c r="F47" s="1">
        <v>2</v>
      </c>
      <c r="G47" s="29">
        <f>VLOOKUP(TB_Vendas[[#This Row],[Código]],TB_Produtos[#All],6,0)</f>
        <v>349.9</v>
      </c>
      <c r="H47" s="84">
        <f>MATCH(TB_Vendas[[#This Row],[Categoria]],Desc_Categorias,0)</f>
        <v>2</v>
      </c>
      <c r="I4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0.05</v>
      </c>
      <c r="J47" s="69">
        <f>VLOOKUP(TB_Vendas[[#This Row],[Qtd]],Desc_TabelaToda,TB_Vendas[[#This Row],[Índice]],TRUE)</f>
        <v>0.05</v>
      </c>
      <c r="K47" s="69">
        <f>INDEX(Desc_TabelaToda,MATCH(TB_Vendas[[#This Row],[Qtd]],Desc_Quantidades,1),MATCH(VLOOKUP(TB_Vendas[[#This Row],[Código]],TB_Produtos[],4,0),Desc_Categorias,0))</f>
        <v>0.05</v>
      </c>
      <c r="L47" s="69">
        <f>VLOOKUP(TB_Vendas[[#This Row],[Vendedor]],Vendedores!$A$5:$D$9,4,0)</f>
        <v>0.2</v>
      </c>
      <c r="M47" s="69">
        <f>IF(TB_Vendas[[#This Row],[Desconto (Diretão)]]&gt;TB_Vendas[[#This Row],[Desconto (Vendedor)]],TB_Vendas[[#This Row],[Desconto (Vendedor)]],TB_Vendas[[#This Row],[Desconto (Diretão)]])</f>
        <v>0.05</v>
      </c>
      <c r="N47" s="8">
        <f>TB_Vendas[[#This Row],[Preço Unitário]]*TB_Vendas[[#This Row],[Qtd]]</f>
        <v>699.8</v>
      </c>
      <c r="O47" s="1" t="s">
        <v>129</v>
      </c>
    </row>
    <row r="48" spans="1:15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0" t="str">
        <f>VLOOKUP(TB_Vendas[[#This Row],[Código]],TB_Produtos[#All],4,0)</f>
        <v>Vestuário</v>
      </c>
      <c r="F48" s="1">
        <v>3</v>
      </c>
      <c r="G48" s="29">
        <f>VLOOKUP(TB_Vendas[[#This Row],[Código]],TB_Produtos[#All],6,0)</f>
        <v>65.900000000000006</v>
      </c>
      <c r="H48" s="84">
        <f>MATCH(TB_Vendas[[#This Row],[Categoria]],Desc_Categorias,0)</f>
        <v>3</v>
      </c>
      <c r="I4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48" s="69">
        <f>VLOOKUP(TB_Vendas[[#This Row],[Qtd]],Desc_TabelaToda,TB_Vendas[[#This Row],[Índice]],TRUE)</f>
        <v>0.2</v>
      </c>
      <c r="K48" s="69">
        <f>INDEX(Desc_TabelaToda,MATCH(TB_Vendas[[#This Row],[Qtd]],Desc_Quantidades,1),MATCH(VLOOKUP(TB_Vendas[[#This Row],[Código]],TB_Produtos[],4,0),Desc_Categorias,0))</f>
        <v>0.2</v>
      </c>
      <c r="L48" s="69">
        <f>VLOOKUP(TB_Vendas[[#This Row],[Vendedor]],Vendedores!$A$5:$D$9,4,0)</f>
        <v>0.25</v>
      </c>
      <c r="M48" s="69">
        <f>IF(TB_Vendas[[#This Row],[Desconto (Diretão)]]&gt;TB_Vendas[[#This Row],[Desconto (Vendedor)]],TB_Vendas[[#This Row],[Desconto (Vendedor)]],TB_Vendas[[#This Row],[Desconto (Diretão)]])</f>
        <v>0.2</v>
      </c>
      <c r="N48" s="8">
        <f>TB_Vendas[[#This Row],[Preço Unitário]]*TB_Vendas[[#This Row],[Qtd]]</f>
        <v>197.70000000000002</v>
      </c>
      <c r="O48" s="1" t="s">
        <v>127</v>
      </c>
    </row>
    <row r="49" spans="1:15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0" t="str">
        <f>VLOOKUP(TB_Vendas[[#This Row],[Código]],TB_Produtos[#All],4,0)</f>
        <v>Vestuário</v>
      </c>
      <c r="F49" s="1">
        <v>2</v>
      </c>
      <c r="G49" s="29">
        <f>VLOOKUP(TB_Vendas[[#This Row],[Código]],TB_Produtos[#All],6,0)</f>
        <v>91.4</v>
      </c>
      <c r="H49" s="84">
        <f>MATCH(TB_Vendas[[#This Row],[Categoria]],Desc_Categorias,0)</f>
        <v>3</v>
      </c>
      <c r="I4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49" s="69">
        <f>VLOOKUP(TB_Vendas[[#This Row],[Qtd]],Desc_TabelaToda,TB_Vendas[[#This Row],[Índice]],TRUE)</f>
        <v>0.15</v>
      </c>
      <c r="K49" s="69">
        <f>INDEX(Desc_TabelaToda,MATCH(TB_Vendas[[#This Row],[Qtd]],Desc_Quantidades,1),MATCH(VLOOKUP(TB_Vendas[[#This Row],[Código]],TB_Produtos[],4,0),Desc_Categorias,0))</f>
        <v>0.15</v>
      </c>
      <c r="L49" s="69">
        <f>VLOOKUP(TB_Vendas[[#This Row],[Vendedor]],Vendedores!$A$5:$D$9,4,0)</f>
        <v>0.2</v>
      </c>
      <c r="M49" s="69">
        <f>IF(TB_Vendas[[#This Row],[Desconto (Diretão)]]&gt;TB_Vendas[[#This Row],[Desconto (Vendedor)]],TB_Vendas[[#This Row],[Desconto (Vendedor)]],TB_Vendas[[#This Row],[Desconto (Diretão)]])</f>
        <v>0.15</v>
      </c>
      <c r="N49" s="8">
        <f>TB_Vendas[[#This Row],[Preço Unitário]]*TB_Vendas[[#This Row],[Qtd]]</f>
        <v>182.8</v>
      </c>
      <c r="O49" s="1" t="s">
        <v>126</v>
      </c>
    </row>
    <row r="50" spans="1:15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0" t="str">
        <f>VLOOKUP(TB_Vendas[[#This Row],[Código]],TB_Produtos[#All],4,0)</f>
        <v>Acessórios</v>
      </c>
      <c r="F50" s="1">
        <v>4</v>
      </c>
      <c r="G50" s="29">
        <f>VLOOKUP(TB_Vendas[[#This Row],[Código]],TB_Produtos[#All],6,0)</f>
        <v>259.89999999999998</v>
      </c>
      <c r="H50" s="84">
        <f>MATCH(TB_Vendas[[#This Row],[Categoria]],Desc_Categorias,0)</f>
        <v>2</v>
      </c>
      <c r="I5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0" s="69">
        <f>VLOOKUP(TB_Vendas[[#This Row],[Qtd]],Desc_TabelaToda,TB_Vendas[[#This Row],[Índice]],TRUE)</f>
        <v>0.15</v>
      </c>
      <c r="K50" s="69">
        <f>INDEX(Desc_TabelaToda,MATCH(TB_Vendas[[#This Row],[Qtd]],Desc_Quantidades,1),MATCH(VLOOKUP(TB_Vendas[[#This Row],[Código]],TB_Produtos[],4,0),Desc_Categorias,0))</f>
        <v>0.15</v>
      </c>
      <c r="L50" s="69">
        <f>VLOOKUP(TB_Vendas[[#This Row],[Vendedor]],Vendedores!$A$5:$D$9,4,0)</f>
        <v>0.25</v>
      </c>
      <c r="M50" s="69">
        <f>IF(TB_Vendas[[#This Row],[Desconto (Diretão)]]&gt;TB_Vendas[[#This Row],[Desconto (Vendedor)]],TB_Vendas[[#This Row],[Desconto (Vendedor)]],TB_Vendas[[#This Row],[Desconto (Diretão)]])</f>
        <v>0.15</v>
      </c>
      <c r="N50" s="8">
        <f>TB_Vendas[[#This Row],[Preço Unitário]]*TB_Vendas[[#This Row],[Qtd]]</f>
        <v>1039.5999999999999</v>
      </c>
      <c r="O50" s="1" t="s">
        <v>127</v>
      </c>
    </row>
    <row r="51" spans="1:15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0" t="str">
        <f>VLOOKUP(TB_Vendas[[#This Row],[Código]],TB_Produtos[#All],4,0)</f>
        <v>Acessórios</v>
      </c>
      <c r="F51" s="1">
        <v>3</v>
      </c>
      <c r="G51" s="29">
        <f>VLOOKUP(TB_Vendas[[#This Row],[Código]],TB_Produtos[#All],6,0)</f>
        <v>145</v>
      </c>
      <c r="H51" s="84">
        <f>MATCH(TB_Vendas[[#This Row],[Categoria]],Desc_Categorias,0)</f>
        <v>2</v>
      </c>
      <c r="I5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1" s="69">
        <f>VLOOKUP(TB_Vendas[[#This Row],[Qtd]],Desc_TabelaToda,TB_Vendas[[#This Row],[Índice]],TRUE)</f>
        <v>0.15</v>
      </c>
      <c r="K51" s="69">
        <f>INDEX(Desc_TabelaToda,MATCH(TB_Vendas[[#This Row],[Qtd]],Desc_Quantidades,1),MATCH(VLOOKUP(TB_Vendas[[#This Row],[Código]],TB_Produtos[],4,0),Desc_Categorias,0))</f>
        <v>0.15</v>
      </c>
      <c r="L51" s="69">
        <f>VLOOKUP(TB_Vendas[[#This Row],[Vendedor]],Vendedores!$A$5:$D$9,4,0)</f>
        <v>0.2</v>
      </c>
      <c r="M51" s="69">
        <f>IF(TB_Vendas[[#This Row],[Desconto (Diretão)]]&gt;TB_Vendas[[#This Row],[Desconto (Vendedor)]],TB_Vendas[[#This Row],[Desconto (Vendedor)]],TB_Vendas[[#This Row],[Desconto (Diretão)]])</f>
        <v>0.15</v>
      </c>
      <c r="N51" s="8">
        <f>TB_Vendas[[#This Row],[Preço Unitário]]*TB_Vendas[[#This Row],[Qtd]]</f>
        <v>435</v>
      </c>
      <c r="O51" s="1" t="s">
        <v>126</v>
      </c>
    </row>
    <row r="52" spans="1:15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0" t="str">
        <f>VLOOKUP(TB_Vendas[[#This Row],[Código]],TB_Produtos[#All],4,0)</f>
        <v>Vestuário</v>
      </c>
      <c r="F52" s="1">
        <v>2</v>
      </c>
      <c r="G52" s="29">
        <f>VLOOKUP(TB_Vendas[[#This Row],[Código]],TB_Produtos[#All],6,0)</f>
        <v>142.9</v>
      </c>
      <c r="H52" s="84">
        <f>MATCH(TB_Vendas[[#This Row],[Categoria]],Desc_Categorias,0)</f>
        <v>3</v>
      </c>
      <c r="I5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2" s="69">
        <f>VLOOKUP(TB_Vendas[[#This Row],[Qtd]],Desc_TabelaToda,TB_Vendas[[#This Row],[Índice]],TRUE)</f>
        <v>0.15</v>
      </c>
      <c r="K52" s="69">
        <f>INDEX(Desc_TabelaToda,MATCH(TB_Vendas[[#This Row],[Qtd]],Desc_Quantidades,1),MATCH(VLOOKUP(TB_Vendas[[#This Row],[Código]],TB_Produtos[],4,0),Desc_Categorias,0))</f>
        <v>0.15</v>
      </c>
      <c r="L52" s="69">
        <f>VLOOKUP(TB_Vendas[[#This Row],[Vendedor]],Vendedores!$A$5:$D$9,4,0)</f>
        <v>0.1</v>
      </c>
      <c r="M52" s="69">
        <f>IF(TB_Vendas[[#This Row],[Desconto (Diretão)]]&gt;TB_Vendas[[#This Row],[Desconto (Vendedor)]],TB_Vendas[[#This Row],[Desconto (Vendedor)]],TB_Vendas[[#This Row],[Desconto (Diretão)]])</f>
        <v>0.1</v>
      </c>
      <c r="N52" s="8">
        <f>TB_Vendas[[#This Row],[Preço Unitário]]*TB_Vendas[[#This Row],[Qtd]]</f>
        <v>285.8</v>
      </c>
      <c r="O52" s="1" t="s">
        <v>128</v>
      </c>
    </row>
    <row r="53" spans="1:15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0" t="str">
        <f>VLOOKUP(TB_Vendas[[#This Row],[Código]],TB_Produtos[#All],4,0)</f>
        <v>Vestuário</v>
      </c>
      <c r="F53" s="1">
        <v>2</v>
      </c>
      <c r="G53" s="29">
        <f>VLOOKUP(TB_Vendas[[#This Row],[Código]],TB_Produtos[#All],6,0)</f>
        <v>180</v>
      </c>
      <c r="H53" s="84">
        <f>MATCH(TB_Vendas[[#This Row],[Categoria]],Desc_Categorias,0)</f>
        <v>3</v>
      </c>
      <c r="I5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3" s="69">
        <f>VLOOKUP(TB_Vendas[[#This Row],[Qtd]],Desc_TabelaToda,TB_Vendas[[#This Row],[Índice]],TRUE)</f>
        <v>0.15</v>
      </c>
      <c r="K53" s="69">
        <f>INDEX(Desc_TabelaToda,MATCH(TB_Vendas[[#This Row],[Qtd]],Desc_Quantidades,1),MATCH(VLOOKUP(TB_Vendas[[#This Row],[Código]],TB_Produtos[],4,0),Desc_Categorias,0))</f>
        <v>0.15</v>
      </c>
      <c r="L53" s="69">
        <f>VLOOKUP(TB_Vendas[[#This Row],[Vendedor]],Vendedores!$A$5:$D$9,4,0)</f>
        <v>0.2</v>
      </c>
      <c r="M53" s="69">
        <f>IF(TB_Vendas[[#This Row],[Desconto (Diretão)]]&gt;TB_Vendas[[#This Row],[Desconto (Vendedor)]],TB_Vendas[[#This Row],[Desconto (Vendedor)]],TB_Vendas[[#This Row],[Desconto (Diretão)]])</f>
        <v>0.15</v>
      </c>
      <c r="N53" s="8">
        <f>TB_Vendas[[#This Row],[Preço Unitário]]*TB_Vendas[[#This Row],[Qtd]]</f>
        <v>360</v>
      </c>
      <c r="O53" s="1" t="s">
        <v>126</v>
      </c>
    </row>
    <row r="54" spans="1:15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0" t="str">
        <f>VLOOKUP(TB_Vendas[[#This Row],[Código]],TB_Produtos[#All],4,0)</f>
        <v>Vestuário</v>
      </c>
      <c r="F54" s="1">
        <v>2</v>
      </c>
      <c r="G54" s="29">
        <f>VLOOKUP(TB_Vendas[[#This Row],[Código]],TB_Produtos[#All],6,0)</f>
        <v>42.5</v>
      </c>
      <c r="H54" s="84">
        <f>MATCH(TB_Vendas[[#This Row],[Categoria]],Desc_Categorias,0)</f>
        <v>3</v>
      </c>
      <c r="I5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54" s="69">
        <f>VLOOKUP(TB_Vendas[[#This Row],[Qtd]],Desc_TabelaToda,TB_Vendas[[#This Row],[Índice]],TRUE)</f>
        <v>0.15</v>
      </c>
      <c r="K54" s="69">
        <f>INDEX(Desc_TabelaToda,MATCH(TB_Vendas[[#This Row],[Qtd]],Desc_Quantidades,1),MATCH(VLOOKUP(TB_Vendas[[#This Row],[Código]],TB_Produtos[],4,0),Desc_Categorias,0))</f>
        <v>0.15</v>
      </c>
      <c r="L54" s="69">
        <f>VLOOKUP(TB_Vendas[[#This Row],[Vendedor]],Vendedores!$A$5:$D$9,4,0)</f>
        <v>0.1</v>
      </c>
      <c r="M54" s="69">
        <f>IF(TB_Vendas[[#This Row],[Desconto (Diretão)]]&gt;TB_Vendas[[#This Row],[Desconto (Vendedor)]],TB_Vendas[[#This Row],[Desconto (Vendedor)]],TB_Vendas[[#This Row],[Desconto (Diretão)]])</f>
        <v>0.1</v>
      </c>
      <c r="N54" s="8">
        <f>TB_Vendas[[#This Row],[Preço Unitário]]*TB_Vendas[[#This Row],[Qtd]]</f>
        <v>85</v>
      </c>
      <c r="O54" s="1" t="s">
        <v>128</v>
      </c>
    </row>
    <row r="55" spans="1:15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0" t="str">
        <f>VLOOKUP(TB_Vendas[[#This Row],[Código]],TB_Produtos[#All],4,0)</f>
        <v>Vestuário</v>
      </c>
      <c r="F55" s="1">
        <v>1</v>
      </c>
      <c r="G55" s="29">
        <f>VLOOKUP(TB_Vendas[[#This Row],[Código]],TB_Produtos[#All],6,0)</f>
        <v>65.900000000000006</v>
      </c>
      <c r="H55" s="84">
        <f>MATCH(TB_Vendas[[#This Row],[Categoria]],Desc_Categorias,0)</f>
        <v>3</v>
      </c>
      <c r="I5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55" s="69">
        <f>VLOOKUP(TB_Vendas[[#This Row],[Qtd]],Desc_TabelaToda,TB_Vendas[[#This Row],[Índice]],TRUE)</f>
        <v>0.1</v>
      </c>
      <c r="K55" s="69">
        <f>INDEX(Desc_TabelaToda,MATCH(TB_Vendas[[#This Row],[Qtd]],Desc_Quantidades,1),MATCH(VLOOKUP(TB_Vendas[[#This Row],[Código]],TB_Produtos[],4,0),Desc_Categorias,0))</f>
        <v>0.1</v>
      </c>
      <c r="L55" s="69">
        <f>VLOOKUP(TB_Vendas[[#This Row],[Vendedor]],Vendedores!$A$5:$D$9,4,0)</f>
        <v>0.25</v>
      </c>
      <c r="M55" s="69">
        <f>IF(TB_Vendas[[#This Row],[Desconto (Diretão)]]&gt;TB_Vendas[[#This Row],[Desconto (Vendedor)]],TB_Vendas[[#This Row],[Desconto (Vendedor)]],TB_Vendas[[#This Row],[Desconto (Diretão)]])</f>
        <v>0.1</v>
      </c>
      <c r="N55" s="8">
        <f>TB_Vendas[[#This Row],[Preço Unitário]]*TB_Vendas[[#This Row],[Qtd]]</f>
        <v>65.900000000000006</v>
      </c>
      <c r="O55" s="1" t="s">
        <v>127</v>
      </c>
    </row>
    <row r="56" spans="1:15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0" t="str">
        <f>VLOOKUP(TB_Vendas[[#This Row],[Código]],TB_Produtos[#All],4,0)</f>
        <v>Vestuário</v>
      </c>
      <c r="F56" s="1">
        <v>1</v>
      </c>
      <c r="G56" s="29">
        <f>VLOOKUP(TB_Vendas[[#This Row],[Código]],TB_Produtos[#All],6,0)</f>
        <v>180</v>
      </c>
      <c r="H56" s="84">
        <f>MATCH(TB_Vendas[[#This Row],[Categoria]],Desc_Categorias,0)</f>
        <v>3</v>
      </c>
      <c r="I5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56" s="69">
        <f>VLOOKUP(TB_Vendas[[#This Row],[Qtd]],Desc_TabelaToda,TB_Vendas[[#This Row],[Índice]],TRUE)</f>
        <v>0.1</v>
      </c>
      <c r="K56" s="69">
        <f>INDEX(Desc_TabelaToda,MATCH(TB_Vendas[[#This Row],[Qtd]],Desc_Quantidades,1),MATCH(VLOOKUP(TB_Vendas[[#This Row],[Código]],TB_Produtos[],4,0),Desc_Categorias,0))</f>
        <v>0.1</v>
      </c>
      <c r="L56" s="69">
        <f>VLOOKUP(TB_Vendas[[#This Row],[Vendedor]],Vendedores!$A$5:$D$9,4,0)</f>
        <v>0.1</v>
      </c>
      <c r="M56" s="69">
        <f>IF(TB_Vendas[[#This Row],[Desconto (Diretão)]]&gt;TB_Vendas[[#This Row],[Desconto (Vendedor)]],TB_Vendas[[#This Row],[Desconto (Vendedor)]],TB_Vendas[[#This Row],[Desconto (Diretão)]])</f>
        <v>0.1</v>
      </c>
      <c r="N56" s="8">
        <f>TB_Vendas[[#This Row],[Preço Unitário]]*TB_Vendas[[#This Row],[Qtd]]</f>
        <v>180</v>
      </c>
      <c r="O56" s="1" t="s">
        <v>128</v>
      </c>
    </row>
    <row r="57" spans="1:15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0" t="str">
        <f>VLOOKUP(TB_Vendas[[#This Row],[Código]],TB_Produtos[#All],4,0)</f>
        <v>Vestuário</v>
      </c>
      <c r="F57" s="1">
        <v>3</v>
      </c>
      <c r="G57" s="29">
        <f>VLOOKUP(TB_Vendas[[#This Row],[Código]],TB_Produtos[#All],6,0)</f>
        <v>32.9</v>
      </c>
      <c r="H57" s="84">
        <f>MATCH(TB_Vendas[[#This Row],[Categoria]],Desc_Categorias,0)</f>
        <v>3</v>
      </c>
      <c r="I5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57" s="69">
        <f>VLOOKUP(TB_Vendas[[#This Row],[Qtd]],Desc_TabelaToda,TB_Vendas[[#This Row],[Índice]],TRUE)</f>
        <v>0.2</v>
      </c>
      <c r="K57" s="69">
        <f>INDEX(Desc_TabelaToda,MATCH(TB_Vendas[[#This Row],[Qtd]],Desc_Quantidades,1),MATCH(VLOOKUP(TB_Vendas[[#This Row],[Código]],TB_Produtos[],4,0),Desc_Categorias,0))</f>
        <v>0.2</v>
      </c>
      <c r="L57" s="69">
        <f>VLOOKUP(TB_Vendas[[#This Row],[Vendedor]],Vendedores!$A$5:$D$9,4,0)</f>
        <v>0.25</v>
      </c>
      <c r="M57" s="69">
        <f>IF(TB_Vendas[[#This Row],[Desconto (Diretão)]]&gt;TB_Vendas[[#This Row],[Desconto (Vendedor)]],TB_Vendas[[#This Row],[Desconto (Vendedor)]],TB_Vendas[[#This Row],[Desconto (Diretão)]])</f>
        <v>0.2</v>
      </c>
      <c r="N57" s="8">
        <f>TB_Vendas[[#This Row],[Preço Unitário]]*TB_Vendas[[#This Row],[Qtd]]</f>
        <v>98.699999999999989</v>
      </c>
      <c r="O57" s="1" t="s">
        <v>127</v>
      </c>
    </row>
    <row r="58" spans="1:15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0" t="str">
        <f>VLOOKUP(TB_Vendas[[#This Row],[Código]],TB_Produtos[#All],4,0)</f>
        <v>Vestuário</v>
      </c>
      <c r="F58" s="1">
        <v>4</v>
      </c>
      <c r="G58" s="29">
        <f>VLOOKUP(TB_Vendas[[#This Row],[Código]],TB_Produtos[#All],6,0)</f>
        <v>92.9</v>
      </c>
      <c r="H58" s="84">
        <f>MATCH(TB_Vendas[[#This Row],[Categoria]],Desc_Categorias,0)</f>
        <v>3</v>
      </c>
      <c r="I5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58" s="69">
        <f>VLOOKUP(TB_Vendas[[#This Row],[Qtd]],Desc_TabelaToda,TB_Vendas[[#This Row],[Índice]],TRUE)</f>
        <v>0.2</v>
      </c>
      <c r="K58" s="69">
        <f>INDEX(Desc_TabelaToda,MATCH(TB_Vendas[[#This Row],[Qtd]],Desc_Quantidades,1),MATCH(VLOOKUP(TB_Vendas[[#This Row],[Código]],TB_Produtos[],4,0),Desc_Categorias,0))</f>
        <v>0.2</v>
      </c>
      <c r="L58" s="69">
        <f>VLOOKUP(TB_Vendas[[#This Row],[Vendedor]],Vendedores!$A$5:$D$9,4,0)</f>
        <v>0.2</v>
      </c>
      <c r="M58" s="69">
        <f>IF(TB_Vendas[[#This Row],[Desconto (Diretão)]]&gt;TB_Vendas[[#This Row],[Desconto (Vendedor)]],TB_Vendas[[#This Row],[Desconto (Vendedor)]],TB_Vendas[[#This Row],[Desconto (Diretão)]])</f>
        <v>0.2</v>
      </c>
      <c r="N58" s="8">
        <f>TB_Vendas[[#This Row],[Preço Unitário]]*TB_Vendas[[#This Row],[Qtd]]</f>
        <v>371.6</v>
      </c>
      <c r="O58" s="1" t="s">
        <v>126</v>
      </c>
    </row>
    <row r="59" spans="1:15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0" t="str">
        <f>VLOOKUP(TB_Vendas[[#This Row],[Código]],TB_Produtos[#All],4,0)</f>
        <v>Calçado</v>
      </c>
      <c r="F59" s="1">
        <v>2</v>
      </c>
      <c r="G59" s="29">
        <f>VLOOKUP(TB_Vendas[[#This Row],[Código]],TB_Produtos[#All],6,0)</f>
        <v>259.89999999999998</v>
      </c>
      <c r="H59" s="84">
        <f>MATCH(TB_Vendas[[#This Row],[Categoria]],Desc_Categorias,0)</f>
        <v>4</v>
      </c>
      <c r="I5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59" s="69">
        <f>VLOOKUP(TB_Vendas[[#This Row],[Qtd]],Desc_TabelaToda,TB_Vendas[[#This Row],[Índice]],TRUE)</f>
        <v>0.1</v>
      </c>
      <c r="K59" s="69">
        <f>INDEX(Desc_TabelaToda,MATCH(TB_Vendas[[#This Row],[Qtd]],Desc_Quantidades,1),MATCH(VLOOKUP(TB_Vendas[[#This Row],[Código]],TB_Produtos[],4,0),Desc_Categorias,0))</f>
        <v>0.1</v>
      </c>
      <c r="L59" s="69">
        <f>VLOOKUP(TB_Vendas[[#This Row],[Vendedor]],Vendedores!$A$5:$D$9,4,0)</f>
        <v>0.1</v>
      </c>
      <c r="M59" s="69">
        <f>IF(TB_Vendas[[#This Row],[Desconto (Diretão)]]&gt;TB_Vendas[[#This Row],[Desconto (Vendedor)]],TB_Vendas[[#This Row],[Desconto (Vendedor)]],TB_Vendas[[#This Row],[Desconto (Diretão)]])</f>
        <v>0.1</v>
      </c>
      <c r="N59" s="8">
        <f>TB_Vendas[[#This Row],[Preço Unitário]]*TB_Vendas[[#This Row],[Qtd]]</f>
        <v>519.79999999999995</v>
      </c>
      <c r="O59" s="1" t="s">
        <v>128</v>
      </c>
    </row>
    <row r="60" spans="1:15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0" t="str">
        <f>VLOOKUP(TB_Vendas[[#This Row],[Código]],TB_Produtos[#All],4,0)</f>
        <v>Vestuário</v>
      </c>
      <c r="F60" s="1">
        <v>1</v>
      </c>
      <c r="G60" s="29">
        <f>VLOOKUP(TB_Vendas[[#This Row],[Código]],TB_Produtos[#All],6,0)</f>
        <v>259.89999999999998</v>
      </c>
      <c r="H60" s="84">
        <f>MATCH(TB_Vendas[[#This Row],[Categoria]],Desc_Categorias,0)</f>
        <v>3</v>
      </c>
      <c r="I6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60" s="69">
        <f>VLOOKUP(TB_Vendas[[#This Row],[Qtd]],Desc_TabelaToda,TB_Vendas[[#This Row],[Índice]],TRUE)</f>
        <v>0.1</v>
      </c>
      <c r="K60" s="69">
        <f>INDEX(Desc_TabelaToda,MATCH(TB_Vendas[[#This Row],[Qtd]],Desc_Quantidades,1),MATCH(VLOOKUP(TB_Vendas[[#This Row],[Código]],TB_Produtos[],4,0),Desc_Categorias,0))</f>
        <v>0.1</v>
      </c>
      <c r="L60" s="69">
        <f>VLOOKUP(TB_Vendas[[#This Row],[Vendedor]],Vendedores!$A$5:$D$9,4,0)</f>
        <v>0.15</v>
      </c>
      <c r="M60" s="69">
        <f>IF(TB_Vendas[[#This Row],[Desconto (Diretão)]]&gt;TB_Vendas[[#This Row],[Desconto (Vendedor)]],TB_Vendas[[#This Row],[Desconto (Vendedor)]],TB_Vendas[[#This Row],[Desconto (Diretão)]])</f>
        <v>0.1</v>
      </c>
      <c r="N60" s="8">
        <f>TB_Vendas[[#This Row],[Preço Unitário]]*TB_Vendas[[#This Row],[Qtd]]</f>
        <v>259.89999999999998</v>
      </c>
      <c r="O60" s="1" t="s">
        <v>130</v>
      </c>
    </row>
    <row r="61" spans="1:15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0" t="str">
        <f>VLOOKUP(TB_Vendas[[#This Row],[Código]],TB_Produtos[#All],4,0)</f>
        <v>Vestuário</v>
      </c>
      <c r="F61" s="1">
        <v>5</v>
      </c>
      <c r="G61" s="29">
        <f>VLOOKUP(TB_Vendas[[#This Row],[Código]],TB_Produtos[#All],6,0)</f>
        <v>42.5</v>
      </c>
      <c r="H61" s="84">
        <f>MATCH(TB_Vendas[[#This Row],[Categoria]],Desc_Categorias,0)</f>
        <v>3</v>
      </c>
      <c r="I6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61" s="69">
        <f>VLOOKUP(TB_Vendas[[#This Row],[Qtd]],Desc_TabelaToda,TB_Vendas[[#This Row],[Índice]],TRUE)</f>
        <v>0.25</v>
      </c>
      <c r="K61" s="69">
        <f>INDEX(Desc_TabelaToda,MATCH(TB_Vendas[[#This Row],[Qtd]],Desc_Quantidades,1),MATCH(VLOOKUP(TB_Vendas[[#This Row],[Código]],TB_Produtos[],4,0),Desc_Categorias,0))</f>
        <v>0.25</v>
      </c>
      <c r="L61" s="69">
        <f>VLOOKUP(TB_Vendas[[#This Row],[Vendedor]],Vendedores!$A$5:$D$9,4,0)</f>
        <v>0.15</v>
      </c>
      <c r="M61" s="69">
        <f>IF(TB_Vendas[[#This Row],[Desconto (Diretão)]]&gt;TB_Vendas[[#This Row],[Desconto (Vendedor)]],TB_Vendas[[#This Row],[Desconto (Vendedor)]],TB_Vendas[[#This Row],[Desconto (Diretão)]])</f>
        <v>0.15</v>
      </c>
      <c r="N61" s="8">
        <f>TB_Vendas[[#This Row],[Preço Unitário]]*TB_Vendas[[#This Row],[Qtd]]</f>
        <v>212.5</v>
      </c>
      <c r="O61" s="1" t="s">
        <v>130</v>
      </c>
    </row>
    <row r="62" spans="1:15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0" t="str">
        <f>VLOOKUP(TB_Vendas[[#This Row],[Código]],TB_Produtos[#All],4,0)</f>
        <v>Vestuário</v>
      </c>
      <c r="F62" s="1">
        <v>2</v>
      </c>
      <c r="G62" s="29">
        <f>VLOOKUP(TB_Vendas[[#This Row],[Código]],TB_Produtos[#All],6,0)</f>
        <v>32.9</v>
      </c>
      <c r="H62" s="84">
        <f>MATCH(TB_Vendas[[#This Row],[Categoria]],Desc_Categorias,0)</f>
        <v>3</v>
      </c>
      <c r="I6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62" s="69">
        <f>VLOOKUP(TB_Vendas[[#This Row],[Qtd]],Desc_TabelaToda,TB_Vendas[[#This Row],[Índice]],TRUE)</f>
        <v>0.15</v>
      </c>
      <c r="K62" s="69">
        <f>INDEX(Desc_TabelaToda,MATCH(TB_Vendas[[#This Row],[Qtd]],Desc_Quantidades,1),MATCH(VLOOKUP(TB_Vendas[[#This Row],[Código]],TB_Produtos[],4,0),Desc_Categorias,0))</f>
        <v>0.15</v>
      </c>
      <c r="L62" s="69">
        <f>VLOOKUP(TB_Vendas[[#This Row],[Vendedor]],Vendedores!$A$5:$D$9,4,0)</f>
        <v>0.15</v>
      </c>
      <c r="M62" s="69">
        <f>IF(TB_Vendas[[#This Row],[Desconto (Diretão)]]&gt;TB_Vendas[[#This Row],[Desconto (Vendedor)]],TB_Vendas[[#This Row],[Desconto (Vendedor)]],TB_Vendas[[#This Row],[Desconto (Diretão)]])</f>
        <v>0.15</v>
      </c>
      <c r="N62" s="8">
        <f>TB_Vendas[[#This Row],[Preço Unitário]]*TB_Vendas[[#This Row],[Qtd]]</f>
        <v>65.8</v>
      </c>
      <c r="O62" s="1" t="s">
        <v>130</v>
      </c>
    </row>
    <row r="63" spans="1:15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0" t="str">
        <f>VLOOKUP(TB_Vendas[[#This Row],[Código]],TB_Produtos[#All],4,0)</f>
        <v>Vestuário</v>
      </c>
      <c r="F63" s="1">
        <v>3</v>
      </c>
      <c r="G63" s="29">
        <f>VLOOKUP(TB_Vendas[[#This Row],[Código]],TB_Produtos[#All],6,0)</f>
        <v>92.9</v>
      </c>
      <c r="H63" s="84">
        <f>MATCH(TB_Vendas[[#This Row],[Categoria]],Desc_Categorias,0)</f>
        <v>3</v>
      </c>
      <c r="I6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63" s="69">
        <f>VLOOKUP(TB_Vendas[[#This Row],[Qtd]],Desc_TabelaToda,TB_Vendas[[#This Row],[Índice]],TRUE)</f>
        <v>0.2</v>
      </c>
      <c r="K63" s="69">
        <f>INDEX(Desc_TabelaToda,MATCH(TB_Vendas[[#This Row],[Qtd]],Desc_Quantidades,1),MATCH(VLOOKUP(TB_Vendas[[#This Row],[Código]],TB_Produtos[],4,0),Desc_Categorias,0))</f>
        <v>0.2</v>
      </c>
      <c r="L63" s="69">
        <f>VLOOKUP(TB_Vendas[[#This Row],[Vendedor]],Vendedores!$A$5:$D$9,4,0)</f>
        <v>0.2</v>
      </c>
      <c r="M63" s="69">
        <f>IF(TB_Vendas[[#This Row],[Desconto (Diretão)]]&gt;TB_Vendas[[#This Row],[Desconto (Vendedor)]],TB_Vendas[[#This Row],[Desconto (Vendedor)]],TB_Vendas[[#This Row],[Desconto (Diretão)]])</f>
        <v>0.2</v>
      </c>
      <c r="N63" s="8">
        <f>TB_Vendas[[#This Row],[Preço Unitário]]*TB_Vendas[[#This Row],[Qtd]]</f>
        <v>278.70000000000005</v>
      </c>
      <c r="O63" s="1" t="s">
        <v>126</v>
      </c>
    </row>
    <row r="64" spans="1:15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0" t="str">
        <f>VLOOKUP(TB_Vendas[[#This Row],[Código]],TB_Produtos[#All],4,0)</f>
        <v>Vestuário</v>
      </c>
      <c r="F64" s="1">
        <v>10</v>
      </c>
      <c r="G64" s="29">
        <f>VLOOKUP(TB_Vendas[[#This Row],[Código]],TB_Produtos[#All],6,0)</f>
        <v>25.9</v>
      </c>
      <c r="H64" s="84">
        <f>MATCH(TB_Vendas[[#This Row],[Categoria]],Desc_Categorias,0)</f>
        <v>3</v>
      </c>
      <c r="I6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0.3</v>
      </c>
      <c r="J64" s="69">
        <f>VLOOKUP(TB_Vendas[[#This Row],[Qtd]],Desc_TabelaToda,TB_Vendas[[#This Row],[Índice]],TRUE)</f>
        <v>0.3</v>
      </c>
      <c r="K64" s="69">
        <f>INDEX(Desc_TabelaToda,MATCH(TB_Vendas[[#This Row],[Qtd]],Desc_Quantidades,1),MATCH(VLOOKUP(TB_Vendas[[#This Row],[Código]],TB_Produtos[],4,0),Desc_Categorias,0))</f>
        <v>0.3</v>
      </c>
      <c r="L64" s="69">
        <f>VLOOKUP(TB_Vendas[[#This Row],[Vendedor]],Vendedores!$A$5:$D$9,4,0)</f>
        <v>0.2</v>
      </c>
      <c r="M64" s="69">
        <f>IF(TB_Vendas[[#This Row],[Desconto (Diretão)]]&gt;TB_Vendas[[#This Row],[Desconto (Vendedor)]],TB_Vendas[[#This Row],[Desconto (Vendedor)]],TB_Vendas[[#This Row],[Desconto (Diretão)]])</f>
        <v>0.2</v>
      </c>
      <c r="N64" s="8">
        <f>TB_Vendas[[#This Row],[Preço Unitário]]*TB_Vendas[[#This Row],[Qtd]]</f>
        <v>259</v>
      </c>
      <c r="O64" s="1" t="s">
        <v>126</v>
      </c>
    </row>
    <row r="65" spans="1:15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0" t="str">
        <f>VLOOKUP(TB_Vendas[[#This Row],[Código]],TB_Produtos[#All],4,0)</f>
        <v>Vestuário</v>
      </c>
      <c r="F65" s="1">
        <v>1</v>
      </c>
      <c r="G65" s="29">
        <f>VLOOKUP(TB_Vendas[[#This Row],[Código]],TB_Produtos[#All],6,0)</f>
        <v>72.5</v>
      </c>
      <c r="H65" s="84">
        <f>MATCH(TB_Vendas[[#This Row],[Categoria]],Desc_Categorias,0)</f>
        <v>3</v>
      </c>
      <c r="I6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65" s="69">
        <f>VLOOKUP(TB_Vendas[[#This Row],[Qtd]],Desc_TabelaToda,TB_Vendas[[#This Row],[Índice]],TRUE)</f>
        <v>0.1</v>
      </c>
      <c r="K65" s="69">
        <f>INDEX(Desc_TabelaToda,MATCH(TB_Vendas[[#This Row],[Qtd]],Desc_Quantidades,1),MATCH(VLOOKUP(TB_Vendas[[#This Row],[Código]],TB_Produtos[],4,0),Desc_Categorias,0))</f>
        <v>0.1</v>
      </c>
      <c r="L65" s="69">
        <f>VLOOKUP(TB_Vendas[[#This Row],[Vendedor]],Vendedores!$A$5:$D$9,4,0)</f>
        <v>0.25</v>
      </c>
      <c r="M65" s="69">
        <f>IF(TB_Vendas[[#This Row],[Desconto (Diretão)]]&gt;TB_Vendas[[#This Row],[Desconto (Vendedor)]],TB_Vendas[[#This Row],[Desconto (Vendedor)]],TB_Vendas[[#This Row],[Desconto (Diretão)]])</f>
        <v>0.1</v>
      </c>
      <c r="N65" s="8">
        <f>TB_Vendas[[#This Row],[Preço Unitário]]*TB_Vendas[[#This Row],[Qtd]]</f>
        <v>72.5</v>
      </c>
      <c r="O65" s="1" t="s">
        <v>127</v>
      </c>
    </row>
    <row r="66" spans="1:15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0" t="str">
        <f>VLOOKUP(TB_Vendas[[#This Row],[Código]],TB_Produtos[#All],4,0)</f>
        <v>Vestuário</v>
      </c>
      <c r="F66" s="1">
        <v>4</v>
      </c>
      <c r="G66" s="29">
        <f>VLOOKUP(TB_Vendas[[#This Row],[Código]],TB_Produtos[#All],6,0)</f>
        <v>302.89999999999998</v>
      </c>
      <c r="H66" s="84">
        <f>MATCH(TB_Vendas[[#This Row],[Categoria]],Desc_Categorias,0)</f>
        <v>3</v>
      </c>
      <c r="I6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66" s="69">
        <f>VLOOKUP(TB_Vendas[[#This Row],[Qtd]],Desc_TabelaToda,TB_Vendas[[#This Row],[Índice]],TRUE)</f>
        <v>0.2</v>
      </c>
      <c r="K66" s="69">
        <f>INDEX(Desc_TabelaToda,MATCH(TB_Vendas[[#This Row],[Qtd]],Desc_Quantidades,1),MATCH(VLOOKUP(TB_Vendas[[#This Row],[Código]],TB_Produtos[],4,0),Desc_Categorias,0))</f>
        <v>0.2</v>
      </c>
      <c r="L66" s="69">
        <f>VLOOKUP(TB_Vendas[[#This Row],[Vendedor]],Vendedores!$A$5:$D$9,4,0)</f>
        <v>0.15</v>
      </c>
      <c r="M66" s="69">
        <f>IF(TB_Vendas[[#This Row],[Desconto (Diretão)]]&gt;TB_Vendas[[#This Row],[Desconto (Vendedor)]],TB_Vendas[[#This Row],[Desconto (Vendedor)]],TB_Vendas[[#This Row],[Desconto (Diretão)]])</f>
        <v>0.15</v>
      </c>
      <c r="N66" s="8">
        <f>TB_Vendas[[#This Row],[Preço Unitário]]*TB_Vendas[[#This Row],[Qtd]]</f>
        <v>1211.5999999999999</v>
      </c>
      <c r="O66" s="1" t="s">
        <v>130</v>
      </c>
    </row>
    <row r="67" spans="1:15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0" t="str">
        <f>VLOOKUP(TB_Vendas[[#This Row],[Código]],TB_Produtos[#All],4,0)</f>
        <v>Vestuário</v>
      </c>
      <c r="F67" s="1">
        <v>8</v>
      </c>
      <c r="G67" s="29">
        <f>VLOOKUP(TB_Vendas[[#This Row],[Código]],TB_Produtos[#All],6,0)</f>
        <v>289.89999999999998</v>
      </c>
      <c r="H67" s="84">
        <f>MATCH(TB_Vendas[[#This Row],[Categoria]],Desc_Categorias,0)</f>
        <v>3</v>
      </c>
      <c r="I6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67" s="69">
        <f>VLOOKUP(TB_Vendas[[#This Row],[Qtd]],Desc_TabelaToda,TB_Vendas[[#This Row],[Índice]],TRUE)</f>
        <v>0.25</v>
      </c>
      <c r="K67" s="69">
        <f>INDEX(Desc_TabelaToda,MATCH(TB_Vendas[[#This Row],[Qtd]],Desc_Quantidades,1),MATCH(VLOOKUP(TB_Vendas[[#This Row],[Código]],TB_Produtos[],4,0),Desc_Categorias,0))</f>
        <v>0.25</v>
      </c>
      <c r="L67" s="69">
        <f>VLOOKUP(TB_Vendas[[#This Row],[Vendedor]],Vendedores!$A$5:$D$9,4,0)</f>
        <v>0.2</v>
      </c>
      <c r="M67" s="69">
        <f>IF(TB_Vendas[[#This Row],[Desconto (Diretão)]]&gt;TB_Vendas[[#This Row],[Desconto (Vendedor)]],TB_Vendas[[#This Row],[Desconto (Vendedor)]],TB_Vendas[[#This Row],[Desconto (Diretão)]])</f>
        <v>0.2</v>
      </c>
      <c r="N67" s="8">
        <f>TB_Vendas[[#This Row],[Preço Unitário]]*TB_Vendas[[#This Row],[Qtd]]</f>
        <v>2319.1999999999998</v>
      </c>
      <c r="O67" s="1" t="s">
        <v>126</v>
      </c>
    </row>
    <row r="68" spans="1:15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0" t="str">
        <f>VLOOKUP(TB_Vendas[[#This Row],[Código]],TB_Produtos[#All],4,0)</f>
        <v>Vestuário</v>
      </c>
      <c r="F68" s="1">
        <v>2</v>
      </c>
      <c r="G68" s="29">
        <f>VLOOKUP(TB_Vendas[[#This Row],[Código]],TB_Produtos[#All],6,0)</f>
        <v>54.9</v>
      </c>
      <c r="H68" s="84">
        <f>MATCH(TB_Vendas[[#This Row],[Categoria]],Desc_Categorias,0)</f>
        <v>3</v>
      </c>
      <c r="I6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68" s="69">
        <f>VLOOKUP(TB_Vendas[[#This Row],[Qtd]],Desc_TabelaToda,TB_Vendas[[#This Row],[Índice]],TRUE)</f>
        <v>0.15</v>
      </c>
      <c r="K68" s="69">
        <f>INDEX(Desc_TabelaToda,MATCH(TB_Vendas[[#This Row],[Qtd]],Desc_Quantidades,1),MATCH(VLOOKUP(TB_Vendas[[#This Row],[Código]],TB_Produtos[],4,0),Desc_Categorias,0))</f>
        <v>0.15</v>
      </c>
      <c r="L68" s="69">
        <f>VLOOKUP(TB_Vendas[[#This Row],[Vendedor]],Vendedores!$A$5:$D$9,4,0)</f>
        <v>0.2</v>
      </c>
      <c r="M68" s="69">
        <f>IF(TB_Vendas[[#This Row],[Desconto (Diretão)]]&gt;TB_Vendas[[#This Row],[Desconto (Vendedor)]],TB_Vendas[[#This Row],[Desconto (Vendedor)]],TB_Vendas[[#This Row],[Desconto (Diretão)]])</f>
        <v>0.15</v>
      </c>
      <c r="N68" s="8">
        <f>TB_Vendas[[#This Row],[Preço Unitário]]*TB_Vendas[[#This Row],[Qtd]]</f>
        <v>109.8</v>
      </c>
      <c r="O68" s="1" t="s">
        <v>126</v>
      </c>
    </row>
    <row r="69" spans="1:15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0" t="str">
        <f>VLOOKUP(TB_Vendas[[#This Row],[Código]],TB_Produtos[#All],4,0)</f>
        <v>Vestuário</v>
      </c>
      <c r="F69" s="1">
        <v>2</v>
      </c>
      <c r="G69" s="29">
        <f>VLOOKUP(TB_Vendas[[#This Row],[Código]],TB_Produtos[#All],6,0)</f>
        <v>39.9</v>
      </c>
      <c r="H69" s="84">
        <f>MATCH(TB_Vendas[[#This Row],[Categoria]],Desc_Categorias,0)</f>
        <v>3</v>
      </c>
      <c r="I6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69" s="69">
        <f>VLOOKUP(TB_Vendas[[#This Row],[Qtd]],Desc_TabelaToda,TB_Vendas[[#This Row],[Índice]],TRUE)</f>
        <v>0.15</v>
      </c>
      <c r="K69" s="69">
        <f>INDEX(Desc_TabelaToda,MATCH(TB_Vendas[[#This Row],[Qtd]],Desc_Quantidades,1),MATCH(VLOOKUP(TB_Vendas[[#This Row],[Código]],TB_Produtos[],4,0),Desc_Categorias,0))</f>
        <v>0.15</v>
      </c>
      <c r="L69" s="69">
        <f>VLOOKUP(TB_Vendas[[#This Row],[Vendedor]],Vendedores!$A$5:$D$9,4,0)</f>
        <v>0.15</v>
      </c>
      <c r="M69" s="69">
        <f>IF(TB_Vendas[[#This Row],[Desconto (Diretão)]]&gt;TB_Vendas[[#This Row],[Desconto (Vendedor)]],TB_Vendas[[#This Row],[Desconto (Vendedor)]],TB_Vendas[[#This Row],[Desconto (Diretão)]])</f>
        <v>0.15</v>
      </c>
      <c r="N69" s="8">
        <f>TB_Vendas[[#This Row],[Preço Unitário]]*TB_Vendas[[#This Row],[Qtd]]</f>
        <v>79.8</v>
      </c>
      <c r="O69" s="1" t="s">
        <v>130</v>
      </c>
    </row>
    <row r="70" spans="1:15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0" t="str">
        <f>VLOOKUP(TB_Vendas[[#This Row],[Código]],TB_Produtos[#All],4,0)</f>
        <v>Vestuário</v>
      </c>
      <c r="F70" s="1">
        <v>7</v>
      </c>
      <c r="G70" s="29">
        <f>VLOOKUP(TB_Vendas[[#This Row],[Código]],TB_Produtos[#All],6,0)</f>
        <v>54.9</v>
      </c>
      <c r="H70" s="84">
        <f>MATCH(TB_Vendas[[#This Row],[Categoria]],Desc_Categorias,0)</f>
        <v>3</v>
      </c>
      <c r="I7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70" s="69">
        <f>VLOOKUP(TB_Vendas[[#This Row],[Qtd]],Desc_TabelaToda,TB_Vendas[[#This Row],[Índice]],TRUE)</f>
        <v>0.25</v>
      </c>
      <c r="K70" s="69">
        <f>INDEX(Desc_TabelaToda,MATCH(TB_Vendas[[#This Row],[Qtd]],Desc_Quantidades,1),MATCH(VLOOKUP(TB_Vendas[[#This Row],[Código]],TB_Produtos[],4,0),Desc_Categorias,0))</f>
        <v>0.25</v>
      </c>
      <c r="L70" s="69">
        <f>VLOOKUP(TB_Vendas[[#This Row],[Vendedor]],Vendedores!$A$5:$D$9,4,0)</f>
        <v>0.2</v>
      </c>
      <c r="M70" s="69">
        <f>IF(TB_Vendas[[#This Row],[Desconto (Diretão)]]&gt;TB_Vendas[[#This Row],[Desconto (Vendedor)]],TB_Vendas[[#This Row],[Desconto (Vendedor)]],TB_Vendas[[#This Row],[Desconto (Diretão)]])</f>
        <v>0.2</v>
      </c>
      <c r="N70" s="8">
        <f>TB_Vendas[[#This Row],[Preço Unitário]]*TB_Vendas[[#This Row],[Qtd]]</f>
        <v>384.3</v>
      </c>
      <c r="O70" s="1" t="s">
        <v>129</v>
      </c>
    </row>
    <row r="71" spans="1:15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0" t="str">
        <f>VLOOKUP(TB_Vendas[[#This Row],[Código]],TB_Produtos[#All],4,0)</f>
        <v>Vestuário</v>
      </c>
      <c r="F71" s="1">
        <v>4</v>
      </c>
      <c r="G71" s="29">
        <f>VLOOKUP(TB_Vendas[[#This Row],[Código]],TB_Produtos[#All],6,0)</f>
        <v>299.89999999999998</v>
      </c>
      <c r="H71" s="84">
        <f>MATCH(TB_Vendas[[#This Row],[Categoria]],Desc_Categorias,0)</f>
        <v>3</v>
      </c>
      <c r="I7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71" s="69">
        <f>VLOOKUP(TB_Vendas[[#This Row],[Qtd]],Desc_TabelaToda,TB_Vendas[[#This Row],[Índice]],TRUE)</f>
        <v>0.2</v>
      </c>
      <c r="K71" s="69">
        <f>INDEX(Desc_TabelaToda,MATCH(TB_Vendas[[#This Row],[Qtd]],Desc_Quantidades,1),MATCH(VLOOKUP(TB_Vendas[[#This Row],[Código]],TB_Produtos[],4,0),Desc_Categorias,0))</f>
        <v>0.2</v>
      </c>
      <c r="L71" s="69">
        <f>VLOOKUP(TB_Vendas[[#This Row],[Vendedor]],Vendedores!$A$5:$D$9,4,0)</f>
        <v>0.15</v>
      </c>
      <c r="M71" s="69">
        <f>IF(TB_Vendas[[#This Row],[Desconto (Diretão)]]&gt;TB_Vendas[[#This Row],[Desconto (Vendedor)]],TB_Vendas[[#This Row],[Desconto (Vendedor)]],TB_Vendas[[#This Row],[Desconto (Diretão)]])</f>
        <v>0.15</v>
      </c>
      <c r="N71" s="8">
        <f>TB_Vendas[[#This Row],[Preço Unitário]]*TB_Vendas[[#This Row],[Qtd]]</f>
        <v>1199.5999999999999</v>
      </c>
      <c r="O71" s="1" t="s">
        <v>130</v>
      </c>
    </row>
    <row r="72" spans="1:15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0" t="str">
        <f>VLOOKUP(TB_Vendas[[#This Row],[Código]],TB_Produtos[#All],4,0)</f>
        <v>Vestuário</v>
      </c>
      <c r="F72" s="1">
        <v>3</v>
      </c>
      <c r="G72" s="29">
        <f>VLOOKUP(TB_Vendas[[#This Row],[Código]],TB_Produtos[#All],6,0)</f>
        <v>259.89999999999998</v>
      </c>
      <c r="H72" s="84">
        <f>MATCH(TB_Vendas[[#This Row],[Categoria]],Desc_Categorias,0)</f>
        <v>3</v>
      </c>
      <c r="I7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72" s="69">
        <f>VLOOKUP(TB_Vendas[[#This Row],[Qtd]],Desc_TabelaToda,TB_Vendas[[#This Row],[Índice]],TRUE)</f>
        <v>0.2</v>
      </c>
      <c r="K72" s="69">
        <f>INDEX(Desc_TabelaToda,MATCH(TB_Vendas[[#This Row],[Qtd]],Desc_Quantidades,1),MATCH(VLOOKUP(TB_Vendas[[#This Row],[Código]],TB_Produtos[],4,0),Desc_Categorias,0))</f>
        <v>0.2</v>
      </c>
      <c r="L72" s="69">
        <f>VLOOKUP(TB_Vendas[[#This Row],[Vendedor]],Vendedores!$A$5:$D$9,4,0)</f>
        <v>0.2</v>
      </c>
      <c r="M72" s="69">
        <f>IF(TB_Vendas[[#This Row],[Desconto (Diretão)]]&gt;TB_Vendas[[#This Row],[Desconto (Vendedor)]],TB_Vendas[[#This Row],[Desconto (Vendedor)]],TB_Vendas[[#This Row],[Desconto (Diretão)]])</f>
        <v>0.2</v>
      </c>
      <c r="N72" s="8">
        <f>TB_Vendas[[#This Row],[Preço Unitário]]*TB_Vendas[[#This Row],[Qtd]]</f>
        <v>779.69999999999993</v>
      </c>
      <c r="O72" s="1" t="s">
        <v>129</v>
      </c>
    </row>
    <row r="73" spans="1:15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0" t="str">
        <f>VLOOKUP(TB_Vendas[[#This Row],[Código]],TB_Produtos[#All],4,0)</f>
        <v>Vestuário</v>
      </c>
      <c r="F73" s="1">
        <v>9</v>
      </c>
      <c r="G73" s="29">
        <f>VLOOKUP(TB_Vendas[[#This Row],[Código]],TB_Produtos[#All],6,0)</f>
        <v>72.5</v>
      </c>
      <c r="H73" s="84">
        <f>MATCH(TB_Vendas[[#This Row],[Categoria]],Desc_Categorias,0)</f>
        <v>3</v>
      </c>
      <c r="I7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73" s="69">
        <f>VLOOKUP(TB_Vendas[[#This Row],[Qtd]],Desc_TabelaToda,TB_Vendas[[#This Row],[Índice]],TRUE)</f>
        <v>0.25</v>
      </c>
      <c r="K73" s="69">
        <f>INDEX(Desc_TabelaToda,MATCH(TB_Vendas[[#This Row],[Qtd]],Desc_Quantidades,1),MATCH(VLOOKUP(TB_Vendas[[#This Row],[Código]],TB_Produtos[],4,0),Desc_Categorias,0))</f>
        <v>0.25</v>
      </c>
      <c r="L73" s="69">
        <f>VLOOKUP(TB_Vendas[[#This Row],[Vendedor]],Vendedores!$A$5:$D$9,4,0)</f>
        <v>0.1</v>
      </c>
      <c r="M73" s="69">
        <f>IF(TB_Vendas[[#This Row],[Desconto (Diretão)]]&gt;TB_Vendas[[#This Row],[Desconto (Vendedor)]],TB_Vendas[[#This Row],[Desconto (Vendedor)]],TB_Vendas[[#This Row],[Desconto (Diretão)]])</f>
        <v>0.1</v>
      </c>
      <c r="N73" s="8">
        <f>TB_Vendas[[#This Row],[Preço Unitário]]*TB_Vendas[[#This Row],[Qtd]]</f>
        <v>652.5</v>
      </c>
      <c r="O73" s="1" t="s">
        <v>128</v>
      </c>
    </row>
    <row r="74" spans="1:15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0" t="str">
        <f>VLOOKUP(TB_Vendas[[#This Row],[Código]],TB_Produtos[#All],4,0)</f>
        <v>Vestuário</v>
      </c>
      <c r="F74" s="1">
        <v>4</v>
      </c>
      <c r="G74" s="29">
        <f>VLOOKUP(TB_Vendas[[#This Row],[Código]],TB_Produtos[#All],6,0)</f>
        <v>300</v>
      </c>
      <c r="H74" s="84">
        <f>MATCH(TB_Vendas[[#This Row],[Categoria]],Desc_Categorias,0)</f>
        <v>3</v>
      </c>
      <c r="I7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</v>
      </c>
      <c r="J74" s="69">
        <f>VLOOKUP(TB_Vendas[[#This Row],[Qtd]],Desc_TabelaToda,TB_Vendas[[#This Row],[Índice]],TRUE)</f>
        <v>0.2</v>
      </c>
      <c r="K74" s="69">
        <f>INDEX(Desc_TabelaToda,MATCH(TB_Vendas[[#This Row],[Qtd]],Desc_Quantidades,1),MATCH(VLOOKUP(TB_Vendas[[#This Row],[Código]],TB_Produtos[],4,0),Desc_Categorias,0))</f>
        <v>0.2</v>
      </c>
      <c r="L74" s="69">
        <f>VLOOKUP(TB_Vendas[[#This Row],[Vendedor]],Vendedores!$A$5:$D$9,4,0)</f>
        <v>0.15</v>
      </c>
      <c r="M74" s="69">
        <f>IF(TB_Vendas[[#This Row],[Desconto (Diretão)]]&gt;TB_Vendas[[#This Row],[Desconto (Vendedor)]],TB_Vendas[[#This Row],[Desconto (Vendedor)]],TB_Vendas[[#This Row],[Desconto (Diretão)]])</f>
        <v>0.15</v>
      </c>
      <c r="N74" s="8">
        <f>TB_Vendas[[#This Row],[Preço Unitário]]*TB_Vendas[[#This Row],[Qtd]]</f>
        <v>1200</v>
      </c>
      <c r="O74" s="1" t="s">
        <v>130</v>
      </c>
    </row>
    <row r="75" spans="1:15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0" t="str">
        <f>VLOOKUP(TB_Vendas[[#This Row],[Código]],TB_Produtos[#All],4,0)</f>
        <v>Vestuário</v>
      </c>
      <c r="F75" s="1">
        <v>9</v>
      </c>
      <c r="G75" s="29">
        <f>VLOOKUP(TB_Vendas[[#This Row],[Código]],TB_Produtos[#All],6,0)</f>
        <v>65.900000000000006</v>
      </c>
      <c r="H75" s="84">
        <f>MATCH(TB_Vendas[[#This Row],[Categoria]],Desc_Categorias,0)</f>
        <v>3</v>
      </c>
      <c r="I7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75" s="69">
        <f>VLOOKUP(TB_Vendas[[#This Row],[Qtd]],Desc_TabelaToda,TB_Vendas[[#This Row],[Índice]],TRUE)</f>
        <v>0.25</v>
      </c>
      <c r="K75" s="69">
        <f>INDEX(Desc_TabelaToda,MATCH(TB_Vendas[[#This Row],[Qtd]],Desc_Quantidades,1),MATCH(VLOOKUP(TB_Vendas[[#This Row],[Código]],TB_Produtos[],4,0),Desc_Categorias,0))</f>
        <v>0.25</v>
      </c>
      <c r="L75" s="69">
        <f>VLOOKUP(TB_Vendas[[#This Row],[Vendedor]],Vendedores!$A$5:$D$9,4,0)</f>
        <v>0.15</v>
      </c>
      <c r="M75" s="69">
        <f>IF(TB_Vendas[[#This Row],[Desconto (Diretão)]]&gt;TB_Vendas[[#This Row],[Desconto (Vendedor)]],TB_Vendas[[#This Row],[Desconto (Vendedor)]],TB_Vendas[[#This Row],[Desconto (Diretão)]])</f>
        <v>0.15</v>
      </c>
      <c r="N75" s="8">
        <f>TB_Vendas[[#This Row],[Preço Unitário]]*TB_Vendas[[#This Row],[Qtd]]</f>
        <v>593.1</v>
      </c>
      <c r="O75" s="1" t="s">
        <v>130</v>
      </c>
    </row>
    <row r="76" spans="1:15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0" t="str">
        <f>VLOOKUP(TB_Vendas[[#This Row],[Código]],TB_Produtos[#All],4,0)</f>
        <v>Vestuário</v>
      </c>
      <c r="F76" s="1">
        <v>10</v>
      </c>
      <c r="G76" s="29">
        <f>VLOOKUP(TB_Vendas[[#This Row],[Código]],TB_Produtos[#All],6,0)</f>
        <v>92.9</v>
      </c>
      <c r="H76" s="84">
        <f>MATCH(TB_Vendas[[#This Row],[Categoria]],Desc_Categorias,0)</f>
        <v>3</v>
      </c>
      <c r="I7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0.3</v>
      </c>
      <c r="J76" s="69">
        <f>VLOOKUP(TB_Vendas[[#This Row],[Qtd]],Desc_TabelaToda,TB_Vendas[[#This Row],[Índice]],TRUE)</f>
        <v>0.3</v>
      </c>
      <c r="K76" s="69">
        <f>INDEX(Desc_TabelaToda,MATCH(TB_Vendas[[#This Row],[Qtd]],Desc_Quantidades,1),MATCH(VLOOKUP(TB_Vendas[[#This Row],[Código]],TB_Produtos[],4,0),Desc_Categorias,0))</f>
        <v>0.3</v>
      </c>
      <c r="L76" s="69">
        <f>VLOOKUP(TB_Vendas[[#This Row],[Vendedor]],Vendedores!$A$5:$D$9,4,0)</f>
        <v>0.15</v>
      </c>
      <c r="M76" s="69">
        <f>IF(TB_Vendas[[#This Row],[Desconto (Diretão)]]&gt;TB_Vendas[[#This Row],[Desconto (Vendedor)]],TB_Vendas[[#This Row],[Desconto (Vendedor)]],TB_Vendas[[#This Row],[Desconto (Diretão)]])</f>
        <v>0.15</v>
      </c>
      <c r="N76" s="8">
        <f>TB_Vendas[[#This Row],[Preço Unitário]]*TB_Vendas[[#This Row],[Qtd]]</f>
        <v>929</v>
      </c>
      <c r="O76" s="1" t="s">
        <v>130</v>
      </c>
    </row>
    <row r="77" spans="1:15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0" t="str">
        <f>VLOOKUP(TB_Vendas[[#This Row],[Código]],TB_Produtos[#All],4,0)</f>
        <v>Calçado</v>
      </c>
      <c r="F77" s="1">
        <v>1</v>
      </c>
      <c r="G77" s="29">
        <f>VLOOKUP(TB_Vendas[[#This Row],[Código]],TB_Produtos[#All],6,0)</f>
        <v>89.9</v>
      </c>
      <c r="H77" s="84">
        <f>MATCH(TB_Vendas[[#This Row],[Categoria]],Desc_Categorias,0)</f>
        <v>4</v>
      </c>
      <c r="I77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</v>
      </c>
      <c r="J77" s="69">
        <f>VLOOKUP(TB_Vendas[[#This Row],[Qtd]],Desc_TabelaToda,TB_Vendas[[#This Row],[Índice]],TRUE)</f>
        <v>0</v>
      </c>
      <c r="K77" s="69">
        <f>INDEX(Desc_TabelaToda,MATCH(TB_Vendas[[#This Row],[Qtd]],Desc_Quantidades,1),MATCH(VLOOKUP(TB_Vendas[[#This Row],[Código]],TB_Produtos[],4,0),Desc_Categorias,0))</f>
        <v>0</v>
      </c>
      <c r="L77" s="69">
        <f>VLOOKUP(TB_Vendas[[#This Row],[Vendedor]],Vendedores!$A$5:$D$9,4,0)</f>
        <v>0.1</v>
      </c>
      <c r="M77" s="69">
        <f>IF(TB_Vendas[[#This Row],[Desconto (Diretão)]]&gt;TB_Vendas[[#This Row],[Desconto (Vendedor)]],TB_Vendas[[#This Row],[Desconto (Vendedor)]],TB_Vendas[[#This Row],[Desconto (Diretão)]])</f>
        <v>0</v>
      </c>
      <c r="N77" s="8">
        <f>TB_Vendas[[#This Row],[Preço Unitário]]*TB_Vendas[[#This Row],[Qtd]]</f>
        <v>89.9</v>
      </c>
      <c r="O77" s="1" t="s">
        <v>128</v>
      </c>
    </row>
    <row r="78" spans="1:15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0" t="str">
        <f>VLOOKUP(TB_Vendas[[#This Row],[Código]],TB_Produtos[#All],4,0)</f>
        <v>Vestuário</v>
      </c>
      <c r="F78" s="1">
        <v>2</v>
      </c>
      <c r="G78" s="29">
        <f>VLOOKUP(TB_Vendas[[#This Row],[Código]],TB_Produtos[#All],6,0)</f>
        <v>49.9</v>
      </c>
      <c r="H78" s="84">
        <f>MATCH(TB_Vendas[[#This Row],[Categoria]],Desc_Categorias,0)</f>
        <v>3</v>
      </c>
      <c r="I78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78" s="69">
        <f>VLOOKUP(TB_Vendas[[#This Row],[Qtd]],Desc_TabelaToda,TB_Vendas[[#This Row],[Índice]],TRUE)</f>
        <v>0.15</v>
      </c>
      <c r="K78" s="69">
        <f>INDEX(Desc_TabelaToda,MATCH(TB_Vendas[[#This Row],[Qtd]],Desc_Quantidades,1),MATCH(VLOOKUP(TB_Vendas[[#This Row],[Código]],TB_Produtos[],4,0),Desc_Categorias,0))</f>
        <v>0.15</v>
      </c>
      <c r="L78" s="69">
        <f>VLOOKUP(TB_Vendas[[#This Row],[Vendedor]],Vendedores!$A$5:$D$9,4,0)</f>
        <v>0.1</v>
      </c>
      <c r="M78" s="69">
        <f>IF(TB_Vendas[[#This Row],[Desconto (Diretão)]]&gt;TB_Vendas[[#This Row],[Desconto (Vendedor)]],TB_Vendas[[#This Row],[Desconto (Vendedor)]],TB_Vendas[[#This Row],[Desconto (Diretão)]])</f>
        <v>0.1</v>
      </c>
      <c r="N78" s="8">
        <f>TB_Vendas[[#This Row],[Preço Unitário]]*TB_Vendas[[#This Row],[Qtd]]</f>
        <v>99.8</v>
      </c>
      <c r="O78" s="1" t="s">
        <v>128</v>
      </c>
    </row>
    <row r="79" spans="1:15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0" t="str">
        <f>VLOOKUP(TB_Vendas[[#This Row],[Código]],TB_Produtos[#All],4,0)</f>
        <v>Vestuário</v>
      </c>
      <c r="F79" s="1">
        <v>8</v>
      </c>
      <c r="G79" s="29">
        <f>VLOOKUP(TB_Vendas[[#This Row],[Código]],TB_Produtos[#All],6,0)</f>
        <v>70</v>
      </c>
      <c r="H79" s="84">
        <f>MATCH(TB_Vendas[[#This Row],[Categoria]],Desc_Categorias,0)</f>
        <v>3</v>
      </c>
      <c r="I79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79" s="69">
        <f>VLOOKUP(TB_Vendas[[#This Row],[Qtd]],Desc_TabelaToda,TB_Vendas[[#This Row],[Índice]],TRUE)</f>
        <v>0.25</v>
      </c>
      <c r="K79" s="69">
        <f>INDEX(Desc_TabelaToda,MATCH(TB_Vendas[[#This Row],[Qtd]],Desc_Quantidades,1),MATCH(VLOOKUP(TB_Vendas[[#This Row],[Código]],TB_Produtos[],4,0),Desc_Categorias,0))</f>
        <v>0.25</v>
      </c>
      <c r="L79" s="69">
        <f>VLOOKUP(TB_Vendas[[#This Row],[Vendedor]],Vendedores!$A$5:$D$9,4,0)</f>
        <v>0.25</v>
      </c>
      <c r="M79" s="69">
        <f>IF(TB_Vendas[[#This Row],[Desconto (Diretão)]]&gt;TB_Vendas[[#This Row],[Desconto (Vendedor)]],TB_Vendas[[#This Row],[Desconto (Vendedor)]],TB_Vendas[[#This Row],[Desconto (Diretão)]])</f>
        <v>0.25</v>
      </c>
      <c r="N79" s="8">
        <f>TB_Vendas[[#This Row],[Preço Unitário]]*TB_Vendas[[#This Row],[Qtd]]</f>
        <v>560</v>
      </c>
      <c r="O79" s="1" t="s">
        <v>127</v>
      </c>
    </row>
    <row r="80" spans="1:15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0" t="str">
        <f>VLOOKUP(TB_Vendas[[#This Row],[Código]],TB_Produtos[#All],4,0)</f>
        <v>Vestuário</v>
      </c>
      <c r="F80" s="1">
        <v>5</v>
      </c>
      <c r="G80" s="29">
        <f>VLOOKUP(TB_Vendas[[#This Row],[Código]],TB_Produtos[#All],6,0)</f>
        <v>46.9</v>
      </c>
      <c r="H80" s="84">
        <f>MATCH(TB_Vendas[[#This Row],[Categoria]],Desc_Categorias,0)</f>
        <v>3</v>
      </c>
      <c r="I80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80" s="69">
        <f>VLOOKUP(TB_Vendas[[#This Row],[Qtd]],Desc_TabelaToda,TB_Vendas[[#This Row],[Índice]],TRUE)</f>
        <v>0.25</v>
      </c>
      <c r="K80" s="69">
        <f>INDEX(Desc_TabelaToda,MATCH(TB_Vendas[[#This Row],[Qtd]],Desc_Quantidades,1),MATCH(VLOOKUP(TB_Vendas[[#This Row],[Código]],TB_Produtos[],4,0),Desc_Categorias,0))</f>
        <v>0.25</v>
      </c>
      <c r="L80" s="69">
        <f>VLOOKUP(TB_Vendas[[#This Row],[Vendedor]],Vendedores!$A$5:$D$9,4,0)</f>
        <v>0.1</v>
      </c>
      <c r="M80" s="69">
        <f>IF(TB_Vendas[[#This Row],[Desconto (Diretão)]]&gt;TB_Vendas[[#This Row],[Desconto (Vendedor)]],TB_Vendas[[#This Row],[Desconto (Vendedor)]],TB_Vendas[[#This Row],[Desconto (Diretão)]])</f>
        <v>0.1</v>
      </c>
      <c r="N80" s="8">
        <f>TB_Vendas[[#This Row],[Preço Unitário]]*TB_Vendas[[#This Row],[Qtd]]</f>
        <v>234.5</v>
      </c>
      <c r="O80" s="1" t="s">
        <v>128</v>
      </c>
    </row>
    <row r="81" spans="1:15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0" t="str">
        <f>VLOOKUP(TB_Vendas[[#This Row],[Código]],TB_Produtos[#All],4,0)</f>
        <v>Vestuário</v>
      </c>
      <c r="F81" s="1">
        <v>10</v>
      </c>
      <c r="G81" s="29">
        <f>VLOOKUP(TB_Vendas[[#This Row],[Código]],TB_Produtos[#All],6,0)</f>
        <v>289.89999999999998</v>
      </c>
      <c r="H81" s="84">
        <f>MATCH(TB_Vendas[[#This Row],[Categoria]],Desc_Categorias,0)</f>
        <v>3</v>
      </c>
      <c r="I81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0.3</v>
      </c>
      <c r="J81" s="69">
        <f>VLOOKUP(TB_Vendas[[#This Row],[Qtd]],Desc_TabelaToda,TB_Vendas[[#This Row],[Índice]],TRUE)</f>
        <v>0.3</v>
      </c>
      <c r="K81" s="69">
        <f>INDEX(Desc_TabelaToda,MATCH(TB_Vendas[[#This Row],[Qtd]],Desc_Quantidades,1),MATCH(VLOOKUP(TB_Vendas[[#This Row],[Código]],TB_Produtos[],4,0),Desc_Categorias,0))</f>
        <v>0.3</v>
      </c>
      <c r="L81" s="69">
        <f>VLOOKUP(TB_Vendas[[#This Row],[Vendedor]],Vendedores!$A$5:$D$9,4,0)</f>
        <v>0.25</v>
      </c>
      <c r="M81" s="69">
        <f>IF(TB_Vendas[[#This Row],[Desconto (Diretão)]]&gt;TB_Vendas[[#This Row],[Desconto (Vendedor)]],TB_Vendas[[#This Row],[Desconto (Vendedor)]],TB_Vendas[[#This Row],[Desconto (Diretão)]])</f>
        <v>0.25</v>
      </c>
      <c r="N81" s="8">
        <f>TB_Vendas[[#This Row],[Preço Unitário]]*TB_Vendas[[#This Row],[Qtd]]</f>
        <v>2899</v>
      </c>
      <c r="O81" s="1" t="s">
        <v>127</v>
      </c>
    </row>
    <row r="82" spans="1:15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0" t="str">
        <f>VLOOKUP(TB_Vendas[[#This Row],[Código]],TB_Produtos[#All],4,0)</f>
        <v>Vestuário</v>
      </c>
      <c r="F82" s="1">
        <v>1</v>
      </c>
      <c r="G82" s="29">
        <f>VLOOKUP(TB_Vendas[[#This Row],[Código]],TB_Produtos[#All],6,0)</f>
        <v>42.5</v>
      </c>
      <c r="H82" s="84">
        <f>MATCH(TB_Vendas[[#This Row],[Categoria]],Desc_Categorias,0)</f>
        <v>3</v>
      </c>
      <c r="I82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82" s="69">
        <f>VLOOKUP(TB_Vendas[[#This Row],[Qtd]],Desc_TabelaToda,TB_Vendas[[#This Row],[Índice]],TRUE)</f>
        <v>0.1</v>
      </c>
      <c r="K82" s="69">
        <f>INDEX(Desc_TabelaToda,MATCH(TB_Vendas[[#This Row],[Qtd]],Desc_Quantidades,1),MATCH(VLOOKUP(TB_Vendas[[#This Row],[Código]],TB_Produtos[],4,0),Desc_Categorias,0))</f>
        <v>0.1</v>
      </c>
      <c r="L82" s="69">
        <f>VLOOKUP(TB_Vendas[[#This Row],[Vendedor]],Vendedores!$A$5:$D$9,4,0)</f>
        <v>0.1</v>
      </c>
      <c r="M82" s="69">
        <f>IF(TB_Vendas[[#This Row],[Desconto (Diretão)]]&gt;TB_Vendas[[#This Row],[Desconto (Vendedor)]],TB_Vendas[[#This Row],[Desconto (Vendedor)]],TB_Vendas[[#This Row],[Desconto (Diretão)]])</f>
        <v>0.1</v>
      </c>
      <c r="N82" s="8">
        <f>TB_Vendas[[#This Row],[Preço Unitário]]*TB_Vendas[[#This Row],[Qtd]]</f>
        <v>42.5</v>
      </c>
      <c r="O82" s="1" t="s">
        <v>128</v>
      </c>
    </row>
    <row r="83" spans="1:15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0" t="str">
        <f>VLOOKUP(TB_Vendas[[#This Row],[Código]],TB_Produtos[#All],4,0)</f>
        <v>Calçado</v>
      </c>
      <c r="F83" s="1">
        <v>2</v>
      </c>
      <c r="G83" s="29">
        <f>VLOOKUP(TB_Vendas[[#This Row],[Código]],TB_Produtos[#All],6,0)</f>
        <v>89.9</v>
      </c>
      <c r="H83" s="84">
        <f>MATCH(TB_Vendas[[#This Row],[Categoria]],Desc_Categorias,0)</f>
        <v>4</v>
      </c>
      <c r="I83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</v>
      </c>
      <c r="J83" s="69">
        <f>VLOOKUP(TB_Vendas[[#This Row],[Qtd]],Desc_TabelaToda,TB_Vendas[[#This Row],[Índice]],TRUE)</f>
        <v>0.1</v>
      </c>
      <c r="K83" s="69">
        <f>INDEX(Desc_TabelaToda,MATCH(TB_Vendas[[#This Row],[Qtd]],Desc_Quantidades,1),MATCH(VLOOKUP(TB_Vendas[[#This Row],[Código]],TB_Produtos[],4,0),Desc_Categorias,0))</f>
        <v>0.1</v>
      </c>
      <c r="L83" s="69">
        <f>VLOOKUP(TB_Vendas[[#This Row],[Vendedor]],Vendedores!$A$5:$D$9,4,0)</f>
        <v>0.25</v>
      </c>
      <c r="M83" s="69">
        <f>IF(TB_Vendas[[#This Row],[Desconto (Diretão)]]&gt;TB_Vendas[[#This Row],[Desconto (Vendedor)]],TB_Vendas[[#This Row],[Desconto (Vendedor)]],TB_Vendas[[#This Row],[Desconto (Diretão)]])</f>
        <v>0.1</v>
      </c>
      <c r="N83" s="8">
        <f>TB_Vendas[[#This Row],[Preço Unitário]]*TB_Vendas[[#This Row],[Qtd]]</f>
        <v>179.8</v>
      </c>
      <c r="O83" s="1" t="s">
        <v>127</v>
      </c>
    </row>
    <row r="84" spans="1:15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0" t="str">
        <f>VLOOKUP(TB_Vendas[[#This Row],[Código]],TB_Produtos[#All],4,0)</f>
        <v>Calçado</v>
      </c>
      <c r="F84" s="1">
        <v>3</v>
      </c>
      <c r="G84" s="29">
        <f>VLOOKUP(TB_Vendas[[#This Row],[Código]],TB_Produtos[#All],6,0)</f>
        <v>255</v>
      </c>
      <c r="H84" s="84">
        <f>MATCH(TB_Vendas[[#This Row],[Categoria]],Desc_Categorias,0)</f>
        <v>4</v>
      </c>
      <c r="I84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0.15</v>
      </c>
      <c r="J84" s="69">
        <f>VLOOKUP(TB_Vendas[[#This Row],[Qtd]],Desc_TabelaToda,TB_Vendas[[#This Row],[Índice]],TRUE)</f>
        <v>0.15</v>
      </c>
      <c r="K84" s="69">
        <f>INDEX(Desc_TabelaToda,MATCH(TB_Vendas[[#This Row],[Qtd]],Desc_Quantidades,1),MATCH(VLOOKUP(TB_Vendas[[#This Row],[Código]],TB_Produtos[],4,0),Desc_Categorias,0))</f>
        <v>0.15</v>
      </c>
      <c r="L84" s="69">
        <f>VLOOKUP(TB_Vendas[[#This Row],[Vendedor]],Vendedores!$A$5:$D$9,4,0)</f>
        <v>0.2</v>
      </c>
      <c r="M84" s="69">
        <f>IF(TB_Vendas[[#This Row],[Desconto (Diretão)]]&gt;TB_Vendas[[#This Row],[Desconto (Vendedor)]],TB_Vendas[[#This Row],[Desconto (Vendedor)]],TB_Vendas[[#This Row],[Desconto (Diretão)]])</f>
        <v>0.15</v>
      </c>
      <c r="N84" s="8">
        <f>TB_Vendas[[#This Row],[Preço Unitário]]*TB_Vendas[[#This Row],[Qtd]]</f>
        <v>765</v>
      </c>
      <c r="O84" s="1" t="s">
        <v>126</v>
      </c>
    </row>
    <row r="85" spans="1:15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0" t="str">
        <f>VLOOKUP(TB_Vendas[[#This Row],[Código]],TB_Produtos[#All],4,0)</f>
        <v>Vestuário</v>
      </c>
      <c r="F85" s="1">
        <v>6</v>
      </c>
      <c r="G85" s="29">
        <f>VLOOKUP(TB_Vendas[[#This Row],[Código]],TB_Produtos[#All],6,0)</f>
        <v>42.5</v>
      </c>
      <c r="H85" s="84">
        <f>MATCH(TB_Vendas[[#This Row],[Categoria]],Desc_Categorias,0)</f>
        <v>3</v>
      </c>
      <c r="I85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85" s="69">
        <f>VLOOKUP(TB_Vendas[[#This Row],[Qtd]],Desc_TabelaToda,TB_Vendas[[#This Row],[Índice]],TRUE)</f>
        <v>0.25</v>
      </c>
      <c r="K85" s="69">
        <f>INDEX(Desc_TabelaToda,MATCH(TB_Vendas[[#This Row],[Qtd]],Desc_Quantidades,1),MATCH(VLOOKUP(TB_Vendas[[#This Row],[Código]],TB_Produtos[],4,0),Desc_Categorias,0))</f>
        <v>0.25</v>
      </c>
      <c r="L85" s="69">
        <f>VLOOKUP(TB_Vendas[[#This Row],[Vendedor]],Vendedores!$A$5:$D$9,4,0)</f>
        <v>0.2</v>
      </c>
      <c r="M85" s="69">
        <f>IF(TB_Vendas[[#This Row],[Desconto (Diretão)]]&gt;TB_Vendas[[#This Row],[Desconto (Vendedor)]],TB_Vendas[[#This Row],[Desconto (Vendedor)]],TB_Vendas[[#This Row],[Desconto (Diretão)]])</f>
        <v>0.2</v>
      </c>
      <c r="N85" s="8">
        <f>TB_Vendas[[#This Row],[Preço Unitário]]*TB_Vendas[[#This Row],[Qtd]]</f>
        <v>255</v>
      </c>
      <c r="O85" s="1" t="s">
        <v>129</v>
      </c>
    </row>
    <row r="86" spans="1:15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0" t="str">
        <f>VLOOKUP(TB_Vendas[[#This Row],[Código]],TB_Produtos[#All],4,0)</f>
        <v>Vestuário</v>
      </c>
      <c r="F86" s="1">
        <v>8</v>
      </c>
      <c r="G86" s="29">
        <f>VLOOKUP(TB_Vendas[[#This Row],[Código]],TB_Produtos[#All],6,0)</f>
        <v>39.9</v>
      </c>
      <c r="H86" s="84">
        <f>MATCH(TB_Vendas[[#This Row],[Categoria]],Desc_Categorias,0)</f>
        <v>3</v>
      </c>
      <c r="I86" s="69">
        <f>VLOOKUP(TB_Vendas[[#This Row],[Qtd]],Desc_TabelaToda,_xlfn.IFS(TB_Vendas[[#This Row],[Categoria]]='Cadastros Auxiliares'!$C$8,2,TB_Vendas[[#This Row],[Categoria]]='Cadastros Auxiliares'!$D$8,3,TB_Vendas[[#This Row],[Categoria]]='Cadastros Auxiliares'!$E$8,4),TRUE)</f>
        <v>0.25</v>
      </c>
      <c r="J86" s="69">
        <f>VLOOKUP(TB_Vendas[[#This Row],[Qtd]],Desc_TabelaToda,TB_Vendas[[#This Row],[Índice]],TRUE)</f>
        <v>0.25</v>
      </c>
      <c r="K86" s="69">
        <f>INDEX(Desc_TabelaToda,MATCH(TB_Vendas[[#This Row],[Qtd]],Desc_Quantidades,1),MATCH(VLOOKUP(TB_Vendas[[#This Row],[Código]],TB_Produtos[],4,0),Desc_Categorias,0))</f>
        <v>0.25</v>
      </c>
      <c r="L86" s="69">
        <f>VLOOKUP(TB_Vendas[[#This Row],[Vendedor]],Vendedores!$A$5:$D$9,4,0)</f>
        <v>0.25</v>
      </c>
      <c r="M86" s="69">
        <f>IF(TB_Vendas[[#This Row],[Desconto (Diretão)]]&gt;TB_Vendas[[#This Row],[Desconto (Vendedor)]],TB_Vendas[[#This Row],[Desconto (Vendedor)]],TB_Vendas[[#This Row],[Desconto (Diretão)]])</f>
        <v>0.25</v>
      </c>
      <c r="N86" s="8">
        <f>TB_Vendas[[#This Row],[Preço Unitário]]*TB_Vendas[[#This Row],[Qtd]]</f>
        <v>319.2</v>
      </c>
      <c r="O86" s="1" t="s">
        <v>127</v>
      </c>
    </row>
  </sheetData>
  <phoneticPr fontId="12" type="noConversion"/>
  <conditionalFormatting sqref="F4:M4"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sheetPr codeName="Planilha5"/>
  <dimension ref="A1:I20"/>
  <sheetViews>
    <sheetView showGridLines="0" workbookViewId="0">
      <selection activeCell="E18" sqref="E18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144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9" t="s">
        <v>153</v>
      </c>
      <c r="C4" s="89"/>
      <c r="D4" s="42"/>
      <c r="E4" s="89" t="s">
        <v>160</v>
      </c>
      <c r="F4" s="89"/>
    </row>
    <row r="5" spans="1:9" ht="5.25" customHeight="1" thickBot="1"/>
    <row r="6" spans="1:9" ht="24.6" customHeight="1" thickBot="1">
      <c r="B6" s="71" t="s">
        <v>154</v>
      </c>
      <c r="C6" s="70" t="s">
        <v>60</v>
      </c>
      <c r="E6" s="71" t="s">
        <v>159</v>
      </c>
      <c r="F6" s="75">
        <v>45024</v>
      </c>
    </row>
    <row r="7" spans="1:9" ht="24.6" customHeight="1" thickTop="1" thickBot="1">
      <c r="B7" s="71" t="s">
        <v>155</v>
      </c>
      <c r="C7" s="50" t="str">
        <f>VLOOKUP(C6,TB_Produtos[#All],2,0)</f>
        <v>Tênis Atitas</v>
      </c>
      <c r="E7" s="71" t="s">
        <v>162</v>
      </c>
      <c r="F7" s="50" t="str">
        <f>IFERROR(HLOOKUP(WEEKDAY(F6),'Cadastros Auxiliares'!B4:I5,2,FALSE),"")</f>
        <v>Sábado</v>
      </c>
      <c r="G7" s="49"/>
    </row>
    <row r="8" spans="1:9" ht="24.6" customHeight="1" thickTop="1" thickBot="1">
      <c r="B8" s="71" t="s">
        <v>155</v>
      </c>
      <c r="C8" s="50" t="str">
        <f>VLOOKUP(C6,TB_Produtos[#All],MATCH("Produtos", TB_Produtos[#Headers], 0),0)</f>
        <v>Tênis Atitas</v>
      </c>
      <c r="E8" s="72" t="s">
        <v>163</v>
      </c>
      <c r="F8" s="76"/>
      <c r="G8" s="49"/>
    </row>
    <row r="9" spans="1:9" ht="24.6" customHeight="1" thickTop="1" thickBot="1">
      <c r="B9" s="72" t="s">
        <v>156</v>
      </c>
      <c r="C9" s="48">
        <f>IFERROR(VLOOKUP(C6,TB_Produtos[#All],3,FALSE),"Não encontrado")</f>
        <v>37</v>
      </c>
      <c r="E9" s="74" t="s">
        <v>161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3" t="s">
        <v>157</v>
      </c>
      <c r="C10" s="48" t="str">
        <f>IFERROR(VLOOKUP($C$6,Produtos!$B$6:$G$66,4,0),"Não encontrado")</f>
        <v>Calçado</v>
      </c>
      <c r="G10" s="49"/>
    </row>
    <row r="11" spans="1:9" ht="24.6" customHeight="1" thickTop="1" thickBot="1">
      <c r="B11" s="73" t="s">
        <v>164</v>
      </c>
      <c r="C11" s="79">
        <f>IFERROR(VLOOKUP($C$6,Produtos!$B$6:$G$66,6,0),"Não encontrado")</f>
        <v>255</v>
      </c>
      <c r="F11" t="s">
        <v>165</v>
      </c>
      <c r="G11" s="49"/>
    </row>
    <row r="12" spans="1:9" ht="22.5" thickTop="1" thickBot="1">
      <c r="B12" s="71" t="s">
        <v>158</v>
      </c>
      <c r="C12" s="48">
        <f>VLOOKUP(C6,TB_Produtos[#All],5,FALSE)</f>
        <v>41</v>
      </c>
      <c r="E12" s="77"/>
      <c r="F12" t="s">
        <v>166</v>
      </c>
    </row>
    <row r="13" spans="1:9" ht="24.75" thickTop="1" thickBot="1">
      <c r="B13" s="71" t="s">
        <v>167</v>
      </c>
      <c r="C13" s="48" t="str">
        <f>IF(C12&gt;10,"Estoque OK", IF(C12=0,"Estoque zerado", "Rever estoque"))</f>
        <v>Estoque OK</v>
      </c>
      <c r="E13" s="78"/>
    </row>
    <row r="14" spans="1:9" ht="26.25" customHeight="1" thickTop="1" thickBot="1">
      <c r="B14" s="71" t="s">
        <v>168</v>
      </c>
      <c r="C14" s="48" t="str">
        <f>_xlfn.IFS(C12=0,"Estoque Zerado",C12&gt;=C15,"Estoque ok",1, "Rever estoque")</f>
        <v>Estoque ok</v>
      </c>
      <c r="E14" s="50" t="str">
        <f>INDEX(TB_Produtos[Categoria],MATCH(C6,TB_Produtos[Código],0))</f>
        <v>Calçado</v>
      </c>
    </row>
    <row r="15" spans="1:9" ht="19.5" thickTop="1" thickBot="1">
      <c r="B15" s="71" t="s">
        <v>169</v>
      </c>
      <c r="C15" s="81">
        <f>VLOOKUP(C10,'Cadastros Auxiliares'!G8:H11,2,FALSE)</f>
        <v>15</v>
      </c>
    </row>
    <row r="16" spans="1:9" ht="19.5" thickTop="1" thickBot="1">
      <c r="B16" s="71" t="s">
        <v>168</v>
      </c>
      <c r="C16" s="48" t="str">
        <f>_xlfn.IFS(C14=0,"Estoque Zerado",C14&gt;=VLOOKUP(C10,'Cadastros Auxiliares'!G8:H11,2,FALSE),"Estoque ok",1, "Rever estoque")</f>
        <v>Estoque ok</v>
      </c>
    </row>
    <row r="17" spans="5:5" ht="15.75" thickTop="1"/>
    <row r="18" spans="5:5">
      <c r="E18">
        <f>MATCH("Produtos", TB_Produtos[#Headers], 0)</f>
        <v>2</v>
      </c>
    </row>
    <row r="19" spans="5:5"/>
    <row r="20" spans="5:5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 codeName="Planilha6">
    <tabColor rgb="FFFF0000"/>
  </sheetPr>
  <dimension ref="B1:J21"/>
  <sheetViews>
    <sheetView zoomScale="130" zoomScaleNormal="130" workbookViewId="0">
      <selection activeCell="B17" sqref="B17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135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136</v>
      </c>
      <c r="C5" s="55" t="s">
        <v>137</v>
      </c>
      <c r="D5" s="55" t="s">
        <v>138</v>
      </c>
      <c r="E5" s="55" t="s">
        <v>139</v>
      </c>
      <c r="F5" s="55" t="s">
        <v>140</v>
      </c>
      <c r="G5" s="55" t="s">
        <v>141</v>
      </c>
      <c r="H5" s="55" t="s">
        <v>142</v>
      </c>
      <c r="I5" s="55" t="s">
        <v>143</v>
      </c>
    </row>
    <row r="7" spans="2:10" ht="15.75" thickBot="1"/>
    <row r="8" spans="2:10" ht="36.75" thickBot="1">
      <c r="B8" s="60" t="s">
        <v>152</v>
      </c>
      <c r="C8" s="61" t="s">
        <v>13</v>
      </c>
      <c r="D8" s="61" t="s">
        <v>12</v>
      </c>
      <c r="E8" s="61" t="s">
        <v>14</v>
      </c>
      <c r="G8" s="60" t="s">
        <v>10</v>
      </c>
      <c r="H8" s="60" t="s">
        <v>169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55" t="s">
        <v>13</v>
      </c>
      <c r="H9" s="80">
        <v>5</v>
      </c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55" t="s">
        <v>12</v>
      </c>
      <c r="H10" s="80">
        <v>10</v>
      </c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  <c r="G11" s="55" t="s">
        <v>14</v>
      </c>
      <c r="H11" s="80">
        <v>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</row>
    <row r="16" spans="2:10">
      <c r="D16" t="s">
        <v>170</v>
      </c>
    </row>
    <row r="17" spans="3:7">
      <c r="C17" s="82" t="s">
        <v>38</v>
      </c>
      <c r="D17">
        <f>MATCH(C19,B8:E8,0)</f>
        <v>3</v>
      </c>
    </row>
    <row r="18" spans="3:7">
      <c r="C18">
        <v>3</v>
      </c>
      <c r="D18" s="83">
        <f>VLOOKUP(C18,B8:E13,MATCH(C19,B8:E8,0),1)</f>
        <v>0.2</v>
      </c>
      <c r="F18">
        <f>MATCH(VLOOKUP(C17,TB_Produtos[],4,0),Desc_Categorias,0)</f>
        <v>3</v>
      </c>
      <c r="G18" t="s">
        <v>171</v>
      </c>
    </row>
    <row r="19" spans="3:7">
      <c r="C19" t="str">
        <f>VLOOKUP(C17,TB_Produtos[],4,0)</f>
        <v>Vestuário</v>
      </c>
      <c r="F19">
        <f>MATCH(C18,B8:B13,1)</f>
        <v>4</v>
      </c>
      <c r="G19" t="s">
        <v>172</v>
      </c>
    </row>
    <row r="20" spans="3:7">
      <c r="F20">
        <f>INDEX(B8:E13,F19,F18)</f>
        <v>0.2</v>
      </c>
    </row>
    <row r="21" spans="3:7">
      <c r="F21">
        <f>INDEX(B8:E13,MATCH(C18,B8:B13,1),MATCH(C19,B8:E8,0))</f>
        <v>0.2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A075-78C7-4A7F-AAB5-CEA18A10867A}">
  <dimension ref="B2:M20"/>
  <sheetViews>
    <sheetView tabSelected="1" zoomScale="145" zoomScaleNormal="145" workbookViewId="0">
      <selection activeCell="G9" sqref="G9"/>
    </sheetView>
  </sheetViews>
  <sheetFormatPr defaultRowHeight="15"/>
  <cols>
    <col min="2" max="2" width="14.28515625" bestFit="1" customWidth="1"/>
    <col min="3" max="3" width="9" customWidth="1"/>
    <col min="4" max="4" width="14.42578125" customWidth="1"/>
  </cols>
  <sheetData>
    <row r="2" spans="2:13" ht="18.75">
      <c r="B2" s="125" t="s">
        <v>0</v>
      </c>
      <c r="C2" s="125" t="s">
        <v>77</v>
      </c>
      <c r="D2" s="125" t="s">
        <v>11</v>
      </c>
      <c r="F2" s="126" t="s">
        <v>182</v>
      </c>
      <c r="G2" s="127"/>
      <c r="H2" s="127"/>
      <c r="I2" s="127"/>
      <c r="J2" s="127"/>
      <c r="K2" s="127"/>
      <c r="L2" s="127"/>
      <c r="M2" s="127"/>
    </row>
    <row r="3" spans="2:13">
      <c r="B3" s="124" t="s">
        <v>5</v>
      </c>
      <c r="C3" s="1">
        <v>17</v>
      </c>
      <c r="D3" s="123">
        <v>63.9</v>
      </c>
      <c r="G3">
        <f>VLOOKUP(20,C13:D20,2,TRUE)</f>
        <v>63.9</v>
      </c>
    </row>
    <row r="4" spans="2:13">
      <c r="B4" s="124" t="s">
        <v>5</v>
      </c>
      <c r="C4" s="1">
        <v>37</v>
      </c>
      <c r="D4" s="123">
        <v>70.900000000000006</v>
      </c>
      <c r="G4">
        <f>VLOOKUP(20,Tabela1[[Estoque]:[Preço Unitário]],2,1)</f>
        <v>63.9</v>
      </c>
    </row>
    <row r="5" spans="2:13" ht="15.75">
      <c r="B5" s="124" t="s">
        <v>5</v>
      </c>
      <c r="C5" s="1">
        <v>48</v>
      </c>
      <c r="D5" s="123">
        <v>65.900000000000006</v>
      </c>
      <c r="G5" s="128" t="s">
        <v>183</v>
      </c>
    </row>
    <row r="6" spans="2:13">
      <c r="B6" s="124" t="s">
        <v>179</v>
      </c>
      <c r="C6" s="1">
        <v>36</v>
      </c>
      <c r="D6" s="123">
        <v>145</v>
      </c>
      <c r="G6" t="e">
        <f>VLOOKUP(20,Tabela1[[Estoque]:[Preço Unitário]],2,FALSE)</f>
        <v>#N/A</v>
      </c>
    </row>
    <row r="7" spans="2:13">
      <c r="B7" s="124" t="s">
        <v>180</v>
      </c>
      <c r="C7" s="1">
        <v>21</v>
      </c>
      <c r="D7" s="123">
        <v>259.89999999999998</v>
      </c>
      <c r="G7">
        <f>MATCH(35,Tabela1[Estoque],0)</f>
        <v>8</v>
      </c>
    </row>
    <row r="8" spans="2:13">
      <c r="B8" s="124" t="s">
        <v>6</v>
      </c>
      <c r="C8" s="1">
        <v>23</v>
      </c>
      <c r="D8" s="123">
        <v>39.9</v>
      </c>
      <c r="G8" t="e">
        <f>MATCH(35,C13:D20,0)</f>
        <v>#N/A</v>
      </c>
    </row>
    <row r="9" spans="2:13">
      <c r="B9" s="124" t="s">
        <v>181</v>
      </c>
      <c r="C9" s="1">
        <v>24</v>
      </c>
      <c r="D9" s="123">
        <v>85.9</v>
      </c>
    </row>
    <row r="10" spans="2:13">
      <c r="B10" s="124" t="s">
        <v>181</v>
      </c>
      <c r="C10" s="1">
        <v>35</v>
      </c>
      <c r="D10" s="123">
        <v>89.9</v>
      </c>
      <c r="G10">
        <f>MAX(Tabela1[Preço Unitário])</f>
        <v>259.89999999999998</v>
      </c>
    </row>
    <row r="12" spans="2:13">
      <c r="B12" s="124" t="s">
        <v>184</v>
      </c>
      <c r="C12" s="1" t="s">
        <v>185</v>
      </c>
      <c r="D12" s="123" t="s">
        <v>186</v>
      </c>
      <c r="F12" s="129"/>
      <c r="G12" s="129"/>
      <c r="H12" s="130"/>
    </row>
    <row r="13" spans="2:13">
      <c r="B13" s="129" t="s">
        <v>5</v>
      </c>
      <c r="C13" s="129">
        <v>17</v>
      </c>
      <c r="D13" s="130">
        <v>63.9</v>
      </c>
      <c r="F13" s="124"/>
      <c r="G13" s="124"/>
      <c r="H13" s="123"/>
    </row>
    <row r="14" spans="2:13">
      <c r="B14" s="129" t="s">
        <v>180</v>
      </c>
      <c r="C14" s="129">
        <v>21</v>
      </c>
      <c r="D14" s="130">
        <v>259.89999999999998</v>
      </c>
      <c r="F14" s="129"/>
      <c r="G14" s="129"/>
      <c r="H14" s="130"/>
    </row>
    <row r="15" spans="2:13">
      <c r="B15" s="124" t="s">
        <v>6</v>
      </c>
      <c r="C15" s="124">
        <v>23</v>
      </c>
      <c r="D15" s="123">
        <v>39.9</v>
      </c>
      <c r="F15" s="124"/>
      <c r="G15" s="124"/>
      <c r="H15" s="123"/>
    </row>
    <row r="16" spans="2:13">
      <c r="B16" s="129" t="s">
        <v>181</v>
      </c>
      <c r="C16" s="129">
        <v>24</v>
      </c>
      <c r="D16" s="130">
        <v>85.9</v>
      </c>
      <c r="F16" s="129"/>
      <c r="G16" s="129"/>
      <c r="H16" s="130"/>
    </row>
    <row r="17" spans="2:8">
      <c r="B17" s="133" t="s">
        <v>181</v>
      </c>
      <c r="C17" s="133">
        <v>35</v>
      </c>
      <c r="D17" s="135">
        <v>89.9</v>
      </c>
      <c r="F17" s="124"/>
      <c r="G17" s="124"/>
      <c r="H17" s="123"/>
    </row>
    <row r="18" spans="2:8">
      <c r="B18" s="124" t="s">
        <v>179</v>
      </c>
      <c r="C18" s="124">
        <v>36</v>
      </c>
      <c r="D18" s="123">
        <v>145</v>
      </c>
      <c r="F18" s="129"/>
      <c r="G18" s="129"/>
      <c r="H18" s="130"/>
    </row>
    <row r="19" spans="2:8">
      <c r="B19" s="124" t="s">
        <v>5</v>
      </c>
      <c r="C19" s="124">
        <v>37</v>
      </c>
      <c r="D19" s="123">
        <v>70.900000000000006</v>
      </c>
      <c r="F19" s="131"/>
      <c r="G19" s="131"/>
      <c r="H19" s="132"/>
    </row>
    <row r="20" spans="2:8">
      <c r="B20" s="134" t="s">
        <v>5</v>
      </c>
      <c r="C20" s="134">
        <v>48</v>
      </c>
      <c r="D20" s="136">
        <v>65.900000000000006</v>
      </c>
    </row>
  </sheetData>
  <sortState ref="B14:D20">
    <sortCondition ref="C13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sheetPr codeName="Planilha7"/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1750.9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2974.9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3698.1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3651.0999999999995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2776.2999999999997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3477.7000000000007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sheetPr codeName="Planilha8"/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90" t="s">
        <v>78</v>
      </c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2"/>
      <c r="AQ2" s="90" t="s">
        <v>79</v>
      </c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2"/>
      <c r="BK2" s="90" t="s">
        <v>80</v>
      </c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2"/>
    </row>
    <row r="3" spans="3:80" ht="9.75" customHeight="1" thickBot="1">
      <c r="W3" s="93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5"/>
      <c r="AQ3" s="93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5"/>
      <c r="BK3" s="93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5"/>
    </row>
    <row r="4" spans="3:80" ht="9.75" customHeight="1">
      <c r="W4" s="105">
        <f>COUNTA(TB_Produtos[Código])</f>
        <v>60</v>
      </c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7"/>
      <c r="AQ4" s="105">
        <f>SUM(TB_Vendas[Qtd])</f>
        <v>250</v>
      </c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7"/>
      <c r="BK4" s="114">
        <f>SUM(TB_Vendas[Total])</f>
        <v>33304.799999999988</v>
      </c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6"/>
    </row>
    <row r="5" spans="3:80" ht="9.75" customHeight="1">
      <c r="W5" s="108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10"/>
      <c r="AQ5" s="108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10"/>
      <c r="BK5" s="117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9"/>
    </row>
    <row r="6" spans="3:80" ht="9.75" customHeight="1">
      <c r="W6" s="108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10"/>
      <c r="AQ6" s="108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10"/>
      <c r="BK6" s="117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9"/>
    </row>
    <row r="7" spans="3:80" ht="9.75" customHeight="1" thickBot="1">
      <c r="W7" s="111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3"/>
      <c r="AQ7" s="111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3"/>
      <c r="BK7" s="120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2"/>
    </row>
    <row r="8" spans="3:80" ht="9.75" customHeight="1" thickBot="1"/>
    <row r="9" spans="3:80" ht="9.75" customHeight="1">
      <c r="C9" s="90" t="s">
        <v>81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2"/>
    </row>
    <row r="10" spans="3:80" ht="9.75" customHeight="1" thickBot="1"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5"/>
    </row>
    <row r="11" spans="3:80" ht="9.75" customHeight="1"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8"/>
    </row>
    <row r="12" spans="3:80" ht="9.75" customHeight="1"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1"/>
    </row>
    <row r="13" spans="3:80" ht="9.75" customHeight="1">
      <c r="C13" s="99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1"/>
    </row>
    <row r="14" spans="3:80" ht="9.75" customHeight="1">
      <c r="C14" s="99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1"/>
    </row>
    <row r="15" spans="3:80" ht="9.75" customHeight="1"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1"/>
    </row>
    <row r="16" spans="3:80" ht="9.75" customHeight="1">
      <c r="C16" s="99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1"/>
    </row>
    <row r="17" spans="3:80" ht="9.75" customHeight="1">
      <c r="C17" s="9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1"/>
    </row>
    <row r="18" spans="3:80" ht="9.75" customHeight="1">
      <c r="C18" s="99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1"/>
    </row>
    <row r="19" spans="3:80" ht="9.75" customHeight="1"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1"/>
    </row>
    <row r="20" spans="3:80" ht="9.75" customHeight="1">
      <c r="C20" s="99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1"/>
    </row>
    <row r="21" spans="3:80" ht="9.75" customHeight="1"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1"/>
    </row>
    <row r="22" spans="3:80" ht="9.75" customHeight="1">
      <c r="C22" s="99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1"/>
    </row>
    <row r="23" spans="3:80" ht="9.75" customHeight="1">
      <c r="C23" s="9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1"/>
    </row>
    <row r="24" spans="3:80" ht="9.75" customHeight="1" thickBot="1"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4"/>
    </row>
    <row r="25" spans="3:80" ht="9.75" customHeight="1" thickBot="1"/>
    <row r="26" spans="3:80" ht="9.75" customHeight="1">
      <c r="C26" s="90" t="s">
        <v>82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2"/>
      <c r="AO26" s="13"/>
      <c r="AP26" s="13"/>
      <c r="AQ26" s="90" t="s">
        <v>83</v>
      </c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2"/>
    </row>
    <row r="27" spans="3:80" ht="9.75" customHeight="1" thickBot="1">
      <c r="C27" s="93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5"/>
      <c r="AO27" s="13"/>
      <c r="AP27" s="13"/>
      <c r="AQ27" s="93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5"/>
    </row>
    <row r="28" spans="3:80" ht="9.75" customHeight="1">
      <c r="C28" s="96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8"/>
      <c r="AQ28" s="96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8"/>
    </row>
    <row r="29" spans="3:80" ht="9.75" customHeight="1">
      <c r="C29" s="99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1"/>
      <c r="AQ29" s="99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1"/>
    </row>
    <row r="30" spans="3:80" ht="9.75" customHeight="1"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1"/>
      <c r="AQ30" s="99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1"/>
    </row>
    <row r="31" spans="3:80" ht="9.75" customHeight="1">
      <c r="C31" s="99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1"/>
      <c r="AQ31" s="99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1"/>
    </row>
    <row r="32" spans="3:80" ht="9.75" customHeight="1">
      <c r="C32" s="99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1"/>
      <c r="AQ32" s="99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1"/>
    </row>
    <row r="33" spans="3:80" ht="9.75" customHeight="1">
      <c r="C33" s="99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1"/>
      <c r="AQ33" s="99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1"/>
    </row>
    <row r="34" spans="3:80" ht="9.75" customHeight="1">
      <c r="C34" s="99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1"/>
      <c r="AQ34" s="99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1"/>
    </row>
    <row r="35" spans="3:80" ht="9.75" customHeight="1">
      <c r="C35" s="99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1"/>
      <c r="AQ35" s="99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1"/>
    </row>
    <row r="36" spans="3:80" ht="9.75" customHeight="1">
      <c r="C36" s="9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1"/>
      <c r="AQ36" s="99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1"/>
    </row>
    <row r="37" spans="3:80" ht="9.75" customHeight="1">
      <c r="C37" s="99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1"/>
      <c r="AQ37" s="99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1"/>
    </row>
    <row r="38" spans="3:80" ht="9.75" customHeight="1">
      <c r="C38" s="99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1"/>
      <c r="AQ38" s="99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1"/>
    </row>
    <row r="39" spans="3:80" ht="9.75" customHeight="1">
      <c r="C39" s="99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1"/>
      <c r="AQ39" s="99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1"/>
    </row>
    <row r="40" spans="3:80" ht="9.75" customHeight="1">
      <c r="C40" s="99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1"/>
      <c r="AQ40" s="99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1"/>
    </row>
    <row r="41" spans="3:80" ht="9.75" customHeight="1">
      <c r="C41" s="99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1"/>
      <c r="AQ41" s="99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1"/>
    </row>
    <row r="42" spans="3:80" ht="9.75" customHeight="1"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1"/>
      <c r="AQ42" s="99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1"/>
    </row>
    <row r="43" spans="3:80" ht="9.75" customHeight="1">
      <c r="C43" s="99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1"/>
      <c r="AQ43" s="99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1"/>
    </row>
    <row r="44" spans="3:80" ht="9.75" customHeight="1">
      <c r="C44" s="9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1"/>
      <c r="AQ44" s="99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1"/>
    </row>
    <row r="45" spans="3:80" ht="9.75" customHeight="1">
      <c r="C45" s="99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1"/>
      <c r="AQ45" s="99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1"/>
    </row>
    <row r="46" spans="3:80" ht="9.75" customHeight="1" thickBot="1">
      <c r="C46" s="102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4"/>
      <c r="AQ46" s="102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4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4</vt:i4>
      </vt:variant>
    </vt:vector>
  </HeadingPairs>
  <TitlesOfParts>
    <vt:vector size="13" baseType="lpstr">
      <vt:lpstr>Menu</vt:lpstr>
      <vt:lpstr>Produtos</vt:lpstr>
      <vt:lpstr>Vendedores</vt:lpstr>
      <vt:lpstr>Vendas</vt:lpstr>
      <vt:lpstr>Consultas</vt:lpstr>
      <vt:lpstr>Cadastros Auxiliares</vt:lpstr>
      <vt:lpstr>Planilha1</vt:lpstr>
      <vt:lpstr>Dados para Gráficos</vt:lpstr>
      <vt:lpstr>Dashboard</vt:lpstr>
      <vt:lpstr>Desc_Categorias</vt:lpstr>
      <vt:lpstr>Desc_Quantidades</vt:lpstr>
      <vt:lpstr>Desc_TabelaToda</vt:lpstr>
      <vt:lpstr>Int_Desc_Categorias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2024-08-10T00:38:35Z</dcterms:modified>
</cp:coreProperties>
</file>