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44B17876-927B-4871-9D45-B88A86959A36}" xr6:coauthVersionLast="36" xr6:coauthVersionMax="47" xr10:uidLastSave="{00000000-0000-0000-0000-000000000000}"/>
  <bookViews>
    <workbookView xWindow="10230" yWindow="0" windowWidth="23070" windowHeight="12195" tabRatio="698" activeTab="3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Desc_Categorias">'Cadastros Auxiliares'!$B$8:$E$8</definedName>
    <definedName name="Desc_Quantidades">'Cadastros Auxiliares'!$B$8:$B$13</definedName>
    <definedName name="Desc_TabelaToda">'Cadastros Auxiliares'!$B$8:$E$13</definedName>
    <definedName name="Int_Desc_Categorias">'Cadastros Auxiliares'!$B$8:$E$8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6" l="1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F18" i="23"/>
  <c r="C8" i="24"/>
  <c r="E18" i="24"/>
  <c r="E14" i="24"/>
  <c r="C7" i="24"/>
  <c r="F19" i="23" l="1"/>
  <c r="C19" i="23" l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21" i="23" l="1"/>
  <c r="F20" i="23"/>
  <c r="D17" i="23"/>
  <c r="D18" i="23"/>
  <c r="C12" i="24" l="1"/>
  <c r="C13" i="24" l="1"/>
  <c r="F7" i="24" l="1"/>
  <c r="C11" i="24" l="1"/>
  <c r="C10" i="24"/>
  <c r="C15" i="24" s="1"/>
  <c r="C14" i="24" s="1"/>
  <c r="C16" i="24" s="1"/>
  <c r="C9" i="24"/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8" authorId="0" shapeId="0" xr:uid="{E1EE0359-1C7D-4DB2-ABBE-0EE231A818B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9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  <comment ref="E14" authorId="0" shapeId="0" xr:uid="{951887BD-8385-4008-8735-78A1B7AA86FA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D17" authorId="0" shapeId="0" xr:uid="{B06CBAAC-3553-4C73-AEBE-098C99276FD4}">
      <text>
        <r>
          <rPr>
            <b/>
            <sz val="9"/>
            <color indexed="81"/>
            <rFont val="Segoe UI"/>
            <charset val="1"/>
          </rPr>
          <t xml:space="preserve">Corresp
1º Parâmetro:
          Célula de busca
2º Parâmetro
          A Linha ou Coluna dos Dados (não a matriz inteira
3º Parâmetro
          Tipo de pesquisa
</t>
        </r>
      </text>
    </comment>
  </commentList>
</comments>
</file>

<file path=xl/sharedStrings.xml><?xml version="1.0" encoding="utf-8"?>
<sst xmlns="http://schemas.openxmlformats.org/spreadsheetml/2006/main" count="504" uniqueCount="174">
  <si>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</si>
  <si>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</si>
  <si>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</si>
  <si>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</si>
  <si>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</si>
  <si>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</si>
  <si>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</si>
  <si>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</si>
  <si>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</si>
  <si>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</si>
  <si>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</si>
  <si>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</si>
  <si>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</si>
  <si>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</si>
  <si>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</si>
  <si>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</si>
  <si>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</si>
  <si>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</si>
  <si>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</si>
  <si>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</si>
  <si>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</si>
  <si>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</si>
  <si>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</si>
  <si>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</si>
  <si>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</si>
  <si>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</si>
  <si>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</si>
  <si>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</si>
  <si>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</si>
  <si>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</si>
  <si>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</si>
  <si>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</si>
  <si>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</si>
  <si>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</si>
  <si>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</si>
  <si>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</si>
  <si>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</si>
  <si>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</si>
  <si>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</si>
  <si>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</si>
  <si>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</si>
  <si>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</si>
  <si>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</si>
  <si>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</si>
  <si>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</si>
  <si>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</si>
  <si>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</si>
  <si>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</si>
  <si>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</si>
  <si>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</si>
  <si>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</si>
  <si>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</si>
  <si>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</si>
  <si>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</si>
  <si>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</si>
  <si>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</si>
  <si>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</si>
  <si>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</si>
  <si>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</si>
  <si>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</si>
  <si>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</si>
  <si>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</si>
  <si>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</si>
  <si>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</si>
  <si>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</si>
  <si>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</si>
  <si>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</si>
  <si>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</si>
  <si>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</si>
  <si>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</si>
  <si>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</si>
  <si>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</si>
  <si>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</si>
  <si>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</si>
  <si>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</si>
  <si>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</si>
  <si>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</si>
  <si>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</si>
  <si>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</si>
  <si>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</si>
  <si>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</si>
  <si>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</si>
  <si>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</si>
  <si>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</si>
  <si>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</si>
  <si>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</si>
  <si>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</si>
  <si>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</si>
  <si>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</si>
  <si>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</si>
  <si>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</si>
  <si>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</si>
  <si>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</si>
  <si>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</si>
  <si>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</si>
  <si>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</si>
  <si>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</si>
  <si>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</si>
  <si>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</si>
  <si>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</si>
  <si>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</si>
  <si>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</si>
  <si>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</si>
  <si>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</si>
  <si>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</si>
  <si>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</si>
  <si>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</si>
  <si>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</si>
  <si>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</si>
  <si>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</si>
  <si>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</si>
  <si>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</si>
  <si>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</si>
  <si>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</si>
  <si>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</si>
  <si>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</si>
  <si>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</si>
  <si>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</si>
  <si>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</si>
  <si>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</si>
  <si>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</si>
  <si>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</si>
  <si>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</si>
  <si>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</si>
  <si>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</si>
  <si>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</si>
  <si>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</si>
  <si>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</si>
  <si>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</si>
  <si>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</si>
  <si>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</si>
  <si>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</si>
  <si>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</si>
  <si>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</si>
  <si>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</si>
  <si>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</si>
  <si>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</si>
  <si>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</si>
  <si>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</si>
  <si>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</si>
  <si>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</si>
  <si>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</si>
  <si>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</si>
  <si>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</si>
  <si>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</si>
  <si>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</si>
  <si>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</si>
  <si>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</si>
  <si>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</si>
  <si>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</si>
  <si>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</si>
  <si>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</si>
  <si>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</si>
  <si>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</si>
  <si>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</si>
  <si>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</si>
  <si>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</si>
  <si>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</si>
  <si>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</si>
  <si>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</si>
  <si>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</si>
  <si>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</si>
  <si>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</si>
  <si>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</si>
  <si>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</si>
  <si>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</si>
  <si>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>DIA.DA.SEMANA</t>
  </si>
  <si>
    <t>PROCV(DIA.DA.SEMANA)</t>
  </si>
  <si>
    <t xml:space="preserve">Situação SE: </t>
  </si>
  <si>
    <t xml:space="preserve">Situação SES: </t>
  </si>
  <si>
    <t>Estoque Mínimo</t>
  </si>
  <si>
    <t>CORRESP</t>
  </si>
  <si>
    <t>Coluna</t>
  </si>
  <si>
    <t>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</si>
</sst>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  <numFmt numFmtId="166" formatCode="&quot;R$&quot;\ #,##0.00"/>
  </numFmts>
  <fonts count="2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" fillId="0" borderId="0" xfId="0" applyFont="1"/>
    <xf numFmtId="0" fontId="26" fillId="0" borderId="0" xfId="0" applyFont="1"/>
    <xf numFmtId="166" fontId="24" fillId="7" borderId="26" xfId="0" applyNumberFormat="1" applyFont="1" applyFill="1" applyBorder="1" applyAlignment="1">
      <alignment horizontal="center" vertical="center"/>
    </xf>
    <xf numFmtId="1" fontId="16" fillId="0" borderId="7" xfId="5" applyNumberFormat="1" applyFont="1" applyBorder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/>
    </xf>
    <xf numFmtId="1" fontId="0" fillId="0" borderId="33" xfId="0" applyNumberFormat="1" applyFont="1" applyBorder="1" applyAlignment="1">
      <alignment horizontal="center"/>
    </xf>
    <xf numFmtId="9" fontId="0" fillId="0" borderId="0" xfId="5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1750.9</c:v>
                </c:pt>
                <c:pt idx="1">
                  <c:v>2974.9</c:v>
                </c:pt>
                <c:pt idx="2">
                  <c:v>3698.1</c:v>
                </c:pt>
                <c:pt idx="3">
                  <c:v>3651.0999999999995</c:v>
                </c:pt>
                <c:pt idx="4">
                  <c:v>2776.2999999999997</c:v>
                </c:pt>
                <c:pt idx="5">
                  <c:v>3477.7000000000007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1" dataDxfId="10" headerRowCellStyle="Cabeçalho Meteora">
  <autoFilter ref="A4:I86" xr:uid="{AD739091-30BD-4C30-BDDA-7504C0C4B6E2}"/>
  <tableColumns count="9">
    <tableColumn id="7" xr3:uid="{5E8DE7C3-CDB6-4314-A5CC-C44D3C21973F}" name="Nº" dataDxfId="9">
      <calculatedColumnFormula>MONTH(TB_Vendas[[#This Row],[Data]])</calculatedColumnFormula>
    </tableColumn>
    <tableColumn id="10" xr3:uid="{BD1ABB49-B48B-4C50-A034-45488FDC03A8}" name="Mês" dataDxfId="8">
      <calculatedColumnFormula>PROPER(TEXT(DATE(,TB_Vendas[[#This Row],[Nº]],1),"Mmm"))</calculatedColumnFormula>
    </tableColumn>
    <tableColumn id="1" xr3:uid="{43632F1F-6978-4CE7-BB13-7CCE587D6821}" name="Data" dataDxfId="7"/>
    <tableColumn id="12" xr3:uid="{205A55AB-454E-4288-AE23-042C3C399E7A}" name="Código" dataDxfId="6"/>
    <tableColumn id="5" xr3:uid="{7DC2ADED-AF8A-4BC8-A38E-FEF676FE49C9}" name="Qtd" dataDxfId="5"/>
    <tableColumn id="9" xr3:uid="{05B7315B-2774-41BC-AFEC-4A19E452D6C7}" name="Preço Unitário" dataDxfId="4">
      <calculatedColumnFormula>VLOOKUP(TB_Vendas[[#This Row],[Código]],TB_Produtos[#All],6,0)</calculatedColumnFormula>
    </tableColumn>
    <tableColumn id="2" xr3:uid="{4BEBDE19-FA81-4412-AC83-E0AE6998A9B4}" name="Desconto" dataDxfId="3" dataCellStyle="Porcentagem">
      <calculatedColumnFormula>INDEX(Desc_TabelaToda,MATCH(TB_Vendas[[#This Row],[Qtd]],Desc_Quantidades,1),MATCH(VLOOKUP(TB_Vendas[[#This Row],[Código]],TB_Produtos[],4,0),Desc_Categorias,0))</calculatedColumnFormula>
    </tableColumn>
    <tableColumn id="6" xr3:uid="{9459B662-6A4F-4486-82B1-12F67B8F842E}" name="Total" dataDxfId="2">
      <calculatedColumnFormula>TB_Vendas[[#This Row],[Preço Unitário]]*TB_Vendas[[#This Row],[Qtd]]</calculatedColumnFormula>
    </tableColumn>
    <tableColumn id="8" xr3:uid="{192FEBCA-1287-48A6-9BE6-69528F71C305}" name="Vendedo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1:1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>
      <selection activeCell="B10" sqref="B10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/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5" t="s">
        <v>134</v>
      </c>
      <c r="C1" s="85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abSelected="1" topLeftCell="B1" zoomScale="145" zoomScaleNormal="145" workbookViewId="0">
      <selection activeCell="G5" sqref="G5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>
        <f>VLOOKUP(TB_Vendas[[#This Row],[Código]],TB_Produtos[#All],6,0)</f>
        <v>39.9</v>
      </c>
      <c r="G5" s="69">
        <f>INDEX(Desc_TabelaToda,MATCH(TB_Vendas[[#This Row],[Qtd]],Desc_Quantidades,1),MATCH(VLOOKUP(TB_Vendas[[#This Row],[Código]],TB_Produtos[],4,0),Desc_Categorias,0))</f>
        <v>0</v>
      </c>
      <c r="H5" s="8">
        <f>TB_Vendas[[#This Row],[Preço Unitário]]*TB_Vendas[[#This Row],[Qtd]]</f>
        <v>39.9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>
        <f>VLOOKUP(TB_Vendas[[#This Row],[Código]],TB_Produtos[#All],6,0)</f>
        <v>259.89999999999998</v>
      </c>
      <c r="G6" s="69">
        <f>INDEX(Desc_TabelaToda,MATCH(TB_Vendas[[#This Row],[Qtd]],Desc_Quantidades,1),MATCH(VLOOKUP(TB_Vendas[[#This Row],[Código]],TB_Produtos[],4,0),Desc_Categorias,0))</f>
        <v>0</v>
      </c>
      <c r="H6" s="8">
        <f>TB_Vendas[[#This Row],[Preço Unitário]]*TB_Vendas[[#This Row],[Qtd]]</f>
        <v>259.89999999999998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>
        <f>VLOOKUP(TB_Vendas[[#This Row],[Código]],TB_Produtos[#All],6,0)</f>
        <v>32.9</v>
      </c>
      <c r="G7" s="69">
        <f>INDEX(Desc_TabelaToda,MATCH(TB_Vendas[[#This Row],[Qtd]],Desc_Quantidades,1),MATCH(VLOOKUP(TB_Vendas[[#This Row],[Código]],TB_Produtos[],4,0),Desc_Categorias,0))</f>
        <v>0.15</v>
      </c>
      <c r="H7" s="8">
        <f>TB_Vendas[[#This Row],[Preço Unitário]]*TB_Vendas[[#This Row],[Qtd]]</f>
        <v>65.8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>
        <f>VLOOKUP(TB_Vendas[[#This Row],[Código]],TB_Produtos[#All],6,0)</f>
        <v>46.9</v>
      </c>
      <c r="G8" s="69">
        <f>INDEX(Desc_TabelaToda,MATCH(TB_Vendas[[#This Row],[Qtd]],Desc_Quantidades,1),MATCH(VLOOKUP(TB_Vendas[[#This Row],[Código]],TB_Produtos[],4,0),Desc_Categorias,0))</f>
        <v>0.1</v>
      </c>
      <c r="H8" s="8">
        <f>TB_Vendas[[#This Row],[Preço Unitário]]*TB_Vendas[[#This Row],[Qtd]]</f>
        <v>46.9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>
        <f>VLOOKUP(TB_Vendas[[#This Row],[Código]],TB_Produtos[#All],6,0)</f>
        <v>29.9</v>
      </c>
      <c r="G9" s="69">
        <f>INDEX(Desc_TabelaToda,MATCH(TB_Vendas[[#This Row],[Qtd]],Desc_Quantidades,1),MATCH(VLOOKUP(TB_Vendas[[#This Row],[Código]],TB_Produtos[],4,0),Desc_Categorias,0))</f>
        <v>0.1</v>
      </c>
      <c r="H9" s="8">
        <f>TB_Vendas[[#This Row],[Preço Unitário]]*TB_Vendas[[#This Row],[Qtd]]</f>
        <v>29.9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>
        <f>VLOOKUP(TB_Vendas[[#This Row],[Código]],TB_Produtos[#All],6,0)</f>
        <v>299.89999999999998</v>
      </c>
      <c r="G10" s="69">
        <f>INDEX(Desc_TabelaToda,MATCH(TB_Vendas[[#This Row],[Qtd]],Desc_Quantidades,1),MATCH(VLOOKUP(TB_Vendas[[#This Row],[Código]],TB_Produtos[],4,0),Desc_Categorias,0))</f>
        <v>0.1</v>
      </c>
      <c r="H10" s="8">
        <f>TB_Vendas[[#This Row],[Preço Unitário]]*TB_Vendas[[#This Row],[Qtd]]</f>
        <v>299.89999999999998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>
        <f>VLOOKUP(TB_Vendas[[#This Row],[Código]],TB_Produtos[#All],6,0)</f>
        <v>146</v>
      </c>
      <c r="G11" s="69">
        <f>INDEX(Desc_TabelaToda,MATCH(TB_Vendas[[#This Row],[Qtd]],Desc_Quantidades,1),MATCH(VLOOKUP(TB_Vendas[[#This Row],[Código]],TB_Produtos[],4,0),Desc_Categorias,0))</f>
        <v>0.1</v>
      </c>
      <c r="H11" s="8">
        <f>TB_Vendas[[#This Row],[Preço Unitário]]*TB_Vendas[[#This Row],[Qtd]]</f>
        <v>146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>
        <f>VLOOKUP(TB_Vendas[[#This Row],[Código]],TB_Produtos[#All],6,0)</f>
        <v>89.9</v>
      </c>
      <c r="G12" s="69">
        <f>INDEX(Desc_TabelaToda,MATCH(TB_Vendas[[#This Row],[Qtd]],Desc_Quantidades,1),MATCH(VLOOKUP(TB_Vendas[[#This Row],[Código]],TB_Produtos[],4,0),Desc_Categorias,0))</f>
        <v>0.15</v>
      </c>
      <c r="H12" s="8">
        <f>TB_Vendas[[#This Row],[Preço Unitário]]*TB_Vendas[[#This Row],[Qtd]]</f>
        <v>179.8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>
        <f>VLOOKUP(TB_Vendas[[#This Row],[Código]],TB_Produtos[#All],6,0)</f>
        <v>250</v>
      </c>
      <c r="G13" s="69">
        <f>INDEX(Desc_TabelaToda,MATCH(TB_Vendas[[#This Row],[Qtd]],Desc_Quantidades,1),MATCH(VLOOKUP(TB_Vendas[[#This Row],[Código]],TB_Produtos[],4,0),Desc_Categorias,0))</f>
        <v>0.1</v>
      </c>
      <c r="H13" s="8">
        <f>TB_Vendas[[#This Row],[Preço Unitário]]*TB_Vendas[[#This Row],[Qtd]]</f>
        <v>500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>
        <f>VLOOKUP(TB_Vendas[[#This Row],[Código]],TB_Produtos[#All],6,0)</f>
        <v>39.9</v>
      </c>
      <c r="G14" s="69">
        <f>INDEX(Desc_TabelaToda,MATCH(TB_Vendas[[#This Row],[Qtd]],Desc_Quantidades,1),MATCH(VLOOKUP(TB_Vendas[[#This Row],[Código]],TB_Produtos[],4,0),Desc_Categorias,0))</f>
        <v>0.1</v>
      </c>
      <c r="H14" s="8">
        <f>TB_Vendas[[#This Row],[Preço Unitário]]*TB_Vendas[[#This Row],[Qtd]]</f>
        <v>39.9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>
        <f>VLOOKUP(TB_Vendas[[#This Row],[Código]],TB_Produtos[#All],6,0)</f>
        <v>142.9</v>
      </c>
      <c r="G15" s="69">
        <f>INDEX(Desc_TabelaToda,MATCH(TB_Vendas[[#This Row],[Qtd]],Desc_Quantidades,1),MATCH(VLOOKUP(TB_Vendas[[#This Row],[Código]],TB_Produtos[],4,0),Desc_Categorias,0))</f>
        <v>0.1</v>
      </c>
      <c r="H15" s="8">
        <f>TB_Vendas[[#This Row],[Preço Unitário]]*TB_Vendas[[#This Row],[Qtd]]</f>
        <v>142.9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>
        <f>VLOOKUP(TB_Vendas[[#This Row],[Código]],TB_Produtos[#All],6,0)</f>
        <v>300</v>
      </c>
      <c r="G16" s="69">
        <f>INDEX(Desc_TabelaToda,MATCH(TB_Vendas[[#This Row],[Qtd]],Desc_Quantidades,1),MATCH(VLOOKUP(TB_Vendas[[#This Row],[Código]],TB_Produtos[],4,0),Desc_Categorias,0))</f>
        <v>0.1</v>
      </c>
      <c r="H16" s="8">
        <f>TB_Vendas[[#This Row],[Preço Unitário]]*TB_Vendas[[#This Row],[Qtd]]</f>
        <v>300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>
        <f>VLOOKUP(TB_Vendas[[#This Row],[Código]],TB_Produtos[#All],6,0)</f>
        <v>289.89999999999998</v>
      </c>
      <c r="G17" s="69">
        <f>INDEX(Desc_TabelaToda,MATCH(TB_Vendas[[#This Row],[Qtd]],Desc_Quantidades,1),MATCH(VLOOKUP(TB_Vendas[[#This Row],[Código]],TB_Produtos[],4,0),Desc_Categorias,0))</f>
        <v>0.15</v>
      </c>
      <c r="H17" s="8">
        <f>TB_Vendas[[#This Row],[Preço Unitário]]*TB_Vendas[[#This Row],[Qtd]]</f>
        <v>579.79999999999995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>
        <f>VLOOKUP(TB_Vendas[[#This Row],[Código]],TB_Produtos[#All],6,0)</f>
        <v>249.9</v>
      </c>
      <c r="G18" s="69">
        <f>INDEX(Desc_TabelaToda,MATCH(TB_Vendas[[#This Row],[Qtd]],Desc_Quantidades,1),MATCH(VLOOKUP(TB_Vendas[[#This Row],[Código]],TB_Produtos[],4,0),Desc_Categorias,0))</f>
        <v>0</v>
      </c>
      <c r="H18" s="8">
        <f>TB_Vendas[[#This Row],[Preço Unitário]]*TB_Vendas[[#This Row],[Qtd]]</f>
        <v>249.9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>
        <f>VLOOKUP(TB_Vendas[[#This Row],[Código]],TB_Produtos[#All],6,0)</f>
        <v>39.9</v>
      </c>
      <c r="G19" s="69">
        <f>INDEX(Desc_TabelaToda,MATCH(TB_Vendas[[#This Row],[Qtd]],Desc_Quantidades,1),MATCH(VLOOKUP(TB_Vendas[[#This Row],[Código]],TB_Produtos[],4,0),Desc_Categorias,0))</f>
        <v>0.15</v>
      </c>
      <c r="H19" s="8">
        <f>TB_Vendas[[#This Row],[Preço Unitário]]*TB_Vendas[[#This Row],[Qtd]]</f>
        <v>79.8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>
        <f>VLOOKUP(TB_Vendas[[#This Row],[Código]],TB_Produtos[#All],6,0)</f>
        <v>289.89999999999998</v>
      </c>
      <c r="G20" s="69">
        <f>INDEX(Desc_TabelaToda,MATCH(TB_Vendas[[#This Row],[Qtd]],Desc_Quantidades,1),MATCH(VLOOKUP(TB_Vendas[[#This Row],[Código]],TB_Produtos[],4,0),Desc_Categorias,0))</f>
        <v>0.2</v>
      </c>
      <c r="H20" s="8">
        <f>TB_Vendas[[#This Row],[Preço Unitário]]*TB_Vendas[[#This Row],[Qtd]]</f>
        <v>1159.5999999999999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>
        <f>VLOOKUP(TB_Vendas[[#This Row],[Código]],TB_Produtos[#All],6,0)</f>
        <v>180</v>
      </c>
      <c r="G21" s="69">
        <f>INDEX(Desc_TabelaToda,MATCH(TB_Vendas[[#This Row],[Qtd]],Desc_Quantidades,1),MATCH(VLOOKUP(TB_Vendas[[#This Row],[Código]],TB_Produtos[],4,0),Desc_Categorias,0))</f>
        <v>0.2</v>
      </c>
      <c r="H21" s="8">
        <f>TB_Vendas[[#This Row],[Preço Unitário]]*TB_Vendas[[#This Row],[Qtd]]</f>
        <v>540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>
        <f>VLOOKUP(TB_Vendas[[#This Row],[Código]],TB_Produtos[#All],6,0)</f>
        <v>32.9</v>
      </c>
      <c r="G22" s="69">
        <f>INDEX(Desc_TabelaToda,MATCH(TB_Vendas[[#This Row],[Qtd]],Desc_Quantidades,1),MATCH(VLOOKUP(TB_Vendas[[#This Row],[Código]],TB_Produtos[],4,0),Desc_Categorias,0))</f>
        <v>0.15</v>
      </c>
      <c r="H22" s="8">
        <f>TB_Vendas[[#This Row],[Preço Unitário]]*TB_Vendas[[#This Row],[Qtd]]</f>
        <v>65.8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>
        <f>VLOOKUP(TB_Vendas[[#This Row],[Código]],TB_Produtos[#All],6,0)</f>
        <v>255</v>
      </c>
      <c r="G23" s="69">
        <f>INDEX(Desc_TabelaToda,MATCH(TB_Vendas[[#This Row],[Qtd]],Desc_Quantidades,1),MATCH(VLOOKUP(TB_Vendas[[#This Row],[Código]],TB_Produtos[],4,0),Desc_Categorias,0))</f>
        <v>0.15</v>
      </c>
      <c r="H23" s="8">
        <f>TB_Vendas[[#This Row],[Preço Unitário]]*TB_Vendas[[#This Row],[Qtd]]</f>
        <v>765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>
        <f>VLOOKUP(TB_Vendas[[#This Row],[Código]],TB_Produtos[#All],6,0)</f>
        <v>142.9</v>
      </c>
      <c r="G24" s="69">
        <f>INDEX(Desc_TabelaToda,MATCH(TB_Vendas[[#This Row],[Qtd]],Desc_Quantidades,1),MATCH(VLOOKUP(TB_Vendas[[#This Row],[Código]],TB_Produtos[],4,0),Desc_Categorias,0))</f>
        <v>0.1</v>
      </c>
      <c r="H24" s="8">
        <f>TB_Vendas[[#This Row],[Preço Unitário]]*TB_Vendas[[#This Row],[Qtd]]</f>
        <v>142.9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>
        <f>VLOOKUP(TB_Vendas[[#This Row],[Código]],TB_Produtos[#All],6,0)</f>
        <v>92.9</v>
      </c>
      <c r="G25" s="69">
        <f>INDEX(Desc_TabelaToda,MATCH(TB_Vendas[[#This Row],[Qtd]],Desc_Quantidades,1),MATCH(VLOOKUP(TB_Vendas[[#This Row],[Código]],TB_Produtos[],4,0),Desc_Categorias,0))</f>
        <v>0.2</v>
      </c>
      <c r="H25" s="8">
        <f>TB_Vendas[[#This Row],[Preço Unitário]]*TB_Vendas[[#This Row],[Qtd]]</f>
        <v>371.6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>
        <f>VLOOKUP(TB_Vendas[[#This Row],[Código]],TB_Produtos[#All],6,0)</f>
        <v>54.9</v>
      </c>
      <c r="G26" s="69">
        <f>INDEX(Desc_TabelaToda,MATCH(TB_Vendas[[#This Row],[Qtd]],Desc_Quantidades,1),MATCH(VLOOKUP(TB_Vendas[[#This Row],[Código]],TB_Produtos[],4,0),Desc_Categorias,0))</f>
        <v>0.15</v>
      </c>
      <c r="H26" s="8">
        <f>TB_Vendas[[#This Row],[Preço Unitário]]*TB_Vendas[[#This Row],[Qtd]]</f>
        <v>109.8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>
        <f>VLOOKUP(TB_Vendas[[#This Row],[Código]],TB_Produtos[#All],6,0)</f>
        <v>142.9</v>
      </c>
      <c r="G27" s="69">
        <f>INDEX(Desc_TabelaToda,MATCH(TB_Vendas[[#This Row],[Qtd]],Desc_Quantidades,1),MATCH(VLOOKUP(TB_Vendas[[#This Row],[Código]],TB_Produtos[],4,0),Desc_Categorias,0))</f>
        <v>0.2</v>
      </c>
      <c r="H27" s="8">
        <f>TB_Vendas[[#This Row],[Preço Unitário]]*TB_Vendas[[#This Row],[Qtd]]</f>
        <v>428.70000000000005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>
        <f>VLOOKUP(TB_Vendas[[#This Row],[Código]],TB_Produtos[#All],6,0)</f>
        <v>120</v>
      </c>
      <c r="G28" s="69">
        <f>INDEX(Desc_TabelaToda,MATCH(TB_Vendas[[#This Row],[Qtd]],Desc_Quantidades,1),MATCH(VLOOKUP(TB_Vendas[[#This Row],[Código]],TB_Produtos[],4,0),Desc_Categorias,0))</f>
        <v>0.05</v>
      </c>
      <c r="H28" s="8">
        <f>TB_Vendas[[#This Row],[Preço Unitário]]*TB_Vendas[[#This Row],[Qtd]]</f>
        <v>240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>
        <f>VLOOKUP(TB_Vendas[[#This Row],[Código]],TB_Produtos[#All],6,0)</f>
        <v>65.900000000000006</v>
      </c>
      <c r="G29" s="69">
        <f>INDEX(Desc_TabelaToda,MATCH(TB_Vendas[[#This Row],[Qtd]],Desc_Quantidades,1),MATCH(VLOOKUP(TB_Vendas[[#This Row],[Código]],TB_Produtos[],4,0),Desc_Categorias,0))</f>
        <v>0.1</v>
      </c>
      <c r="H29" s="8">
        <f>TB_Vendas[[#This Row],[Preço Unitário]]*TB_Vendas[[#This Row],[Qtd]]</f>
        <v>65.900000000000006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>
        <f>VLOOKUP(TB_Vendas[[#This Row],[Código]],TB_Produtos[#All],6,0)</f>
        <v>32.9</v>
      </c>
      <c r="G30" s="69">
        <f>INDEX(Desc_TabelaToda,MATCH(TB_Vendas[[#This Row],[Qtd]],Desc_Quantidades,1),MATCH(VLOOKUP(TB_Vendas[[#This Row],[Código]],TB_Produtos[],4,0),Desc_Categorias,0))</f>
        <v>0.25</v>
      </c>
      <c r="H30" s="8">
        <f>TB_Vendas[[#This Row],[Preço Unitário]]*TB_Vendas[[#This Row],[Qtd]]</f>
        <v>164.5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>
        <f>VLOOKUP(TB_Vendas[[#This Row],[Código]],TB_Produtos[#All],6,0)</f>
        <v>180</v>
      </c>
      <c r="G31" s="69">
        <f>INDEX(Desc_TabelaToda,MATCH(TB_Vendas[[#This Row],[Qtd]],Desc_Quantidades,1),MATCH(VLOOKUP(TB_Vendas[[#This Row],[Código]],TB_Produtos[],4,0),Desc_Categorias,0))</f>
        <v>0.15</v>
      </c>
      <c r="H31" s="8">
        <f>TB_Vendas[[#This Row],[Preço Unitário]]*TB_Vendas[[#This Row],[Qtd]]</f>
        <v>360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>
        <f>VLOOKUP(TB_Vendas[[#This Row],[Código]],TB_Produtos[#All],6,0)</f>
        <v>349.9</v>
      </c>
      <c r="G32" s="69">
        <f>INDEX(Desc_TabelaToda,MATCH(TB_Vendas[[#This Row],[Qtd]],Desc_Quantidades,1),MATCH(VLOOKUP(TB_Vendas[[#This Row],[Código]],TB_Produtos[],4,0),Desc_Categorias,0))</f>
        <v>0.15</v>
      </c>
      <c r="H32" s="8">
        <f>TB_Vendas[[#This Row],[Preço Unitário]]*TB_Vendas[[#This Row],[Qtd]]</f>
        <v>1049.6999999999998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>
        <f>VLOOKUP(TB_Vendas[[#This Row],[Código]],TB_Produtos[#All],6,0)</f>
        <v>72.5</v>
      </c>
      <c r="G33" s="69">
        <f>INDEX(Desc_TabelaToda,MATCH(TB_Vendas[[#This Row],[Qtd]],Desc_Quantidades,1),MATCH(VLOOKUP(TB_Vendas[[#This Row],[Código]],TB_Produtos[],4,0),Desc_Categorias,0))</f>
        <v>0.1</v>
      </c>
      <c r="H33" s="8">
        <f>TB_Vendas[[#This Row],[Preço Unitário]]*TB_Vendas[[#This Row],[Qtd]]</f>
        <v>72.5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>
        <f>VLOOKUP(TB_Vendas[[#This Row],[Código]],TB_Produtos[#All],6,0)</f>
        <v>259.89999999999998</v>
      </c>
      <c r="G34" s="69">
        <f>INDEX(Desc_TabelaToda,MATCH(TB_Vendas[[#This Row],[Qtd]],Desc_Quantidades,1),MATCH(VLOOKUP(TB_Vendas[[#This Row],[Código]],TB_Produtos[],4,0),Desc_Categorias,0))</f>
        <v>0.2</v>
      </c>
      <c r="H34" s="8">
        <f>TB_Vendas[[#This Row],[Preço Unitário]]*TB_Vendas[[#This Row],[Qtd]]</f>
        <v>1039.5999999999999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>
        <f>VLOOKUP(TB_Vendas[[#This Row],[Código]],TB_Produtos[#All],6,0)</f>
        <v>25.9</v>
      </c>
      <c r="G35" s="69">
        <f>INDEX(Desc_TabelaToda,MATCH(TB_Vendas[[#This Row],[Qtd]],Desc_Quantidades,1),MATCH(VLOOKUP(TB_Vendas[[#This Row],[Código]],TB_Produtos[],4,0),Desc_Categorias,0))</f>
        <v>0.2</v>
      </c>
      <c r="H35" s="8">
        <f>TB_Vendas[[#This Row],[Preço Unitário]]*TB_Vendas[[#This Row],[Qtd]]</f>
        <v>77.699999999999989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>
        <f>VLOOKUP(TB_Vendas[[#This Row],[Código]],TB_Produtos[#All],6,0)</f>
        <v>145</v>
      </c>
      <c r="G36" s="69">
        <f>INDEX(Desc_TabelaToda,MATCH(TB_Vendas[[#This Row],[Qtd]],Desc_Quantidades,1),MATCH(VLOOKUP(TB_Vendas[[#This Row],[Código]],TB_Produtos[],4,0),Desc_Categorias,0))</f>
        <v>0.05</v>
      </c>
      <c r="H36" s="8">
        <f>TB_Vendas[[#This Row],[Preço Unitário]]*TB_Vendas[[#This Row],[Qtd]]</f>
        <v>290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>
        <f>VLOOKUP(TB_Vendas[[#This Row],[Código]],TB_Produtos[#All],6,0)</f>
        <v>39.9</v>
      </c>
      <c r="G37" s="69">
        <f>INDEX(Desc_TabelaToda,MATCH(TB_Vendas[[#This Row],[Qtd]],Desc_Quantidades,1),MATCH(VLOOKUP(TB_Vendas[[#This Row],[Código]],TB_Produtos[],4,0),Desc_Categorias,0))</f>
        <v>0</v>
      </c>
      <c r="H37" s="8">
        <f>TB_Vendas[[#This Row],[Preço Unitário]]*TB_Vendas[[#This Row],[Qtd]]</f>
        <v>39.9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>
        <f>VLOOKUP(TB_Vendas[[#This Row],[Código]],TB_Produtos[#All],6,0)</f>
        <v>349.9</v>
      </c>
      <c r="G38" s="69">
        <f>INDEX(Desc_TabelaToda,MATCH(TB_Vendas[[#This Row],[Qtd]],Desc_Quantidades,1),MATCH(VLOOKUP(TB_Vendas[[#This Row],[Código]],TB_Produtos[],4,0),Desc_Categorias,0))</f>
        <v>0.15</v>
      </c>
      <c r="H38" s="8">
        <f>TB_Vendas[[#This Row],[Preço Unitário]]*TB_Vendas[[#This Row],[Qtd]]</f>
        <v>1049.6999999999998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>
        <f>VLOOKUP(TB_Vendas[[#This Row],[Código]],TB_Produtos[#All],6,0)</f>
        <v>89.9</v>
      </c>
      <c r="G39" s="69">
        <f>INDEX(Desc_TabelaToda,MATCH(TB_Vendas[[#This Row],[Qtd]],Desc_Quantidades,1),MATCH(VLOOKUP(TB_Vendas[[#This Row],[Código]],TB_Produtos[],4,0),Desc_Categorias,0))</f>
        <v>0.15</v>
      </c>
      <c r="H39" s="8">
        <f>TB_Vendas[[#This Row],[Preço Unitário]]*TB_Vendas[[#This Row],[Qtd]]</f>
        <v>359.6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>
        <f>VLOOKUP(TB_Vendas[[#This Row],[Código]],TB_Produtos[#All],6,0)</f>
        <v>89.9</v>
      </c>
      <c r="G40" s="69">
        <f>INDEX(Desc_TabelaToda,MATCH(TB_Vendas[[#This Row],[Qtd]],Desc_Quantidades,1),MATCH(VLOOKUP(TB_Vendas[[#This Row],[Código]],TB_Produtos[],4,0),Desc_Categorias,0))</f>
        <v>0.1</v>
      </c>
      <c r="H40" s="8">
        <f>TB_Vendas[[#This Row],[Preço Unitário]]*TB_Vendas[[#This Row],[Qtd]]</f>
        <v>179.8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>
        <f>VLOOKUP(TB_Vendas[[#This Row],[Código]],TB_Produtos[#All],6,0)</f>
        <v>69.900000000000006</v>
      </c>
      <c r="G41" s="69">
        <f>INDEX(Desc_TabelaToda,MATCH(TB_Vendas[[#This Row],[Qtd]],Desc_Quantidades,1),MATCH(VLOOKUP(TB_Vendas[[#This Row],[Código]],TB_Produtos[],4,0),Desc_Categorias,0))</f>
        <v>0.2</v>
      </c>
      <c r="H41" s="8">
        <f>TB_Vendas[[#This Row],[Preço Unitário]]*TB_Vendas[[#This Row],[Qtd]]</f>
        <v>209.70000000000002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>
        <f>VLOOKUP(TB_Vendas[[#This Row],[Código]],TB_Produtos[#All],6,0)</f>
        <v>145</v>
      </c>
      <c r="G42" s="69">
        <f>INDEX(Desc_TabelaToda,MATCH(TB_Vendas[[#This Row],[Qtd]],Desc_Quantidades,1),MATCH(VLOOKUP(TB_Vendas[[#This Row],[Código]],TB_Produtos[],4,0),Desc_Categorias,0))</f>
        <v>0</v>
      </c>
      <c r="H42" s="8">
        <f>TB_Vendas[[#This Row],[Preço Unitário]]*TB_Vendas[[#This Row],[Qtd]]</f>
        <v>145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>
        <f>VLOOKUP(TB_Vendas[[#This Row],[Código]],TB_Produtos[#All],6,0)</f>
        <v>46.9</v>
      </c>
      <c r="G43" s="69">
        <f>INDEX(Desc_TabelaToda,MATCH(TB_Vendas[[#This Row],[Qtd]],Desc_Quantidades,1),MATCH(VLOOKUP(TB_Vendas[[#This Row],[Código]],TB_Produtos[],4,0),Desc_Categorias,0))</f>
        <v>0.2</v>
      </c>
      <c r="H43" s="8">
        <f>TB_Vendas[[#This Row],[Preço Unitário]]*TB_Vendas[[#This Row],[Qtd]]</f>
        <v>187.6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>
        <f>VLOOKUP(TB_Vendas[[#This Row],[Código]],TB_Produtos[#All],6,0)</f>
        <v>72.5</v>
      </c>
      <c r="G44" s="69">
        <f>INDEX(Desc_TabelaToda,MATCH(TB_Vendas[[#This Row],[Qtd]],Desc_Quantidades,1),MATCH(VLOOKUP(TB_Vendas[[#This Row],[Código]],TB_Produtos[],4,0),Desc_Categorias,0))</f>
        <v>0.15</v>
      </c>
      <c r="H44" s="8">
        <f>TB_Vendas[[#This Row],[Preço Unitário]]*TB_Vendas[[#This Row],[Qtd]]</f>
        <v>145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>
        <f>VLOOKUP(TB_Vendas[[#This Row],[Código]],TB_Produtos[#All],6,0)</f>
        <v>140</v>
      </c>
      <c r="G45" s="69">
        <f>INDEX(Desc_TabelaToda,MATCH(TB_Vendas[[#This Row],[Qtd]],Desc_Quantidades,1),MATCH(VLOOKUP(TB_Vendas[[#This Row],[Código]],TB_Produtos[],4,0),Desc_Categorias,0))</f>
        <v>0.2</v>
      </c>
      <c r="H45" s="8">
        <f>TB_Vendas[[#This Row],[Preço Unitário]]*TB_Vendas[[#This Row],[Qtd]]</f>
        <v>420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>
        <f>VLOOKUP(TB_Vendas[[#This Row],[Código]],TB_Produtos[#All],6,0)</f>
        <v>91.4</v>
      </c>
      <c r="G46" s="69">
        <f>INDEX(Desc_TabelaToda,MATCH(TB_Vendas[[#This Row],[Qtd]],Desc_Quantidades,1),MATCH(VLOOKUP(TB_Vendas[[#This Row],[Código]],TB_Produtos[],4,0),Desc_Categorias,0))</f>
        <v>0.1</v>
      </c>
      <c r="H46" s="8">
        <f>TB_Vendas[[#This Row],[Preço Unitário]]*TB_Vendas[[#This Row],[Qtd]]</f>
        <v>91.4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>
        <f>VLOOKUP(TB_Vendas[[#This Row],[Código]],TB_Produtos[#All],6,0)</f>
        <v>349.9</v>
      </c>
      <c r="G47" s="69">
        <f>INDEX(Desc_TabelaToda,MATCH(TB_Vendas[[#This Row],[Qtd]],Desc_Quantidades,1),MATCH(VLOOKUP(TB_Vendas[[#This Row],[Código]],TB_Produtos[],4,0),Desc_Categorias,0))</f>
        <v>0.05</v>
      </c>
      <c r="H47" s="8">
        <f>TB_Vendas[[#This Row],[Preço Unitário]]*TB_Vendas[[#This Row],[Qtd]]</f>
        <v>699.8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>
        <f>VLOOKUP(TB_Vendas[[#This Row],[Código]],TB_Produtos[#All],6,0)</f>
        <v>65.900000000000006</v>
      </c>
      <c r="G48" s="69">
        <f>INDEX(Desc_TabelaToda,MATCH(TB_Vendas[[#This Row],[Qtd]],Desc_Quantidades,1),MATCH(VLOOKUP(TB_Vendas[[#This Row],[Código]],TB_Produtos[],4,0),Desc_Categorias,0))</f>
        <v>0.2</v>
      </c>
      <c r="H48" s="8">
        <f>TB_Vendas[[#This Row],[Preço Unitário]]*TB_Vendas[[#This Row],[Qtd]]</f>
        <v>197.70000000000002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>
        <f>VLOOKUP(TB_Vendas[[#This Row],[Código]],TB_Produtos[#All],6,0)</f>
        <v>91.4</v>
      </c>
      <c r="G49" s="69">
        <f>INDEX(Desc_TabelaToda,MATCH(TB_Vendas[[#This Row],[Qtd]],Desc_Quantidades,1),MATCH(VLOOKUP(TB_Vendas[[#This Row],[Código]],TB_Produtos[],4,0),Desc_Categorias,0))</f>
        <v>0.15</v>
      </c>
      <c r="H49" s="8">
        <f>TB_Vendas[[#This Row],[Preço Unitário]]*TB_Vendas[[#This Row],[Qtd]]</f>
        <v>182.8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>
        <f>VLOOKUP(TB_Vendas[[#This Row],[Código]],TB_Produtos[#All],6,0)</f>
        <v>259.89999999999998</v>
      </c>
      <c r="G50" s="69">
        <f>INDEX(Desc_TabelaToda,MATCH(TB_Vendas[[#This Row],[Qtd]],Desc_Quantidades,1),MATCH(VLOOKUP(TB_Vendas[[#This Row],[Código]],TB_Produtos[],4,0),Desc_Categorias,0))</f>
        <v>0.15</v>
      </c>
      <c r="H50" s="8">
        <f>TB_Vendas[[#This Row],[Preço Unitário]]*TB_Vendas[[#This Row],[Qtd]]</f>
        <v>1039.5999999999999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>
        <f>VLOOKUP(TB_Vendas[[#This Row],[Código]],TB_Produtos[#All],6,0)</f>
        <v>145</v>
      </c>
      <c r="G51" s="69">
        <f>INDEX(Desc_TabelaToda,MATCH(TB_Vendas[[#This Row],[Qtd]],Desc_Quantidades,1),MATCH(VLOOKUP(TB_Vendas[[#This Row],[Código]],TB_Produtos[],4,0),Desc_Categorias,0))</f>
        <v>0.15</v>
      </c>
      <c r="H51" s="8">
        <f>TB_Vendas[[#This Row],[Preço Unitário]]*TB_Vendas[[#This Row],[Qtd]]</f>
        <v>435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>
        <f>VLOOKUP(TB_Vendas[[#This Row],[Código]],TB_Produtos[#All],6,0)</f>
        <v>142.9</v>
      </c>
      <c r="G52" s="69">
        <f>INDEX(Desc_TabelaToda,MATCH(TB_Vendas[[#This Row],[Qtd]],Desc_Quantidades,1),MATCH(VLOOKUP(TB_Vendas[[#This Row],[Código]],TB_Produtos[],4,0),Desc_Categorias,0))</f>
        <v>0.15</v>
      </c>
      <c r="H52" s="8">
        <f>TB_Vendas[[#This Row],[Preço Unitário]]*TB_Vendas[[#This Row],[Qtd]]</f>
        <v>285.8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>
        <f>VLOOKUP(TB_Vendas[[#This Row],[Código]],TB_Produtos[#All],6,0)</f>
        <v>180</v>
      </c>
      <c r="G53" s="69">
        <f>INDEX(Desc_TabelaToda,MATCH(TB_Vendas[[#This Row],[Qtd]],Desc_Quantidades,1),MATCH(VLOOKUP(TB_Vendas[[#This Row],[Código]],TB_Produtos[],4,0),Desc_Categorias,0))</f>
        <v>0.15</v>
      </c>
      <c r="H53" s="8">
        <f>TB_Vendas[[#This Row],[Preço Unitário]]*TB_Vendas[[#This Row],[Qtd]]</f>
        <v>360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>
        <f>VLOOKUP(TB_Vendas[[#This Row],[Código]],TB_Produtos[#All],6,0)</f>
        <v>42.5</v>
      </c>
      <c r="G54" s="69">
        <f>INDEX(Desc_TabelaToda,MATCH(TB_Vendas[[#This Row],[Qtd]],Desc_Quantidades,1),MATCH(VLOOKUP(TB_Vendas[[#This Row],[Código]],TB_Produtos[],4,0),Desc_Categorias,0))</f>
        <v>0.15</v>
      </c>
      <c r="H54" s="8">
        <f>TB_Vendas[[#This Row],[Preço Unitário]]*TB_Vendas[[#This Row],[Qtd]]</f>
        <v>85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>
        <f>VLOOKUP(TB_Vendas[[#This Row],[Código]],TB_Produtos[#All],6,0)</f>
        <v>65.900000000000006</v>
      </c>
      <c r="G55" s="69">
        <f>INDEX(Desc_TabelaToda,MATCH(TB_Vendas[[#This Row],[Qtd]],Desc_Quantidades,1),MATCH(VLOOKUP(TB_Vendas[[#This Row],[Código]],TB_Produtos[],4,0),Desc_Categorias,0))</f>
        <v>0.1</v>
      </c>
      <c r="H55" s="8">
        <f>TB_Vendas[[#This Row],[Preço Unitário]]*TB_Vendas[[#This Row],[Qtd]]</f>
        <v>65.900000000000006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>
        <f>VLOOKUP(TB_Vendas[[#This Row],[Código]],TB_Produtos[#All],6,0)</f>
        <v>180</v>
      </c>
      <c r="G56" s="69">
        <f>INDEX(Desc_TabelaToda,MATCH(TB_Vendas[[#This Row],[Qtd]],Desc_Quantidades,1),MATCH(VLOOKUP(TB_Vendas[[#This Row],[Código]],TB_Produtos[],4,0),Desc_Categorias,0))</f>
        <v>0.1</v>
      </c>
      <c r="H56" s="8">
        <f>TB_Vendas[[#This Row],[Preço Unitário]]*TB_Vendas[[#This Row],[Qtd]]</f>
        <v>180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>
        <f>VLOOKUP(TB_Vendas[[#This Row],[Código]],TB_Produtos[#All],6,0)</f>
        <v>32.9</v>
      </c>
      <c r="G57" s="69">
        <f>INDEX(Desc_TabelaToda,MATCH(TB_Vendas[[#This Row],[Qtd]],Desc_Quantidades,1),MATCH(VLOOKUP(TB_Vendas[[#This Row],[Código]],TB_Produtos[],4,0),Desc_Categorias,0))</f>
        <v>0.2</v>
      </c>
      <c r="H57" s="8">
        <f>TB_Vendas[[#This Row],[Preço Unitário]]*TB_Vendas[[#This Row],[Qtd]]</f>
        <v>98.699999999999989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>
        <f>VLOOKUP(TB_Vendas[[#This Row],[Código]],TB_Produtos[#All],6,0)</f>
        <v>92.9</v>
      </c>
      <c r="G58" s="69">
        <f>INDEX(Desc_TabelaToda,MATCH(TB_Vendas[[#This Row],[Qtd]],Desc_Quantidades,1),MATCH(VLOOKUP(TB_Vendas[[#This Row],[Código]],TB_Produtos[],4,0),Desc_Categorias,0))</f>
        <v>0.2</v>
      </c>
      <c r="H58" s="8">
        <f>TB_Vendas[[#This Row],[Preço Unitário]]*TB_Vendas[[#This Row],[Qtd]]</f>
        <v>371.6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>
        <f>VLOOKUP(TB_Vendas[[#This Row],[Código]],TB_Produtos[#All],6,0)</f>
        <v>259.89999999999998</v>
      </c>
      <c r="G59" s="69">
        <f>INDEX(Desc_TabelaToda,MATCH(TB_Vendas[[#This Row],[Qtd]],Desc_Quantidades,1),MATCH(VLOOKUP(TB_Vendas[[#This Row],[Código]],TB_Produtos[],4,0),Desc_Categorias,0))</f>
        <v>0.1</v>
      </c>
      <c r="H59" s="8">
        <f>TB_Vendas[[#This Row],[Preço Unitário]]*TB_Vendas[[#This Row],[Qtd]]</f>
        <v>519.79999999999995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>
        <f>VLOOKUP(TB_Vendas[[#This Row],[Código]],TB_Produtos[#All],6,0)</f>
        <v>259.89999999999998</v>
      </c>
      <c r="G60" s="69">
        <f>INDEX(Desc_TabelaToda,MATCH(TB_Vendas[[#This Row],[Qtd]],Desc_Quantidades,1),MATCH(VLOOKUP(TB_Vendas[[#This Row],[Código]],TB_Produtos[],4,0),Desc_Categorias,0))</f>
        <v>0.1</v>
      </c>
      <c r="H60" s="8">
        <f>TB_Vendas[[#This Row],[Preço Unitário]]*TB_Vendas[[#This Row],[Qtd]]</f>
        <v>259.89999999999998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>
        <f>VLOOKUP(TB_Vendas[[#This Row],[Código]],TB_Produtos[#All],6,0)</f>
        <v>42.5</v>
      </c>
      <c r="G61" s="69">
        <f>INDEX(Desc_TabelaToda,MATCH(TB_Vendas[[#This Row],[Qtd]],Desc_Quantidades,1),MATCH(VLOOKUP(TB_Vendas[[#This Row],[Código]],TB_Produtos[],4,0),Desc_Categorias,0))</f>
        <v>0.25</v>
      </c>
      <c r="H61" s="8">
        <f>TB_Vendas[[#This Row],[Preço Unitário]]*TB_Vendas[[#This Row],[Qtd]]</f>
        <v>212.5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>
        <f>VLOOKUP(TB_Vendas[[#This Row],[Código]],TB_Produtos[#All],6,0)</f>
        <v>32.9</v>
      </c>
      <c r="G62" s="69">
        <f>INDEX(Desc_TabelaToda,MATCH(TB_Vendas[[#This Row],[Qtd]],Desc_Quantidades,1),MATCH(VLOOKUP(TB_Vendas[[#This Row],[Código]],TB_Produtos[],4,0),Desc_Categorias,0))</f>
        <v>0.15</v>
      </c>
      <c r="H62" s="8">
        <f>TB_Vendas[[#This Row],[Preço Unitário]]*TB_Vendas[[#This Row],[Qtd]]</f>
        <v>65.8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>
        <f>VLOOKUP(TB_Vendas[[#This Row],[Código]],TB_Produtos[#All],6,0)</f>
        <v>92.9</v>
      </c>
      <c r="G63" s="69">
        <f>INDEX(Desc_TabelaToda,MATCH(TB_Vendas[[#This Row],[Qtd]],Desc_Quantidades,1),MATCH(VLOOKUP(TB_Vendas[[#This Row],[Código]],TB_Produtos[],4,0),Desc_Categorias,0))</f>
        <v>0.2</v>
      </c>
      <c r="H63" s="8">
        <f>TB_Vendas[[#This Row],[Preço Unitário]]*TB_Vendas[[#This Row],[Qtd]]</f>
        <v>278.70000000000005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>
        <f>VLOOKUP(TB_Vendas[[#This Row],[Código]],TB_Produtos[#All],6,0)</f>
        <v>25.9</v>
      </c>
      <c r="G64" s="69">
        <f>INDEX(Desc_TabelaToda,MATCH(TB_Vendas[[#This Row],[Qtd]],Desc_Quantidades,1),MATCH(VLOOKUP(TB_Vendas[[#This Row],[Código]],TB_Produtos[],4,0),Desc_Categorias,0))</f>
        <v>0.3</v>
      </c>
      <c r="H64" s="8">
        <f>TB_Vendas[[#This Row],[Preço Unitário]]*TB_Vendas[[#This Row],[Qtd]]</f>
        <v>259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>
        <f>VLOOKUP(TB_Vendas[[#This Row],[Código]],TB_Produtos[#All],6,0)</f>
        <v>72.5</v>
      </c>
      <c r="G65" s="69">
        <f>INDEX(Desc_TabelaToda,MATCH(TB_Vendas[[#This Row],[Qtd]],Desc_Quantidades,1),MATCH(VLOOKUP(TB_Vendas[[#This Row],[Código]],TB_Produtos[],4,0),Desc_Categorias,0))</f>
        <v>0.1</v>
      </c>
      <c r="H65" s="8">
        <f>TB_Vendas[[#This Row],[Preço Unitário]]*TB_Vendas[[#This Row],[Qtd]]</f>
        <v>72.5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>
        <f>VLOOKUP(TB_Vendas[[#This Row],[Código]],TB_Produtos[#All],6,0)</f>
        <v>302.89999999999998</v>
      </c>
      <c r="G66" s="69">
        <f>INDEX(Desc_TabelaToda,MATCH(TB_Vendas[[#This Row],[Qtd]],Desc_Quantidades,1),MATCH(VLOOKUP(TB_Vendas[[#This Row],[Código]],TB_Produtos[],4,0),Desc_Categorias,0))</f>
        <v>0.2</v>
      </c>
      <c r="H66" s="8">
        <f>TB_Vendas[[#This Row],[Preço Unitário]]*TB_Vendas[[#This Row],[Qtd]]</f>
        <v>1211.5999999999999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>
        <f>VLOOKUP(TB_Vendas[[#This Row],[Código]],TB_Produtos[#All],6,0)</f>
        <v>289.89999999999998</v>
      </c>
      <c r="G67" s="69">
        <f>INDEX(Desc_TabelaToda,MATCH(TB_Vendas[[#This Row],[Qtd]],Desc_Quantidades,1),MATCH(VLOOKUP(TB_Vendas[[#This Row],[Código]],TB_Produtos[],4,0),Desc_Categorias,0))</f>
        <v>0.25</v>
      </c>
      <c r="H67" s="8">
        <f>TB_Vendas[[#This Row],[Preço Unitário]]*TB_Vendas[[#This Row],[Qtd]]</f>
        <v>2319.1999999999998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>
        <f>VLOOKUP(TB_Vendas[[#This Row],[Código]],TB_Produtos[#All],6,0)</f>
        <v>54.9</v>
      </c>
      <c r="G68" s="69">
        <f>INDEX(Desc_TabelaToda,MATCH(TB_Vendas[[#This Row],[Qtd]],Desc_Quantidades,1),MATCH(VLOOKUP(TB_Vendas[[#This Row],[Código]],TB_Produtos[],4,0),Desc_Categorias,0))</f>
        <v>0.15</v>
      </c>
      <c r="H68" s="8">
        <f>TB_Vendas[[#This Row],[Preço Unitário]]*TB_Vendas[[#This Row],[Qtd]]</f>
        <v>109.8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>
        <f>VLOOKUP(TB_Vendas[[#This Row],[Código]],TB_Produtos[#All],6,0)</f>
        <v>39.9</v>
      </c>
      <c r="G69" s="69">
        <f>INDEX(Desc_TabelaToda,MATCH(TB_Vendas[[#This Row],[Qtd]],Desc_Quantidades,1),MATCH(VLOOKUP(TB_Vendas[[#This Row],[Código]],TB_Produtos[],4,0),Desc_Categorias,0))</f>
        <v>0.15</v>
      </c>
      <c r="H69" s="8">
        <f>TB_Vendas[[#This Row],[Preço Unitário]]*TB_Vendas[[#This Row],[Qtd]]</f>
        <v>79.8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>
        <f>VLOOKUP(TB_Vendas[[#This Row],[Código]],TB_Produtos[#All],6,0)</f>
        <v>54.9</v>
      </c>
      <c r="G70" s="69">
        <f>INDEX(Desc_TabelaToda,MATCH(TB_Vendas[[#This Row],[Qtd]],Desc_Quantidades,1),MATCH(VLOOKUP(TB_Vendas[[#This Row],[Código]],TB_Produtos[],4,0),Desc_Categorias,0))</f>
        <v>0.25</v>
      </c>
      <c r="H70" s="8">
        <f>TB_Vendas[[#This Row],[Preço Unitário]]*TB_Vendas[[#This Row],[Qtd]]</f>
        <v>384.3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>
        <f>VLOOKUP(TB_Vendas[[#This Row],[Código]],TB_Produtos[#All],6,0)</f>
        <v>299.89999999999998</v>
      </c>
      <c r="G71" s="69">
        <f>INDEX(Desc_TabelaToda,MATCH(TB_Vendas[[#This Row],[Qtd]],Desc_Quantidades,1),MATCH(VLOOKUP(TB_Vendas[[#This Row],[Código]],TB_Produtos[],4,0),Desc_Categorias,0))</f>
        <v>0.2</v>
      </c>
      <c r="H71" s="8">
        <f>TB_Vendas[[#This Row],[Preço Unitário]]*TB_Vendas[[#This Row],[Qtd]]</f>
        <v>1199.5999999999999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>
        <f>VLOOKUP(TB_Vendas[[#This Row],[Código]],TB_Produtos[#All],6,0)</f>
        <v>259.89999999999998</v>
      </c>
      <c r="G72" s="69">
        <f>INDEX(Desc_TabelaToda,MATCH(TB_Vendas[[#This Row],[Qtd]],Desc_Quantidades,1),MATCH(VLOOKUP(TB_Vendas[[#This Row],[Código]],TB_Produtos[],4,0),Desc_Categorias,0))</f>
        <v>0.2</v>
      </c>
      <c r="H72" s="8">
        <f>TB_Vendas[[#This Row],[Preço Unitário]]*TB_Vendas[[#This Row],[Qtd]]</f>
        <v>779.69999999999993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>
        <f>VLOOKUP(TB_Vendas[[#This Row],[Código]],TB_Produtos[#All],6,0)</f>
        <v>72.5</v>
      </c>
      <c r="G73" s="69">
        <f>INDEX(Desc_TabelaToda,MATCH(TB_Vendas[[#This Row],[Qtd]],Desc_Quantidades,1),MATCH(VLOOKUP(TB_Vendas[[#This Row],[Código]],TB_Produtos[],4,0),Desc_Categorias,0))</f>
        <v>0.25</v>
      </c>
      <c r="H73" s="8">
        <f>TB_Vendas[[#This Row],[Preço Unitário]]*TB_Vendas[[#This Row],[Qtd]]</f>
        <v>652.5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>
        <f>VLOOKUP(TB_Vendas[[#This Row],[Código]],TB_Produtos[#All],6,0)</f>
        <v>300</v>
      </c>
      <c r="G74" s="69">
        <f>INDEX(Desc_TabelaToda,MATCH(TB_Vendas[[#This Row],[Qtd]],Desc_Quantidades,1),MATCH(VLOOKUP(TB_Vendas[[#This Row],[Código]],TB_Produtos[],4,0),Desc_Categorias,0))</f>
        <v>0.2</v>
      </c>
      <c r="H74" s="8">
        <f>TB_Vendas[[#This Row],[Preço Unitário]]*TB_Vendas[[#This Row],[Qtd]]</f>
        <v>1200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>
        <f>VLOOKUP(TB_Vendas[[#This Row],[Código]],TB_Produtos[#All],6,0)</f>
        <v>65.900000000000006</v>
      </c>
      <c r="G75" s="69">
        <f>INDEX(Desc_TabelaToda,MATCH(TB_Vendas[[#This Row],[Qtd]],Desc_Quantidades,1),MATCH(VLOOKUP(TB_Vendas[[#This Row],[Código]],TB_Produtos[],4,0),Desc_Categorias,0))</f>
        <v>0.25</v>
      </c>
      <c r="H75" s="8">
        <f>TB_Vendas[[#This Row],[Preço Unitário]]*TB_Vendas[[#This Row],[Qtd]]</f>
        <v>593.1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>
        <f>VLOOKUP(TB_Vendas[[#This Row],[Código]],TB_Produtos[#All],6,0)</f>
        <v>92.9</v>
      </c>
      <c r="G76" s="69">
        <f>INDEX(Desc_TabelaToda,MATCH(TB_Vendas[[#This Row],[Qtd]],Desc_Quantidades,1),MATCH(VLOOKUP(TB_Vendas[[#This Row],[Código]],TB_Produtos[],4,0),Desc_Categorias,0))</f>
        <v>0.3</v>
      </c>
      <c r="H76" s="8">
        <f>TB_Vendas[[#This Row],[Preço Unitário]]*TB_Vendas[[#This Row],[Qtd]]</f>
        <v>929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>
        <f>VLOOKUP(TB_Vendas[[#This Row],[Código]],TB_Produtos[#All],6,0)</f>
        <v>89.9</v>
      </c>
      <c r="G77" s="69">
        <f>INDEX(Desc_TabelaToda,MATCH(TB_Vendas[[#This Row],[Qtd]],Desc_Quantidades,1),MATCH(VLOOKUP(TB_Vendas[[#This Row],[Código]],TB_Produtos[],4,0),Desc_Categorias,0))</f>
        <v>0</v>
      </c>
      <c r="H77" s="8">
        <f>TB_Vendas[[#This Row],[Preço Unitário]]*TB_Vendas[[#This Row],[Qtd]]</f>
        <v>89.9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>
        <f>VLOOKUP(TB_Vendas[[#This Row],[Código]],TB_Produtos[#All],6,0)</f>
        <v>49.9</v>
      </c>
      <c r="G78" s="69">
        <f>INDEX(Desc_TabelaToda,MATCH(TB_Vendas[[#This Row],[Qtd]],Desc_Quantidades,1),MATCH(VLOOKUP(TB_Vendas[[#This Row],[Código]],TB_Produtos[],4,0),Desc_Categorias,0))</f>
        <v>0.15</v>
      </c>
      <c r="H78" s="8">
        <f>TB_Vendas[[#This Row],[Preço Unitário]]*TB_Vendas[[#This Row],[Qtd]]</f>
        <v>99.8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>
        <f>VLOOKUP(TB_Vendas[[#This Row],[Código]],TB_Produtos[#All],6,0)</f>
        <v>70</v>
      </c>
      <c r="G79" s="69">
        <f>INDEX(Desc_TabelaToda,MATCH(TB_Vendas[[#This Row],[Qtd]],Desc_Quantidades,1),MATCH(VLOOKUP(TB_Vendas[[#This Row],[Código]],TB_Produtos[],4,0),Desc_Categorias,0))</f>
        <v>0.25</v>
      </c>
      <c r="H79" s="8">
        <f>TB_Vendas[[#This Row],[Preço Unitário]]*TB_Vendas[[#This Row],[Qtd]]</f>
        <v>560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>
        <f>VLOOKUP(TB_Vendas[[#This Row],[Código]],TB_Produtos[#All],6,0)</f>
        <v>46.9</v>
      </c>
      <c r="G80" s="69">
        <f>INDEX(Desc_TabelaToda,MATCH(TB_Vendas[[#This Row],[Qtd]],Desc_Quantidades,1),MATCH(VLOOKUP(TB_Vendas[[#This Row],[Código]],TB_Produtos[],4,0),Desc_Categorias,0))</f>
        <v>0.25</v>
      </c>
      <c r="H80" s="8">
        <f>TB_Vendas[[#This Row],[Preço Unitário]]*TB_Vendas[[#This Row],[Qtd]]</f>
        <v>234.5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>
        <f>VLOOKUP(TB_Vendas[[#This Row],[Código]],TB_Produtos[#All],6,0)</f>
        <v>289.89999999999998</v>
      </c>
      <c r="G81" s="69">
        <f>INDEX(Desc_TabelaToda,MATCH(TB_Vendas[[#This Row],[Qtd]],Desc_Quantidades,1),MATCH(VLOOKUP(TB_Vendas[[#This Row],[Código]],TB_Produtos[],4,0),Desc_Categorias,0))</f>
        <v>0.3</v>
      </c>
      <c r="H81" s="8">
        <f>TB_Vendas[[#This Row],[Preço Unitário]]*TB_Vendas[[#This Row],[Qtd]]</f>
        <v>2899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>
        <f>VLOOKUP(TB_Vendas[[#This Row],[Código]],TB_Produtos[#All],6,0)</f>
        <v>42.5</v>
      </c>
      <c r="G82" s="69">
        <f>INDEX(Desc_TabelaToda,MATCH(TB_Vendas[[#This Row],[Qtd]],Desc_Quantidades,1),MATCH(VLOOKUP(TB_Vendas[[#This Row],[Código]],TB_Produtos[],4,0),Desc_Categorias,0))</f>
        <v>0.1</v>
      </c>
      <c r="H82" s="8">
        <f>TB_Vendas[[#This Row],[Preço Unitário]]*TB_Vendas[[#This Row],[Qtd]]</f>
        <v>42.5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>
        <f>VLOOKUP(TB_Vendas[[#This Row],[Código]],TB_Produtos[#All],6,0)</f>
        <v>89.9</v>
      </c>
      <c r="G83" s="69">
        <f>INDEX(Desc_TabelaToda,MATCH(TB_Vendas[[#This Row],[Qtd]],Desc_Quantidades,1),MATCH(VLOOKUP(TB_Vendas[[#This Row],[Código]],TB_Produtos[],4,0),Desc_Categorias,0))</f>
        <v>0.1</v>
      </c>
      <c r="H83" s="8">
        <f>TB_Vendas[[#This Row],[Preço Unitário]]*TB_Vendas[[#This Row],[Qtd]]</f>
        <v>179.8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>
        <f>VLOOKUP(TB_Vendas[[#This Row],[Código]],TB_Produtos[#All],6,0)</f>
        <v>255</v>
      </c>
      <c r="G84" s="69">
        <f>INDEX(Desc_TabelaToda,MATCH(TB_Vendas[[#This Row],[Qtd]],Desc_Quantidades,1),MATCH(VLOOKUP(TB_Vendas[[#This Row],[Código]],TB_Produtos[],4,0),Desc_Categorias,0))</f>
        <v>0.15</v>
      </c>
      <c r="H84" s="8">
        <f>TB_Vendas[[#This Row],[Preço Unitário]]*TB_Vendas[[#This Row],[Qtd]]</f>
        <v>765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>
        <f>VLOOKUP(TB_Vendas[[#This Row],[Código]],TB_Produtos[#All],6,0)</f>
        <v>42.5</v>
      </c>
      <c r="G85" s="69">
        <f>INDEX(Desc_TabelaToda,MATCH(TB_Vendas[[#This Row],[Qtd]],Desc_Quantidades,1),MATCH(VLOOKUP(TB_Vendas[[#This Row],[Código]],TB_Produtos[],4,0),Desc_Categorias,0))</f>
        <v>0.25</v>
      </c>
      <c r="H85" s="8">
        <f>TB_Vendas[[#This Row],[Preço Unitário]]*TB_Vendas[[#This Row],[Qtd]]</f>
        <v>255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>
        <f>VLOOKUP(TB_Vendas[[#This Row],[Código]],TB_Produtos[#All],6,0)</f>
        <v>39.9</v>
      </c>
      <c r="G86" s="69">
        <f>INDEX(Desc_TabelaToda,MATCH(TB_Vendas[[#This Row],[Qtd]],Desc_Quantidades,1),MATCH(VLOOKUP(TB_Vendas[[#This Row],[Código]],TB_Produtos[],4,0),Desc_Categorias,0))</f>
        <v>0.25</v>
      </c>
      <c r="H86" s="8">
        <f>TB_Vendas[[#This Row],[Preço Unitário]]*TB_Vendas[[#This Row],[Qtd]]</f>
        <v>319.2</v>
      </c>
      <c r="I86" s="1" t="s">
        <v>127</v>
      </c>
    </row>
  </sheetData>
  <phoneticPr fontId="12" type="noConversion"/>
  <conditionalFormatting sqref="E4:G4"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workbookViewId="0">
      <selection activeCell="E18" sqref="E18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6" t="s">
        <v>154</v>
      </c>
      <c r="C4" s="86"/>
      <c r="D4" s="42"/>
      <c r="E4" s="86" t="s">
        <v>161</v>
      </c>
      <c r="F4" s="86"/>
    </row>
    <row r="5" spans="1:9" ht="5.25" customHeight="1" thickBot="1"/>
    <row r="6" spans="1:9" ht="24.6" customHeight="1" thickBot="1">
      <c r="B6" s="71" t="s">
        <v>155</v>
      </c>
      <c r="C6" s="70" t="s">
        <v>60</v>
      </c>
      <c r="E6" s="71" t="s">
        <v>160</v>
      </c>
      <c r="F6" s="75">
        <v>45024</v>
      </c>
    </row>
    <row r="7" spans="1:9" ht="24.6" customHeight="1" thickTop="1" thickBot="1">
      <c r="B7" s="71" t="s">
        <v>156</v>
      </c>
      <c r="C7" s="50" t="str">
        <f>VLOOKUP(C6,TB_Produtos[#All],2,0)</f>
        <v>Tênis Atitas</v>
      </c>
      <c r="E7" s="71" t="s">
        <v>163</v>
      </c>
      <c r="F7" s="50" t="str">
        <f>IFERROR(HLOOKUP(WEEKDAY(F6),'Cadastros Auxiliares'!B4:I5,2,FALSE),"")</f>
        <v>Sábado</v>
      </c>
      <c r="G7" s="49"/>
    </row>
    <row r="8" spans="1:9" ht="24.6" customHeight="1" thickTop="1" thickBot="1">
      <c r="B8" s="71" t="s">
        <v>156</v>
      </c>
      <c r="C8" s="50" t="str">
        <f>VLOOKUP(C6,TB_Produtos[#All],MATCH("Produtos", TB_Produtos[#Headers], 0),0)</f>
        <v>Tênis Atitas</v>
      </c>
      <c r="E8" s="72" t="s">
        <v>164</v>
      </c>
      <c r="F8" s="76"/>
      <c r="G8" s="49"/>
    </row>
    <row r="9" spans="1:9" ht="24.6" customHeight="1" thickTop="1" thickBot="1">
      <c r="B9" s="72" t="s">
        <v>157</v>
      </c>
      <c r="C9" s="48">
        <f>IFERROR(VLOOKUP(C6,TB_Produtos[#All],3,FALSE),"Não encontrado")</f>
        <v>37</v>
      </c>
      <c r="E9" s="74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3" t="s">
        <v>158</v>
      </c>
      <c r="C10" s="48" t="str">
        <f>IFERROR(VLOOKUP($C$6,Produtos!$B$6:$G$66,4,0),"Não encontrado")</f>
        <v>Calçado</v>
      </c>
      <c r="G10" s="49"/>
    </row>
    <row r="11" spans="1:9" ht="24.6" customHeight="1" thickTop="1" thickBot="1">
      <c r="B11" s="73" t="s">
        <v>165</v>
      </c>
      <c r="C11" s="79">
        <f>IFERROR(VLOOKUP($C$6,Produtos!$B$6:$G$66,6,0),"Não encontrado")</f>
        <v>255</v>
      </c>
      <c r="F11" t="s">
        <v>166</v>
      </c>
      <c r="G11" s="49"/>
    </row>
    <row r="12" spans="1:9" ht="22.5" thickTop="1" thickBot="1">
      <c r="B12" s="71" t="s">
        <v>159</v>
      </c>
      <c r="C12" s="48">
        <f>VLOOKUP(C6,TB_Produtos[#All],5,FALSE)</f>
        <v>41</v>
      </c>
      <c r="E12" s="77"/>
      <c r="F12" t="s">
        <v>167</v>
      </c>
    </row>
    <row r="13" spans="1:9" ht="24.75" thickTop="1" thickBot="1">
      <c r="B13" s="71" t="s">
        <v>168</v>
      </c>
      <c r="C13" s="48" t="str">
        <f>IF(C12&gt;10,"Estoque OK", IF(C12=0,"Estoque zerado", "Rever estoque"))</f>
        <v>Estoque OK</v>
      </c>
      <c r="E13" s="78"/>
    </row>
    <row r="14" spans="1:9" ht="26.25" customHeight="1" thickTop="1" thickBot="1">
      <c r="B14" s="71" t="s">
        <v>169</v>
      </c>
      <c r="C14" s="48" t="str">
        <f>_xlfn.IFS(C12=0,"Estoque Zerado",C12&gt;=C15,"Estoque ok",1, "Rever estoque")</f>
        <v>Estoque ok</v>
      </c>
      <c r="E14" s="50" t="str">
        <f>INDEX(TB_Produtos[Categoria],MATCH(C6,TB_Produtos[Código],0))</f>
        <v>Calçado</v>
      </c>
    </row>
    <row r="15" spans="1:9" ht="19.5" thickTop="1" thickBot="1">
      <c r="B15" s="71" t="s">
        <v>170</v>
      </c>
      <c r="C15" s="81">
        <f>VLOOKUP(C10,'Cadastros Auxiliares'!G8:H11,2,FALSE)</f>
        <v>15</v>
      </c>
    </row>
    <row r="16" spans="1:9" ht="19.5" thickTop="1" thickBot="1">
      <c r="B16" s="71" t="s">
        <v>169</v>
      </c>
      <c r="C16" s="48" t="str">
        <f>_xlfn.IFS(C14=0,"Estoque Zerado",C14&gt;=VLOOKUP(C10,'Cadastros Auxiliares'!G8:H11,2,FALSE),"Estoque ok",1, "Rever estoque")</f>
        <v>Estoque ok</v>
      </c>
    </row>
    <row r="17" spans="5:5" ht="15.75" thickTop="1"/>
    <row r="18" spans="5:5">
      <c r="E18">
        <f>MATCH("Produtos", TB_Produtos[#Headers], 0)</f>
        <v>2</v>
      </c>
    </row>
    <row r="19" spans="5:5"/>
    <row r="20" spans="5:5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21"/>
  <sheetViews>
    <sheetView zoomScale="130" zoomScaleNormal="130" workbookViewId="0">
      <selection activeCell="F18" sqref="F1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  <c r="G8" s="60" t="s">
        <v>10</v>
      </c>
      <c r="H8" s="60" t="s">
        <v>170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55" t="s">
        <v>13</v>
      </c>
      <c r="H9" s="80">
        <v>5</v>
      </c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55" t="s">
        <v>12</v>
      </c>
      <c r="H10" s="80">
        <v>10</v>
      </c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  <c r="G11" s="55" t="s">
        <v>14</v>
      </c>
      <c r="H11" s="80">
        <v>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</row>
    <row r="16" spans="2:10">
      <c r="D16" t="s">
        <v>171</v>
      </c>
    </row>
    <row r="17" spans="3:7">
      <c r="C17" s="82" t="s">
        <v>38</v>
      </c>
      <c r="D17">
        <f>MATCH(C19,B8:E8,0)</f>
        <v>3</v>
      </c>
    </row>
    <row r="18" spans="3:7">
      <c r="C18">
        <v>3</v>
      </c>
      <c r="D18" s="83">
        <f>VLOOKUP(C18,B8:E13,MATCH(C19,B8:E8,0),1)</f>
        <v>0.2</v>
      </c>
      <c r="F18">
        <f>MATCH(VLOOKUP(C17,TB_Produtos[],4,0),Desc_Categorias,0)</f>
        <v>3</v>
      </c>
      <c r="G18" t="s">
        <v>172</v>
      </c>
    </row>
    <row r="19" spans="3:7">
      <c r="C19" t="str">
        <f>VLOOKUP(C17,TB_Produtos[],4,0)</f>
        <v>Vestuário</v>
      </c>
      <c r="F19">
        <f>MATCH(C18,B8:B13,1)</f>
        <v>4</v>
      </c>
      <c r="G19" t="s">
        <v>173</v>
      </c>
    </row>
    <row r="20" spans="3:7">
      <c r="F20">
        <f>INDEX(B8:E13,F19,F18)</f>
        <v>0.2</v>
      </c>
    </row>
    <row r="21" spans="3:7">
      <c r="F21">
        <f>INDEX(B8:E13,MATCH(C18,B8:B13,1),MATCH(C19,B8:E8,0))</f>
        <v>0.2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1750.9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2974.9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3698.1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3651.0999999999995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2776.2999999999997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3477.7000000000007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7" t="s">
        <v>78</v>
      </c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9"/>
      <c r="AQ2" s="87" t="s">
        <v>79</v>
      </c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9"/>
      <c r="BK2" s="87" t="s">
        <v>80</v>
      </c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9"/>
    </row>
    <row r="3" spans="3:80" ht="9.75" customHeight="1" thickBot="1">
      <c r="W3" s="90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2"/>
      <c r="AQ3" s="90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2"/>
      <c r="BK3" s="90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2"/>
    </row>
    <row r="4" spans="3:80" ht="9.75" customHeight="1">
      <c r="W4" s="102">
        <f>COUNTA(TB_Produtos[Código])</f>
        <v>60</v>
      </c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4"/>
      <c r="AQ4" s="102">
        <f>SUM(TB_Vendas[Qtd])</f>
        <v>250</v>
      </c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4"/>
      <c r="BK4" s="111">
        <f>SUM(TB_Vendas[Total])</f>
        <v>33304.799999999988</v>
      </c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3"/>
    </row>
    <row r="5" spans="3:80" ht="9.75" customHeight="1">
      <c r="W5" s="105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7"/>
      <c r="AQ5" s="105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7"/>
      <c r="BK5" s="114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6"/>
    </row>
    <row r="6" spans="3:80" ht="9.75" customHeight="1">
      <c r="W6" s="105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7"/>
      <c r="AQ6" s="105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7"/>
      <c r="BK6" s="114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6"/>
    </row>
    <row r="7" spans="3:80" ht="9.75" customHeight="1" thickBot="1">
      <c r="W7" s="108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10"/>
      <c r="AQ7" s="108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10"/>
      <c r="BK7" s="117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9"/>
    </row>
    <row r="8" spans="3:80" ht="9.75" customHeight="1" thickBot="1"/>
    <row r="9" spans="3:80" ht="9.75" customHeight="1">
      <c r="C9" s="87" t="s">
        <v>81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9"/>
    </row>
    <row r="10" spans="3:80" ht="9.75" customHeight="1" thickBot="1">
      <c r="C10" s="90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2"/>
    </row>
    <row r="11" spans="3:80" ht="9.75" customHeight="1">
      <c r="C11" s="93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5"/>
    </row>
    <row r="12" spans="3:80" ht="9.75" customHeight="1"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8"/>
    </row>
    <row r="13" spans="3:80" ht="9.75" customHeight="1">
      <c r="C13" s="96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8"/>
    </row>
    <row r="14" spans="3:80" ht="9.75" customHeight="1"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8"/>
    </row>
    <row r="15" spans="3:80" ht="9.75" customHeight="1">
      <c r="C15" s="96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8"/>
    </row>
    <row r="16" spans="3:80" ht="9.75" customHeight="1">
      <c r="C16" s="96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8"/>
    </row>
    <row r="17" spans="3:80" ht="9.75" customHeight="1">
      <c r="C17" s="96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8"/>
    </row>
    <row r="18" spans="3:80" ht="9.75" customHeight="1"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8"/>
    </row>
    <row r="19" spans="3:80" ht="9.75" customHeight="1">
      <c r="C19" s="96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8"/>
    </row>
    <row r="20" spans="3:80" ht="9.75" customHeight="1">
      <c r="C20" s="96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8"/>
    </row>
    <row r="21" spans="3:80" ht="9.75" customHeight="1">
      <c r="C21" s="96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8"/>
    </row>
    <row r="22" spans="3:80" ht="9.75" customHeight="1">
      <c r="C22" s="96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8"/>
    </row>
    <row r="23" spans="3:80" ht="9.75" customHeight="1">
      <c r="C23" s="96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8"/>
    </row>
    <row r="24" spans="3:80" ht="9.75" customHeight="1" thickBot="1">
      <c r="C24" s="99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1"/>
    </row>
    <row r="25" spans="3:80" ht="9.75" customHeight="1" thickBot="1"/>
    <row r="26" spans="3:80" ht="9.75" customHeight="1">
      <c r="C26" s="87" t="s">
        <v>82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9"/>
      <c r="AO26" s="13"/>
      <c r="AP26" s="13"/>
      <c r="AQ26" s="87" t="s">
        <v>83</v>
      </c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9"/>
    </row>
    <row r="27" spans="3:80" ht="9.75" customHeight="1" thickBot="1">
      <c r="C27" s="90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2"/>
      <c r="AO27" s="13"/>
      <c r="AP27" s="13"/>
      <c r="AQ27" s="90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2"/>
    </row>
    <row r="28" spans="3:80" ht="9.75" customHeight="1">
      <c r="C28" s="93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5"/>
      <c r="AQ28" s="93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5"/>
    </row>
    <row r="29" spans="3:80" ht="9.75" customHeight="1">
      <c r="C29" s="96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8"/>
      <c r="AQ29" s="96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8"/>
    </row>
    <row r="30" spans="3:80" ht="9.75" customHeight="1">
      <c r="C30" s="96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8"/>
      <c r="AQ30" s="96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8"/>
    </row>
    <row r="31" spans="3:80" ht="9.75" customHeight="1">
      <c r="C31" s="96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8"/>
      <c r="AQ31" s="96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8"/>
    </row>
    <row r="32" spans="3:80" ht="9.75" customHeight="1">
      <c r="C32" s="96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8"/>
      <c r="AQ32" s="96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8"/>
    </row>
    <row r="33" spans="3:80" ht="9.75" customHeight="1">
      <c r="C33" s="96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8"/>
      <c r="AQ33" s="96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8"/>
    </row>
    <row r="34" spans="3:80" ht="9.75" customHeight="1"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8"/>
      <c r="AQ34" s="96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8"/>
    </row>
    <row r="35" spans="3:80" ht="9.75" customHeight="1">
      <c r="C35" s="96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8"/>
      <c r="AQ35" s="96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8"/>
    </row>
    <row r="36" spans="3:80" ht="9.75" customHeight="1"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8"/>
      <c r="AQ36" s="96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8"/>
    </row>
    <row r="37" spans="3:80" ht="9.75" customHeight="1">
      <c r="C37" s="96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8"/>
      <c r="AQ37" s="96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8"/>
    </row>
    <row r="38" spans="3:80" ht="9.75" customHeight="1"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8"/>
      <c r="AQ38" s="96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8"/>
    </row>
    <row r="39" spans="3:80" ht="9.75" customHeight="1">
      <c r="C39" s="96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8"/>
      <c r="AQ39" s="96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8"/>
    </row>
    <row r="40" spans="3:80" ht="9.75" customHeight="1">
      <c r="C40" s="96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8"/>
      <c r="AQ40" s="96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8"/>
    </row>
    <row r="41" spans="3:80" ht="9.75" customHeight="1">
      <c r="C41" s="96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8"/>
      <c r="AQ41" s="96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8"/>
    </row>
    <row r="42" spans="3:80" ht="9.75" customHeight="1">
      <c r="C42" s="96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8"/>
      <c r="AQ42" s="96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8"/>
    </row>
    <row r="43" spans="3:80" ht="9.75" customHeight="1">
      <c r="C43" s="96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8"/>
      <c r="AQ43" s="96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8"/>
    </row>
    <row r="44" spans="3:80" ht="9.75" customHeight="1">
      <c r="C44" s="96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8"/>
      <c r="AQ44" s="96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8"/>
    </row>
    <row r="45" spans="3:80" ht="9.75" customHeight="1">
      <c r="C45" s="96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8"/>
      <c r="AQ45" s="96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8"/>
    </row>
    <row r="46" spans="3:80" ht="9.75" customHeight="1" thickBot="1"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1"/>
      <c r="AQ46" s="99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1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  <vt:lpstr>Desc_Categorias</vt:lpstr>
      <vt:lpstr>Desc_Quantidades</vt:lpstr>
      <vt:lpstr>Desc_TabelaToda</vt:lpstr>
      <vt:lpstr>Int_Desc_Categorias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2024-08-09T22:00:47Z</dcterms:modified>
</cp:coreProperties>
</file>