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848B727C-248F-4A42-8D60-2E04F90E4AA7}" xr6:coauthVersionLast="47" xr6:coauthVersionMax="47" xr10:uidLastSave="{00000000-0000-0000-0000-000000000000}"/>
  <bookViews>
    <workbookView xWindow="2360" yWindow="880" windowWidth="27340" windowHeight="17520" xr2:uid="{B8299F2D-33B8-E148-B485-6429887DEB23}"/>
  </bookViews>
  <sheets>
    <sheet name="Sheet1" sheetId="1" r:id="rId1"/>
  </sheets>
  <definedNames>
    <definedName name="_xlnm._FilterDatabase" localSheetId="0" hidden="1">Sheet1!$A$1:$O$1477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35" i="1" l="1"/>
  <c r="K937" i="1"/>
  <c r="J937" i="1"/>
  <c r="B937" i="1"/>
  <c r="I937" i="1" s="1"/>
  <c r="K936" i="1"/>
  <c r="J936" i="1"/>
  <c r="I936" i="1"/>
  <c r="B1016" i="1"/>
  <c r="K1018" i="1"/>
  <c r="J1018" i="1"/>
  <c r="B1018" i="1"/>
  <c r="I1018" i="1" s="1"/>
  <c r="K1017" i="1"/>
  <c r="J1017" i="1"/>
  <c r="I1017" i="1"/>
  <c r="B566" i="1"/>
  <c r="I568" i="1"/>
  <c r="K568" i="1" s="1"/>
  <c r="K567" i="1"/>
  <c r="J567" i="1"/>
  <c r="B567" i="1"/>
  <c r="I567" i="1" s="1"/>
  <c r="B1487" i="1"/>
  <c r="B1488" i="1"/>
  <c r="G1486" i="1"/>
  <c r="D1486" i="1"/>
  <c r="C1486" i="1"/>
  <c r="A1486" i="1"/>
  <c r="B221" i="1"/>
  <c r="G219" i="1"/>
  <c r="D219" i="1"/>
  <c r="C219" i="1"/>
  <c r="A219" i="1"/>
  <c r="B788" i="1"/>
  <c r="B789" i="1" s="1"/>
  <c r="G787" i="1"/>
  <c r="D787" i="1"/>
  <c r="A787" i="1"/>
  <c r="B1511" i="1"/>
  <c r="B1512" i="1"/>
  <c r="G1510" i="1"/>
  <c r="D1510" i="1"/>
  <c r="C1510" i="1"/>
  <c r="A1510" i="1"/>
  <c r="B485" i="1"/>
  <c r="B494" i="1" s="1"/>
  <c r="B594" i="1"/>
  <c r="I596" i="1"/>
  <c r="K596" i="1" s="1"/>
  <c r="K595" i="1"/>
  <c r="J595" i="1"/>
  <c r="B595" i="1"/>
  <c r="I595" i="1" s="1"/>
  <c r="B1190" i="1"/>
  <c r="G1189" i="1"/>
  <c r="D1189" i="1"/>
  <c r="C1189" i="1"/>
  <c r="A1189" i="1"/>
  <c r="B895" i="1"/>
  <c r="K978" i="1"/>
  <c r="J978" i="1"/>
  <c r="B978" i="1"/>
  <c r="I978" i="1" s="1"/>
  <c r="K977" i="1"/>
  <c r="J977" i="1"/>
  <c r="I977" i="1"/>
  <c r="B976" i="1"/>
  <c r="K921" i="1"/>
  <c r="J921" i="1"/>
  <c r="B921" i="1"/>
  <c r="I921" i="1" s="1"/>
  <c r="K920" i="1"/>
  <c r="J920" i="1"/>
  <c r="B920" i="1"/>
  <c r="I920" i="1" s="1"/>
  <c r="K919" i="1"/>
  <c r="J919" i="1"/>
  <c r="I919" i="1"/>
  <c r="K918" i="1"/>
  <c r="J918" i="1"/>
  <c r="B918" i="1"/>
  <c r="I918" i="1" s="1"/>
  <c r="K917" i="1"/>
  <c r="J917" i="1"/>
  <c r="I917" i="1"/>
  <c r="K916" i="1"/>
  <c r="J916" i="1"/>
  <c r="I916" i="1"/>
  <c r="K915" i="1"/>
  <c r="J915" i="1"/>
  <c r="I915" i="1"/>
  <c r="B914" i="1"/>
  <c r="K900" i="1"/>
  <c r="J900" i="1"/>
  <c r="B900" i="1"/>
  <c r="I900" i="1" s="1"/>
  <c r="K899" i="1"/>
  <c r="J899" i="1"/>
  <c r="I899" i="1"/>
  <c r="K898" i="1"/>
  <c r="J898" i="1"/>
  <c r="I898" i="1"/>
  <c r="K897" i="1"/>
  <c r="J897" i="1"/>
  <c r="I897" i="1"/>
  <c r="K896" i="1"/>
  <c r="J896" i="1"/>
  <c r="I896" i="1"/>
  <c r="B845" i="1"/>
  <c r="K843" i="1"/>
  <c r="J843" i="1"/>
  <c r="I843" i="1"/>
  <c r="B736" i="1"/>
  <c r="G735" i="1"/>
  <c r="D735" i="1"/>
  <c r="A735" i="1"/>
  <c r="L725" i="1"/>
  <c r="K725" i="1"/>
  <c r="B725" i="1"/>
  <c r="J725" i="1" s="1"/>
  <c r="B724" i="1"/>
  <c r="L723" i="1"/>
  <c r="K723" i="1"/>
  <c r="B723" i="1"/>
  <c r="J723" i="1" s="1"/>
  <c r="L722" i="1"/>
  <c r="K722" i="1"/>
  <c r="B722" i="1"/>
  <c r="J722" i="1" s="1"/>
  <c r="L710" i="1"/>
  <c r="K710" i="1"/>
  <c r="B710" i="1"/>
  <c r="J710" i="1" s="1"/>
  <c r="B708" i="1"/>
  <c r="B696" i="1"/>
  <c r="J686" i="1"/>
  <c r="I686" i="1"/>
  <c r="B686" i="1"/>
  <c r="H686" i="1" s="1"/>
  <c r="J685" i="1"/>
  <c r="I685" i="1"/>
  <c r="H685" i="1"/>
  <c r="J684" i="1"/>
  <c r="I684" i="1"/>
  <c r="H684" i="1"/>
  <c r="J683" i="1"/>
  <c r="I683" i="1"/>
  <c r="H683" i="1"/>
  <c r="J682" i="1"/>
  <c r="I682" i="1"/>
  <c r="H682" i="1"/>
  <c r="B681" i="1"/>
  <c r="J667" i="1"/>
  <c r="I667" i="1"/>
  <c r="B667" i="1"/>
  <c r="H667" i="1" s="1"/>
  <c r="J666" i="1"/>
  <c r="I666" i="1"/>
  <c r="H666" i="1"/>
  <c r="J665" i="1"/>
  <c r="I665" i="1"/>
  <c r="H665" i="1"/>
  <c r="J664" i="1"/>
  <c r="I664" i="1"/>
  <c r="H664" i="1"/>
  <c r="J663" i="1"/>
  <c r="I663" i="1"/>
  <c r="H663" i="1"/>
  <c r="J662" i="1"/>
  <c r="I662" i="1"/>
  <c r="B662" i="1"/>
  <c r="H662" i="1" s="1"/>
  <c r="J661" i="1"/>
  <c r="I661" i="1"/>
  <c r="B661" i="1"/>
  <c r="H661" i="1" s="1"/>
  <c r="B660" i="1"/>
  <c r="B629" i="1"/>
  <c r="I629" i="1" s="1"/>
  <c r="J628" i="1"/>
  <c r="I628" i="1"/>
  <c r="B628" i="1"/>
  <c r="H628" i="1" s="1"/>
  <c r="H627" i="1"/>
  <c r="I627" i="1" s="1"/>
  <c r="H626" i="1"/>
  <c r="J626" i="1" s="1"/>
  <c r="H625" i="1"/>
  <c r="J625" i="1" s="1"/>
  <c r="H624" i="1"/>
  <c r="J624" i="1" s="1"/>
  <c r="B623" i="1"/>
  <c r="I540" i="1"/>
  <c r="K540" i="1" s="1"/>
  <c r="K539" i="1"/>
  <c r="J539" i="1"/>
  <c r="B539" i="1"/>
  <c r="I539" i="1" s="1"/>
  <c r="B538" i="1"/>
  <c r="B432" i="1"/>
  <c r="B441" i="1" s="1"/>
  <c r="K1452" i="1"/>
  <c r="J1452" i="1"/>
  <c r="B1452" i="1"/>
  <c r="I1452" i="1" s="1"/>
  <c r="K1451" i="1"/>
  <c r="J1451" i="1"/>
  <c r="B1451" i="1"/>
  <c r="I1451" i="1" s="1"/>
  <c r="K1450" i="1"/>
  <c r="J1450" i="1"/>
  <c r="B1450" i="1"/>
  <c r="I1450" i="1" s="1"/>
  <c r="K1449" i="1"/>
  <c r="J1449" i="1"/>
  <c r="I1449" i="1"/>
  <c r="K1447" i="1"/>
  <c r="J1447" i="1"/>
  <c r="I1447" i="1"/>
  <c r="K1446" i="1"/>
  <c r="J1446" i="1"/>
  <c r="B1446" i="1"/>
  <c r="I1446" i="1" s="1"/>
  <c r="B1443" i="1"/>
  <c r="B1445" i="1" s="1"/>
  <c r="G1442" i="1"/>
  <c r="D1442" i="1"/>
  <c r="C1442" i="1"/>
  <c r="A1442" i="1"/>
  <c r="K1431" i="1"/>
  <c r="J1431" i="1"/>
  <c r="B1431" i="1"/>
  <c r="I1431" i="1" s="1"/>
  <c r="K1430" i="1"/>
  <c r="J1430" i="1"/>
  <c r="B1430" i="1"/>
  <c r="I1430" i="1" s="1"/>
  <c r="K1429" i="1"/>
  <c r="J1429" i="1"/>
  <c r="I1429" i="1"/>
  <c r="K1428" i="1"/>
  <c r="J1428" i="1"/>
  <c r="B1428" i="1"/>
  <c r="I1428" i="1" s="1"/>
  <c r="K1427" i="1"/>
  <c r="J1427" i="1"/>
  <c r="I1427" i="1"/>
  <c r="K1426" i="1"/>
  <c r="J1426" i="1"/>
  <c r="B1426" i="1"/>
  <c r="I1426" i="1" s="1"/>
  <c r="B1425" i="1"/>
  <c r="G1424" i="1"/>
  <c r="D1424" i="1"/>
  <c r="C1424" i="1"/>
  <c r="A1424" i="1"/>
  <c r="B1235" i="1"/>
  <c r="G1234" i="1"/>
  <c r="D1234" i="1"/>
  <c r="C1234" i="1"/>
  <c r="A1234" i="1"/>
  <c r="B84" i="1"/>
  <c r="H83" i="1"/>
  <c r="D83" i="1"/>
  <c r="C83" i="1"/>
  <c r="A83" i="1"/>
  <c r="B95" i="1"/>
  <c r="H94" i="1"/>
  <c r="D94" i="1"/>
  <c r="C94" i="1"/>
  <c r="A94" i="1"/>
  <c r="B73" i="1"/>
  <c r="H72" i="1"/>
  <c r="D72" i="1"/>
  <c r="A72" i="1"/>
  <c r="B40" i="1"/>
  <c r="H39" i="1"/>
  <c r="D39" i="1"/>
  <c r="C39" i="1"/>
  <c r="A39" i="1"/>
  <c r="B62" i="1"/>
  <c r="H61" i="1"/>
  <c r="D61" i="1"/>
  <c r="A61" i="1"/>
  <c r="B51" i="1"/>
  <c r="H50" i="1"/>
  <c r="D50" i="1"/>
  <c r="A50" i="1"/>
  <c r="B26" i="1"/>
  <c r="H22" i="1"/>
  <c r="D22" i="1"/>
  <c r="C22" i="1"/>
  <c r="A22" i="1"/>
  <c r="J568" i="1" l="1"/>
  <c r="J596" i="1"/>
  <c r="J629" i="1"/>
  <c r="J627" i="1"/>
  <c r="I625" i="1"/>
  <c r="J540" i="1"/>
  <c r="I626" i="1"/>
  <c r="B1444" i="1"/>
  <c r="I624" i="1"/>
  <c r="H629" i="1"/>
  <c r="B245" i="1" l="1"/>
  <c r="B291" i="1"/>
  <c r="B337" i="1"/>
  <c r="B383" i="1"/>
  <c r="B1464" i="1"/>
  <c r="B1370" i="1"/>
  <c r="B1320" i="1"/>
  <c r="B1270" i="1"/>
  <c r="B1269" i="1"/>
  <c r="B1201" i="1"/>
  <c r="G1200" i="1"/>
  <c r="D1200" i="1"/>
  <c r="C1200" i="1"/>
  <c r="A1200" i="1"/>
  <c r="B290" i="1"/>
  <c r="G289" i="1"/>
  <c r="D289" i="1"/>
  <c r="C289" i="1"/>
  <c r="A289" i="1"/>
  <c r="B382" i="1"/>
  <c r="G381" i="1"/>
  <c r="D381" i="1"/>
  <c r="C381" i="1"/>
  <c r="A381" i="1"/>
  <c r="B1098" i="1"/>
  <c r="B1097" i="1"/>
  <c r="B1094" i="1"/>
  <c r="G1093" i="1"/>
  <c r="D1093" i="1"/>
  <c r="C1093" i="1"/>
  <c r="A1093" i="1"/>
  <c r="B1175" i="1"/>
  <c r="G1173" i="1"/>
  <c r="D1173" i="1"/>
  <c r="C1173" i="1"/>
  <c r="A1173" i="1"/>
  <c r="B336" i="1"/>
  <c r="G335" i="1"/>
  <c r="D335" i="1"/>
  <c r="C335" i="1"/>
  <c r="A335" i="1"/>
  <c r="B1319" i="1"/>
  <c r="B1329" i="1" s="1"/>
  <c r="G1318" i="1"/>
  <c r="D1318" i="1"/>
  <c r="C1318" i="1"/>
  <c r="A1318" i="1"/>
  <c r="B129" i="1" l="1"/>
  <c r="B130" i="1"/>
  <c r="B132" i="1" s="1"/>
  <c r="B131" i="1" l="1"/>
  <c r="G128" i="1" l="1"/>
  <c r="D128" i="1"/>
  <c r="C128" i="1"/>
  <c r="A128" i="1"/>
  <c r="B1133" i="1"/>
  <c r="G1132" i="1"/>
  <c r="D1132" i="1"/>
  <c r="C1132" i="1"/>
  <c r="A1132" i="1"/>
  <c r="B1053" i="1"/>
  <c r="G1052" i="1"/>
  <c r="D1052" i="1"/>
  <c r="C1052" i="1"/>
  <c r="A1052" i="1"/>
  <c r="B1463" i="1"/>
  <c r="G1462" i="1"/>
  <c r="D1462" i="1"/>
  <c r="C1462" i="1"/>
  <c r="A1462" i="1"/>
  <c r="B244" i="1"/>
  <c r="G243" i="1"/>
  <c r="D243" i="1"/>
  <c r="C243" i="1"/>
  <c r="A243" i="1"/>
  <c r="B1369" i="1"/>
  <c r="G1368" i="1"/>
  <c r="D1368" i="1"/>
  <c r="C1368" i="1"/>
  <c r="A1368" i="1"/>
  <c r="B1279" i="1"/>
  <c r="G1268" i="1"/>
  <c r="D1268" i="1"/>
  <c r="C1268" i="1"/>
  <c r="A1268" i="1"/>
  <c r="B187" i="1"/>
  <c r="G186" i="1"/>
  <c r="D186" i="1"/>
  <c r="C186" i="1"/>
  <c r="A186" i="1"/>
  <c r="B176" i="1"/>
  <c r="G175" i="1"/>
  <c r="D175" i="1"/>
  <c r="C175" i="1"/>
  <c r="A175" i="1"/>
  <c r="B154" i="1"/>
  <c r="G153" i="1"/>
  <c r="D153" i="1"/>
  <c r="C153" i="1"/>
  <c r="A153" i="1"/>
  <c r="B209" i="1"/>
  <c r="G208" i="1"/>
  <c r="D208" i="1"/>
  <c r="C208" i="1"/>
  <c r="A208" i="1"/>
  <c r="B107" i="1"/>
  <c r="G106" i="1"/>
  <c r="D106" i="1"/>
  <c r="C106" i="1"/>
  <c r="A106" i="1"/>
  <c r="B198" i="1"/>
  <c r="G197" i="1"/>
  <c r="D197" i="1"/>
  <c r="C197" i="1"/>
  <c r="A197" i="1"/>
  <c r="B165" i="1"/>
  <c r="B12" i="1"/>
  <c r="G164" i="1"/>
  <c r="D164" i="1"/>
  <c r="C164" i="1"/>
  <c r="A164" i="1"/>
  <c r="G142" i="1"/>
  <c r="D142" i="1"/>
  <c r="C142" i="1"/>
  <c r="A142" i="1"/>
  <c r="B118" i="1"/>
  <c r="G117" i="1" l="1"/>
  <c r="D117" i="1"/>
  <c r="C117" i="1"/>
  <c r="A117" i="1"/>
  <c r="G11" i="1"/>
  <c r="D11" i="1"/>
  <c r="C11" i="1"/>
  <c r="A11" i="1"/>
</calcChain>
</file>

<file path=xl/sharedStrings.xml><?xml version="1.0" encoding="utf-8"?>
<sst xmlns="http://schemas.openxmlformats.org/spreadsheetml/2006/main" count="5121" uniqueCount="300">
  <si>
    <t>database</t>
  </si>
  <si>
    <t>heat</t>
  </si>
  <si>
    <t>Activity</t>
  </si>
  <si>
    <t>location</t>
  </si>
  <si>
    <t>production amount</t>
  </si>
  <si>
    <t>reference product</t>
  </si>
  <si>
    <t>type</t>
  </si>
  <si>
    <t>process</t>
  </si>
  <si>
    <t>unit</t>
  </si>
  <si>
    <t>kilogram</t>
  </si>
  <si>
    <t>Exchanges</t>
  </si>
  <si>
    <t>name</t>
  </si>
  <si>
    <t>amount</t>
  </si>
  <si>
    <t>categories</t>
  </si>
  <si>
    <t>air::urban air close to ground</t>
  </si>
  <si>
    <t>biosphere</t>
  </si>
  <si>
    <t>soft wood chips from forest, burned in furnace 1000kW</t>
  </si>
  <si>
    <t>megajoule</t>
  </si>
  <si>
    <t>RER</t>
  </si>
  <si>
    <t>production</t>
  </si>
  <si>
    <t>heat production, softwood chips from forest, at furnace 1000kW</t>
  </si>
  <si>
    <t>heat, district or industrial, other than natural gas</t>
  </si>
  <si>
    <t>CH</t>
  </si>
  <si>
    <t>technosphere</t>
  </si>
  <si>
    <t>heat production, from hydrogen-fired one gigawatt gas turbine</t>
  </si>
  <si>
    <t>hard coal, burned in hard coal industrial furnace 1-10MW</t>
  </si>
  <si>
    <t>heat production, at hard coal industrial furnace 1-10MW</t>
  </si>
  <si>
    <t>Europe without Switzerland</t>
  </si>
  <si>
    <t>light fuel oil, burned in industrial furnace 1MW</t>
  </si>
  <si>
    <t>heat production, light fuel oil, at industrial furnace 1MW</t>
  </si>
  <si>
    <t>heat, residential, by combustion of methanol using boiler, distributed by truck, produced with biomass</t>
  </si>
  <si>
    <t>heat, from residential heating system</t>
  </si>
  <si>
    <t>methanol from biomass, burned in residential boiler</t>
  </si>
  <si>
    <t>wood pellet, burned in residential stove 9kW</t>
  </si>
  <si>
    <t>hydrogen, burned in gas turbine 1GW</t>
  </si>
  <si>
    <t>methanol from coal, burned in residential boiler</t>
  </si>
  <si>
    <t>heat, residential, by combustion of methanol using boiler, distributed by truck, produced with coal</t>
  </si>
  <si>
    <t>hard coal briquettes, burned in stove 5-15kW</t>
  </si>
  <si>
    <t>heat production, hard coal briquette, stove 5-15kW</t>
  </si>
  <si>
    <t>heat, central or small-scale, other than natural gas</t>
  </si>
  <si>
    <t>light fuel oil, burned in residential boiler 10kW</t>
  </si>
  <si>
    <t>heat production, light fuel oil, at boiler 10kW condensing, non-modulating</t>
  </si>
  <si>
    <t>propane, burned in industrial furnace &gt;100kW</t>
  </si>
  <si>
    <t>heat production, propane, at industrial furnace &gt;100kW</t>
  </si>
  <si>
    <t>market for diesel, low-sulfur</t>
  </si>
  <si>
    <t>diesel, low-sulfur</t>
  </si>
  <si>
    <t>Acetaldehyde</t>
  </si>
  <si>
    <t>Acetone</t>
  </si>
  <si>
    <t>Acrolein</t>
  </si>
  <si>
    <t>Ammonia</t>
  </si>
  <si>
    <t>Benzaldehyde</t>
  </si>
  <si>
    <t>Benzene</t>
  </si>
  <si>
    <t>Butane</t>
  </si>
  <si>
    <t>Cadmium II</t>
  </si>
  <si>
    <t>Carbon dioxide, fossil</t>
  </si>
  <si>
    <t>Carbon monoxide, fossil</t>
  </si>
  <si>
    <t>Chromium III</t>
  </si>
  <si>
    <t>Chromium VI</t>
  </si>
  <si>
    <t>Copper ion</t>
  </si>
  <si>
    <t>Dinitrogen monoxide</t>
  </si>
  <si>
    <t>Ethane</t>
  </si>
  <si>
    <t>Ethylene oxide</t>
  </si>
  <si>
    <t>Formaldehyde</t>
  </si>
  <si>
    <t>Heptane</t>
  </si>
  <si>
    <t>Lead II</t>
  </si>
  <si>
    <t>Mercury II</t>
  </si>
  <si>
    <t>Methane, fossil</t>
  </si>
  <si>
    <t>Methyl ethyl ketone</t>
  </si>
  <si>
    <t>NMVOC, non-methane volatile organic compounds</t>
  </si>
  <si>
    <t>Nickel II</t>
  </si>
  <si>
    <t>Nitrogen oxides</t>
  </si>
  <si>
    <t>PAH, polycyclic aromatic hydrocarbons</t>
  </si>
  <si>
    <t>Particulate Matter, &lt; 2.5 um</t>
  </si>
  <si>
    <t>Pentane</t>
  </si>
  <si>
    <t>Propane</t>
  </si>
  <si>
    <t>Propylene oxide</t>
  </si>
  <si>
    <t>Selenium IV</t>
  </si>
  <si>
    <t>Styrene</t>
  </si>
  <si>
    <t>Sulfur dioxide</t>
  </si>
  <si>
    <t>Toluene</t>
  </si>
  <si>
    <t>Zinc II</t>
  </si>
  <si>
    <t>m-Xylene</t>
  </si>
  <si>
    <t>o-Xylene</t>
  </si>
  <si>
    <t>petrol, low-sulfur</t>
  </si>
  <si>
    <t>1-Pentene</t>
  </si>
  <si>
    <t>Ethylene</t>
  </si>
  <si>
    <t>Hexane</t>
  </si>
  <si>
    <t>Propene</t>
  </si>
  <si>
    <t>diesel, burned in passenger car</t>
  </si>
  <si>
    <t>petrol, burned in passenger car</t>
  </si>
  <si>
    <t>diesel, burned in heavy-duty vehicle</t>
  </si>
  <si>
    <t>Arsenic ion</t>
  </si>
  <si>
    <t>compressed gas, burned in passenger car</t>
  </si>
  <si>
    <t>market group for natural gas, high pressure</t>
  </si>
  <si>
    <t>natural gas, high pressure</t>
  </si>
  <si>
    <t>cubic meter</t>
  </si>
  <si>
    <t>kerosene, burned in aircraft</t>
  </si>
  <si>
    <t>market for kerosene</t>
  </si>
  <si>
    <t>kerosene</t>
  </si>
  <si>
    <t>Water</t>
  </si>
  <si>
    <t>air::lower stratosphere + upper troposphere</t>
  </si>
  <si>
    <t>air::non-urban air or from high stacks</t>
  </si>
  <si>
    <t>heavy fuel oil, burned in container ship</t>
  </si>
  <si>
    <t>heavy fuel oil</t>
  </si>
  <si>
    <t>Dioxins, measured as 2,3,7,8-tetrachlorodibenzo-p-dioxin</t>
  </si>
  <si>
    <t>Hydrochloric acid</t>
  </si>
  <si>
    <t>Hydrogen fluoride</t>
  </si>
  <si>
    <t>Particulate Matter, &gt; 10 um</t>
  </si>
  <si>
    <t>Particulate Matter, &gt; 2.5 um and &lt; 10um</t>
  </si>
  <si>
    <t>Fungicides, unspecified</t>
  </si>
  <si>
    <t>Hydrocarbons, unspecified</t>
  </si>
  <si>
    <t>Thiocyanate</t>
  </si>
  <si>
    <t>Tributyltin compounds</t>
  </si>
  <si>
    <t>water::ocean</t>
  </si>
  <si>
    <t>fuel cell system assembly, 1 kWe, proton exchange membrane (PEM)</t>
  </si>
  <si>
    <t>GLO</t>
  </si>
  <si>
    <t>fuel cell system, 1 kWe, proton exchange membrane (PEM)</t>
  </si>
  <si>
    <t>hydrogen, gaseous, from pipeline</t>
  </si>
  <si>
    <t>air</t>
  </si>
  <si>
    <t>hydrogen, converted in 1kWe fuel cell</t>
  </si>
  <si>
    <t>Hydrogen</t>
  </si>
  <si>
    <t>diesel production, low-sulfur, petroleum refinery operation</t>
  </si>
  <si>
    <t>petrol production, low-sulfur</t>
  </si>
  <si>
    <t>biodiesel, burned in passenger car</t>
  </si>
  <si>
    <t>Carbon dioxide, non-fossil</t>
  </si>
  <si>
    <t>Carbon monoxide, non-fossil</t>
  </si>
  <si>
    <t>biodiesel production, via transesterification, from rapeseed oil, energy allocation</t>
  </si>
  <si>
    <t>biodiesel, from rapeseed oil</t>
  </si>
  <si>
    <t>biodiesel, burned in heavy-duty vehicle</t>
  </si>
  <si>
    <t>heavy fuel oil production, petroleum refinery operation</t>
  </si>
  <si>
    <t>methanol, from biomass</t>
  </si>
  <si>
    <t>RoW</t>
  </si>
  <si>
    <t>methanol from biomass, burned in container ship</t>
  </si>
  <si>
    <t>kerosene from biomass, burned in aircraft</t>
  </si>
  <si>
    <t>kerosene production, via Fischer-Tropsch, from forest product (non-residual), energy allocation</t>
  </si>
  <si>
    <t>kerosene, from forest residues</t>
  </si>
  <si>
    <t>diesel from coal, burned in heavy-duty vehicle</t>
  </si>
  <si>
    <t>diesel production, synthetic, Fischer Tropsch process, hydrogen from coal gasification, energy allocation</t>
  </si>
  <si>
    <t>diesel, synthetic</t>
  </si>
  <si>
    <t>diesel blend, burned in heavy-duty vehicle</t>
  </si>
  <si>
    <t>diesel, burned in passenger train</t>
  </si>
  <si>
    <t>Xylene</t>
  </si>
  <si>
    <t>Iron ion</t>
  </si>
  <si>
    <t>soil</t>
  </si>
  <si>
    <t>electricity, used in passenger car</t>
  </si>
  <si>
    <t>market group for electricity, low voltage</t>
  </si>
  <si>
    <t>kilowatt hour</t>
  </si>
  <si>
    <t>electricity, low voltage</t>
  </si>
  <si>
    <t>market for internal combustion engine, passenger car</t>
  </si>
  <si>
    <t>internal combustion engine, passenger car</t>
  </si>
  <si>
    <t>internal combustion engine, for lorry</t>
  </si>
  <si>
    <t>market for electric motor, electric passenger car</t>
  </si>
  <si>
    <t>electric motor, electric passenger car</t>
  </si>
  <si>
    <t>hydrogen supply, distributed by pipeline</t>
  </si>
  <si>
    <t>methanol production, biomass gasification</t>
  </si>
  <si>
    <t>Isohexane</t>
  </si>
  <si>
    <t>Hydrocarbons, aliphatic, alkanes, cyclic</t>
  </si>
  <si>
    <t>comment</t>
  </si>
  <si>
    <t>market for gas boiler</t>
  </si>
  <si>
    <t>gas boiler</t>
  </si>
  <si>
    <t>market for chimney</t>
  </si>
  <si>
    <t>meter</t>
  </si>
  <si>
    <t>chimney</t>
  </si>
  <si>
    <t>market for electricity, low voltage</t>
  </si>
  <si>
    <t>market for hydrogen, gaseous, low pressure</t>
  </si>
  <si>
    <t>hydrogen, gaseous, low pressure</t>
  </si>
  <si>
    <t>hydrogen burned, in residential boiler</t>
  </si>
  <si>
    <t>natural gas, burned in residential natural gas boiler &lt;100kW</t>
  </si>
  <si>
    <t>heat production, natural gas, at boiler condensing modulating &lt;100kW</t>
  </si>
  <si>
    <t>heat, central or small-scale, natural gas</t>
  </si>
  <si>
    <t>natural gas, synthetic, burned in residential natural gas boiler &lt;100kW</t>
  </si>
  <si>
    <t>heat, residential, by combustion of synthetic natural gas from catalytic methanation using boiler, distributed by pipeline, produced by Electrolysis, PEM using electricity from grid and carbon sourced from DAC</t>
  </si>
  <si>
    <t>natural gas, coal-based, burned in residential natural gas boiler &lt;100kW</t>
  </si>
  <si>
    <t>heat, residential, by combustion of coal-based natural gas using boiler, distributed by pipeline</t>
  </si>
  <si>
    <t>heat, residential, by combustion of biomethane using boiler, distributed by pipeline</t>
  </si>
  <si>
    <t>electricity, used in residential heat pump</t>
  </si>
  <si>
    <t>heat production, air-water heat pump 10kW</t>
  </si>
  <si>
    <t>heat, air-water heat pump 10kW</t>
  </si>
  <si>
    <t>Energy, geothermal, converted</t>
  </si>
  <si>
    <t>natural resource::in ground</t>
  </si>
  <si>
    <t>liquefied petroleum gas, burned in residential natural gas boiler &lt;100kW</t>
  </si>
  <si>
    <t>heat, residential, by combustion of liquefied petroleum gas using boiler, distributed by pipeline</t>
  </si>
  <si>
    <t>biomethane, burned in residential natural gas boiler &lt;100kW</t>
  </si>
  <si>
    <t>biodiesel, burned in passenger train</t>
  </si>
  <si>
    <t>biodiesel production, via transesterification, from used cooking oil, energy allocation</t>
  </si>
  <si>
    <t>biodiesel, from cooking oil</t>
  </si>
  <si>
    <t>Methane, non-fossil</t>
  </si>
  <si>
    <t xml:space="preserve">Electric motor power: 141 [kW]. Km over lifetime: 200000 [km]. Yearly mileage: 12000 [km/year]. Autonomy on a full tank/battery: 196 [km]. Tank-to-wheel efficiency: 71 [%]. Tank-to-wheel energy consumption: 703 [kj/km]. Battery capacity: 48 [kWh]. Mass of battery: 400 [kg]. Curb mass (excl. driver and cargo): 1764 [kg]. Driving mass (incl. driver and cargo): 1904 [kg]. </t>
  </si>
  <si>
    <t>uncertainty type</t>
  </si>
  <si>
    <t>loc</t>
  </si>
  <si>
    <t>minimum</t>
  </si>
  <si>
    <t>maximum</t>
  </si>
  <si>
    <t>market for converter, for electric passenger car</t>
  </si>
  <si>
    <t>converter, for electric passenger car</t>
  </si>
  <si>
    <t>market for inverter, for electric passenger car</t>
  </si>
  <si>
    <t>inverter, for electric passenger car</t>
  </si>
  <si>
    <t>market for power distribution unit, for electric passenger car</t>
  </si>
  <si>
    <t>power distribution unit, for electric passenger car</t>
  </si>
  <si>
    <t>market for battery capacity (MIX scenario)</t>
  </si>
  <si>
    <t>electricity storage capacity</t>
  </si>
  <si>
    <t>market for charger, electric passenger car</t>
  </si>
  <si>
    <t>charger, electric passenger car</t>
  </si>
  <si>
    <t>Assumed vehicle's lifetime: 200'000 km. Assumed vehicle energy consumption: 1.8 MJ/vkm.</t>
  </si>
  <si>
    <t>fuel tank assembly, compressed hydrogen gas, 700bar</t>
  </si>
  <si>
    <t>fuel tank, compressed hydrogen gas, 700bar</t>
  </si>
  <si>
    <t>hydrogen, used in passenger car</t>
  </si>
  <si>
    <t>diesel, burned in single deck coach or urban bus</t>
  </si>
  <si>
    <t>Combustion engine power: 287 [kW]. Power share from combustion engine: 100 [%]. Km over lifetime: 700000 [km]. Yearly mileage: 50000 [km/year]. Daily distance driven: 511 [km]. Daily operating time: 9 [hours]. Tank-to-wheel efficiency: 24 [%]. Tank-to-wheel energy consumption: 9105 [kj/km]. Fuel tank capacity: 1292 [kWh]. Maximum passenger capacity: 55 [unit]. Number of passengers onboard: 21 [unit]. Curb mass (excl. driver and cargo): 13074 [kg]. Driving mass (incl. driver and cargo): 15006 [kg].</t>
  </si>
  <si>
    <t>description</t>
  </si>
  <si>
    <t>Cradle-to-grave life cycle inventory of a heavy duty truck over its lifetime. carculator_bus is a open-source parametrized truck model that produces life cycle inventories for any desired set of parameters value (lifetime, load factor, power, battery size, fuel blend, etc.): to produce your own inventories, go to https://github.com/romainsacchi/carculator_bus or contact carculator@psi.ch.</t>
  </si>
  <si>
    <t>fuel tank, for diesel vehicle</t>
  </si>
  <si>
    <t>fuel tank</t>
  </si>
  <si>
    <t>compressed gas, burned in single deck coach or urban bus</t>
  </si>
  <si>
    <t>Combustion engine power: 295 [kW]. Power share from combustion engine: 100 [%]. Km over lifetime: 700000 [km]. Yearly mileage: 50000 [km/year]. Daily distance driven: 511 [km]. Daily operating time: 9 [hours]. Tank-to-wheel efficiency: 19 [%]. Tank-to-wheel energy consumption: 11529 [kj/km]. Fuel tank capacity: 1636 [kWh]. Maximum passenger capacity: 55 [unit]. Number of passengers onboard: 21 [unit]. Curb mass (excl. driver and cargo): 13440 [kg]. Driving mass (incl. driver and cargo): 15372 [kg].</t>
  </si>
  <si>
    <t>source</t>
  </si>
  <si>
    <t>Sacchi, R., Bauer, C., and Cox, B. Does size matter? The influence of size, load factor, range autonomy and application type on the Life Cycle Assessment of current and future trucks. 2021. Environmental Science and Technology.</t>
  </si>
  <si>
    <t>fuel tank assembly, compressed natural gas, 200 bar</t>
  </si>
  <si>
    <t>fuel tank, compressed natural gas, 200 bar</t>
  </si>
  <si>
    <t>electricity, used in single deck coach or urban bus</t>
  </si>
  <si>
    <t>Electric motor power: 161 [kW]. Km over lifetime: 700000 [km]. Yearly mileage: 50000 [km/year]. Daily distance driven: 156 [km]. Daily operating time: 6 [hours]. Tank-to-wheel efficiency: 75 [%]. Tank-to-wheel energy consumption: 6132 [kj/km]. Battery capacity: 399 [kWh]. Mass of battery: 2853 [kg]. Maximum passenger capacity: 64 [unit]. Number of passengers onboard: 10 [unit]. Curb mass (excl. driver and cargo): 14070 [kg]. Driving mass (incl. driver and cargo): 14990 [kg].</t>
  </si>
  <si>
    <t>EV charger, level 3, plugin, 200 kW</t>
  </si>
  <si>
    <t/>
  </si>
  <si>
    <t>Level 2 charger for BEV. From https://doi.org/10.1016/S0306-2619(01)00032-0. Used for overnight charging. Can charge a regular passenger car in 3 hours. Assumed lifetime of 24 years. We upscale it to a 100 kW Level-3 charger by upscaling the charger component given a mass of 1290 kg given by AAB's 100 kW bus charger.</t>
  </si>
  <si>
    <t>https://doi.org/10.1016/S0306-2619(01)00032-0</t>
  </si>
  <si>
    <t>special remark</t>
  </si>
  <si>
    <t>tag</t>
  </si>
  <si>
    <t>lci-buses</t>
  </si>
  <si>
    <t>other</t>
  </si>
  <si>
    <t>Charger</t>
  </si>
  <si>
    <t>Charging stand</t>
  </si>
  <si>
    <t>Storage battery</t>
  </si>
  <si>
    <t>hydrogen, used in single deck coach or urban bus</t>
  </si>
  <si>
    <t>Electric motor power: 187 [kW]. Km over lifetime: 700000 [km]. Yearly mileage: 50000 [km/year]. Daily distance driven: 511 [km]. Daily operating time: 9 [hours]. Tank-to-wheel efficiency: 40 [%]. Tank-to-wheel energy consumption: 6323 [kj/km]. Fuel cell system efficiency: 47 [%]. Battery capacity: 80 [kWh]. Fuel tank capacity: 897 [kWh]. Mass of battery: 808 [kg]. Maximum passenger capacity: 55 [unit]. Number of passengers onboard: 21 [unit]. Curb mass (excl. driver and cargo): 13392 [kg]. Driving mass (incl. driver and cargo): 15324 [kg].</t>
  </si>
  <si>
    <t>Passenger bus, fuel cell electric, 13m single deck coach bus, 2020</t>
  </si>
  <si>
    <t>electricity, used in single deck trolleybus</t>
  </si>
  <si>
    <t>Electric motor power: 162 [kW]. Km over lifetime: 1000000 [km]. Yearly mileage: 50000 [km/year]. Daily distance driven: 312 [km]. Daily operating time: 12 [hours]. Tank-to-wheel efficiency: 74 [%]. Tank-to-wheel energy consumption: 5699 [kj/km]. Battery capacity: 66 [kWh]. Mass of battery: 1274 [kg]. Maximum passenger capacity: 64 [unit]. Number of passengers onboard: 10 [unit]. Curb mass (excl. driver and cargo): 12492 [kg]. Driving mass (incl. driver and cargo): 13412 [kg].</t>
  </si>
  <si>
    <t>market for battery capacity, Li-ion, LTO</t>
  </si>
  <si>
    <t>electricity, used in tram</t>
  </si>
  <si>
    <t>transport, tram</t>
  </si>
  <si>
    <t>person kilometer</t>
  </si>
  <si>
    <t>electricity, used in battery electric motorcycle</t>
  </si>
  <si>
    <t>Sacchi R., Bauer C. Life cycle inventories for on-road vehicles. Paul Scherrer Institut, 2021.</t>
  </si>
  <si>
    <t>Power: 14 kW. Lifetime: 38500 km. Annual kilometers: 2405 km. Number of passengers: 1.1. Curb mass: 165.7 kg. Lightweighting of glider: 0%. Emission standard: None. Service visits throughout lifetime: 1.5. Range: 95 km. Battery capacity: 8.1 kWh. Available battery capacity: 6.48 kWh. Battery mass: 52.7 kg. Battery replacement throughout lifetime: 1. Fuel tank capacity: 0 kWh. Fuel mass: 0 kg. Origin of manufacture: China. Shipping distance: 15900 km. Lorry distribution distance: 1000 km. Documentation: Life-cycle inventories for on-road vehicles, Sacchi R. (PSI), Bauer C. (PSI), 2021. process</t>
  </si>
  <si>
    <t>charging station, 3kW</t>
  </si>
  <si>
    <t>Charging station per vehicle [unit]</t>
  </si>
  <si>
    <t>hydrogen, used in hydrogen motorcycle</t>
  </si>
  <si>
    <t>Assumed 10 times smaller than that of a car</t>
  </si>
  <si>
    <t>petrol, burned in motorcycle</t>
  </si>
  <si>
    <t>market for petrol, low-sulfur</t>
  </si>
  <si>
    <t>Carbon dioxide, from soil or biomass stock</t>
  </si>
  <si>
    <t>Particulates, &lt; 2.5 um</t>
  </si>
  <si>
    <t>NMVOC, non-methane volatile organic compounds, unspecified origin</t>
  </si>
  <si>
    <t>Cyclohexane</t>
  </si>
  <si>
    <t>Ethene</t>
  </si>
  <si>
    <t>Arsenic</t>
  </si>
  <si>
    <t>Selenium</t>
  </si>
  <si>
    <t>Zinc</t>
  </si>
  <si>
    <t>Copper</t>
  </si>
  <si>
    <t>Nickel</t>
  </si>
  <si>
    <t>Chromium</t>
  </si>
  <si>
    <t>Mercury</t>
  </si>
  <si>
    <t>Cadmium</t>
  </si>
  <si>
    <t>diesel, burned in heavy duty vehicle</t>
  </si>
  <si>
    <t>Cradle-to-grave life cycle inventory of a heavy duty truck over its lifetime.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</si>
  <si>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 xml:space="preserve">Combustion engine power: 411 [kW]. Power share from combustion engine: 100 [%]. Km over lifetime: 710000 [km]. Yearly mileage: 60000 [km/year]. Autonomy on a full tank/battery: 150 [km]. Tank-to-wheel efficiency: 27 [%]. Tank-to-wheel energy consumption: 14984 [kj/km]. Fuel tank capacity: 624 [kWh]. Available payload: 25241 [kg]. Payload: 8755 [kg]. Load factor: 34 [%]. Curb mass (excl. driver and cargo): 14683 [kg]. Driving mass (incl. driver and cargo): 23513 [kg]. </t>
  </si>
  <si>
    <t>Ethane, 1,1,1,2-tetrafluoro-, HFC-134a</t>
  </si>
  <si>
    <t>Hydrocarbons, chlorinated</t>
  </si>
  <si>
    <t>electricity, used in heavy duty vehicle</t>
  </si>
  <si>
    <t xml:space="preserve">Electric motor power: 486 [kW]. Km over lifetime: 1000000 [km]. Yearly mileage: 60000 [km/year]. Autonomy on a full tank/battery: 150 [km]. Tank-to-wheel efficiency: 72 [%]. Tank-to-wheel energy consumption: 5447 [kj/km]. Battery capacity: 283 [kWh]. Mass of battery: 2364 [kg]. Available payload: 23696 [kg]. Payload: 8755 [kg]. Load factor: 36 [%]. Curb mass (excl. driver and cargo): 16228 [kg]. Driving mass (incl. driver and cargo): 25058 [kg]. </t>
  </si>
  <si>
    <t>hydrogen, used in heavy duty vehicle</t>
  </si>
  <si>
    <t xml:space="preserve">Electric motor power: 287 [kW]. Km over lifetime: 1000000 [km]. Yearly mileage: 60000 [km/year]. Autonomy on a full tank/battery: 150 [km]. Tank-to-wheel efficiency: 34 [%]. Tank-to-wheel energy consumption: 10954 [kj/km]. Fuel cell system efficiency: 46 [%]. Battery capacity: 47 [kWh]. Fuel tank capacity: 456 [kWh]. Mass of battery: 473 [kg]. Available payload: 25541 [kg]. Payload: 8755 [kg]. Load factor: 34 [%]. Curb mass (excl. driver and cargo): 14383 [kg]. Driving mass (incl. driver and cargo): 23213 [kg]. </t>
  </si>
  <si>
    <t>compressed gas, burned in heavy duty vehicle</t>
  </si>
  <si>
    <t xml:space="preserve">Combustion engine power: 416 [kW]. Power share from combustion engine: 100 [%]. Km over lifetime: 1000000 [km]. Yearly mileage: 60000 [km/year]. Autonomy on a full tank/battery: 150 [km]. Tank-to-wheel efficiency: 25 [%]. Tank-to-wheel energy consumption: 16709 [kj/km]. Fuel tank capacity: 696 [kWh]. Available payload: 25040 [kg]. Payload: 8755 [kg]. Load factor: 34 [%]. Curb mass (excl. driver and cargo): 14884 [kg]. Driving mass (incl. driver and cargo): 23714 [kg]. </t>
  </si>
  <si>
    <t>Europe without Swtzerland</t>
  </si>
  <si>
    <t>electricity, used in passenger train</t>
  </si>
  <si>
    <t>electricity, high voltage</t>
  </si>
  <si>
    <t>transport, passenger train</t>
  </si>
  <si>
    <t>transport, passenger train, regional</t>
  </si>
  <si>
    <t>biomethane, burned in single deck coach or urban bus</t>
  </si>
  <si>
    <t>biomethane, gaseous, 5 bar, from sewage sludge fermentation, at fuelling station</t>
  </si>
  <si>
    <t>biomethane, high pressure</t>
  </si>
  <si>
    <t>biodiesel, burned in single deck coach or urban bus</t>
  </si>
  <si>
    <t>biomethane, burned in passenger car</t>
  </si>
  <si>
    <t>bioethanol, burned in motorcycle</t>
  </si>
  <si>
    <t>market for ethanol, without water, in 99.7% solution state, from fermentation, vehicle grade</t>
  </si>
  <si>
    <t>ethanol, without water, in 99.7% solution state, from fermentation, vehicle grade</t>
  </si>
  <si>
    <t>natural gas, synthetic, burned in gas turbine</t>
  </si>
  <si>
    <t>gas turbine, 10MW electrical</t>
  </si>
  <si>
    <t>gas turbine construction, 10MW electrical</t>
  </si>
  <si>
    <t>Heat, waste</t>
  </si>
  <si>
    <t>Oxygen</t>
  </si>
  <si>
    <t>natural resource::in air</t>
  </si>
  <si>
    <t>methane, from electrochemical methanation, with carbon from atmosphere</t>
  </si>
  <si>
    <t>methane, from electrochemical methanation</t>
  </si>
  <si>
    <t>compressed gas, synthetic, burned in passenger car</t>
  </si>
  <si>
    <t>compressed gas, synthetic, burned in single deck coach or urban bus</t>
  </si>
  <si>
    <t>kilometer</t>
  </si>
  <si>
    <t>compressed gas, synthetic, burned in heavy duty vehicle</t>
  </si>
  <si>
    <t>synthetic natural gas</t>
  </si>
  <si>
    <t>biomethane, burned in heavy duty vehicle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</si>
</sst>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
    <numFmt numFmtId="166" formatCode="0.000000"/>
    <numFmt numFmtId="167" formatCode="0.0E+00"/>
  </numFmts>
  <fonts count="8" x14ac:knownFonts="1">
    <font>
      <sz val="12"/>
      <color theme="1"/>
      <name val="Calibri"/>
      <family val="2"/>
      <scheme val="minor"/>
    </font>
    <font>
      <b/>
      <sz val="12"/>
      <color theme="1"/>
      <name val="Calibri"/>
      <family val="2"/>
      <scheme val="minor"/>
    </font>
    <font>
      <sz val="11"/>
      <color theme="1"/>
      <name val="Calibri"/>
      <family val="2"/>
      <scheme val="minor"/>
    </font>
    <font>
      <sz val="12"/>
      <color theme="1"/>
      <name val="Calibri"/>
      <family val="2"/>
    </font>
    <font>
      <sz val="12"/>
      <color theme="1"/>
      <name val="Calibri"/>
      <family val="2"/>
      <scheme val="minor"/>
    </font>
    <font>
      <sz val="11"/>
      <color theme="1"/>
      <name val="Calibri"/>
      <family val="2"/>
    </font>
    <font>
      <sz val="12"/>
      <name val="Calibri (Body)"/>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6">
    <xf numFmtId="0" fontId="0" fillId="0" borderId="0" xfId="0"/>
    <xf numFmtId="0" fontId="1" fillId="0" borderId="0" xfId="0" applyFont="1"/>
    <xf numFmtId="0" fontId="2" fillId="0" borderId="0" xfId="0" applyFont="1"/>
    <xf numFmtId="11" fontId="0" fillId="0" borderId="0" xfId="0" applyNumberFormat="1"/>
    <xf numFmtId="0" fontId="3" fillId="0" borderId="0" xfId="0" applyFont="1"/>
    <xf numFmtId="11" fontId="3" fillId="0" borderId="0" xfId="0" applyNumberFormat="1" applyFont="1" applyAlignment="1">
      <alignment horizontal="left"/>
    </xf>
    <xf numFmtId="164" fontId="3" fillId="0" borderId="0" xfId="0" applyNumberFormat="1" applyFont="1"/>
    <xf numFmtId="11" fontId="3" fillId="0" borderId="0" xfId="0" applyNumberFormat="1" applyFont="1"/>
    <xf numFmtId="165" fontId="3" fillId="0" borderId="0" xfId="0" applyNumberFormat="1" applyFont="1" applyAlignment="1">
      <alignment horizontal="left"/>
    </xf>
    <xf numFmtId="11" fontId="3" fillId="0" borderId="0" xfId="0" applyNumberFormat="1" applyFont="1" applyAlignment="1">
      <alignment horizontal="right"/>
    </xf>
    <xf numFmtId="165" fontId="0" fillId="0" borderId="0" xfId="0" applyNumberFormat="1"/>
    <xf numFmtId="166" fontId="0" fillId="0" borderId="0" xfId="0" applyNumberFormat="1"/>
    <xf numFmtId="1" fontId="0" fillId="0" borderId="0" xfId="0" applyNumberFormat="1"/>
    <xf numFmtId="0" fontId="5" fillId="0" borderId="0" xfId="0" applyFont="1"/>
    <xf numFmtId="165" fontId="3" fillId="0" borderId="0" xfId="0" applyNumberFormat="1" applyFont="1" applyAlignment="1">
      <alignment horizontal="right"/>
    </xf>
    <xf numFmtId="11" fontId="2" fillId="0" borderId="0" xfId="0" applyNumberFormat="1" applyFont="1"/>
    <xf numFmtId="2" fontId="0" fillId="0" borderId="0" xfId="0" applyNumberFormat="1"/>
    <xf numFmtId="0" fontId="6" fillId="0" borderId="0" xfId="0" applyFont="1"/>
    <xf numFmtId="0" fontId="0" fillId="0" borderId="0" xfId="0" applyAlignment="1">
      <alignment horizontal="right"/>
    </xf>
    <xf numFmtId="11" fontId="0" fillId="0" borderId="0" xfId="0" applyNumberFormat="1" applyAlignment="1">
      <alignment horizontal="right"/>
    </xf>
    <xf numFmtId="0" fontId="7" fillId="0" borderId="0" xfId="0" applyFont="1"/>
    <xf numFmtId="11" fontId="7" fillId="0" borderId="0" xfId="0" applyNumberFormat="1" applyFont="1"/>
    <xf numFmtId="167" fontId="3" fillId="0" borderId="0" xfId="0" applyNumberFormat="1" applyFont="1" applyAlignment="1">
      <alignment horizontal="right"/>
    </xf>
    <xf numFmtId="167" fontId="3" fillId="0" borderId="0" xfId="0" applyNumberFormat="1" applyFont="1"/>
    <xf numFmtId="167" fontId="0" fillId="0" borderId="0" xfId="0" applyNumberFormat="1" applyAlignment="1">
      <alignment horizontal="right"/>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C42E2-D17A-554B-A2D9-4F73B84316EE}">
  <dimension ref="A1:O1524"/>
  <sheetViews>
    <sheetView tabSelected="1" topLeftCell="A934" workbookViewId="0">
      <selection activeCell="A960" sqref="A960"/>
    </sheetView>
  </sheetViews>
  <sheetFormatPr baseColWidth="10" defaultRowHeight="16" x14ac:dyDescent="0.2"/>
  <cols>
    <col min="1" max="1" width="61.6640625" customWidth="1"/>
  </cols>
  <sheetData>
    <row r="1" spans="1:12" x14ac:dyDescent="0.2">
      <c r="A1" t="s">
        <v>0</v>
      </c>
      <c r="B1" t="s">
        <v>1</v>
      </c>
    </row>
    <row r="3" spans="1:12" x14ac:dyDescent="0.2">
      <c r="A3" s="1" t="s">
        <v>2</v>
      </c>
      <c r="B3" s="1" t="s">
        <v>16</v>
      </c>
      <c r="C3" s="2"/>
      <c r="D3" s="2"/>
      <c r="E3" s="2"/>
      <c r="F3" s="2"/>
      <c r="G3" s="2"/>
      <c r="H3" s="2"/>
    </row>
    <row r="4" spans="1:12" x14ac:dyDescent="0.2">
      <c r="A4" s="2" t="s">
        <v>3</v>
      </c>
      <c r="B4" s="2" t="s">
        <v>18</v>
      </c>
      <c r="C4" s="2"/>
      <c r="D4" s="2"/>
      <c r="E4" s="2"/>
      <c r="F4" s="2"/>
      <c r="G4" s="2"/>
      <c r="H4" s="2"/>
      <c r="I4" s="2"/>
      <c r="J4" s="2"/>
      <c r="K4" s="2"/>
      <c r="L4" s="2"/>
    </row>
    <row r="5" spans="1:12" x14ac:dyDescent="0.2">
      <c r="A5" s="2" t="s">
        <v>4</v>
      </c>
      <c r="B5" s="2">
        <v>1</v>
      </c>
      <c r="C5" s="2"/>
      <c r="D5" s="2"/>
      <c r="E5" s="2"/>
      <c r="F5" s="2"/>
      <c r="G5" s="2"/>
      <c r="H5" s="2"/>
      <c r="I5" s="2"/>
      <c r="J5" s="2"/>
      <c r="K5" s="2"/>
      <c r="L5" s="2"/>
    </row>
    <row r="6" spans="1:12" x14ac:dyDescent="0.2">
      <c r="A6" s="2" t="s">
        <v>5</v>
      </c>
      <c r="B6" s="2" t="s">
        <v>1</v>
      </c>
      <c r="C6" s="2"/>
      <c r="D6" s="2"/>
      <c r="E6" s="2"/>
      <c r="F6" s="2"/>
      <c r="G6" s="2"/>
      <c r="H6" s="2"/>
      <c r="I6" s="2"/>
      <c r="J6" s="2"/>
    </row>
    <row r="7" spans="1:12" x14ac:dyDescent="0.2">
      <c r="A7" s="2" t="s">
        <v>6</v>
      </c>
      <c r="B7" s="2" t="s">
        <v>7</v>
      </c>
      <c r="C7" s="2"/>
      <c r="D7" s="2"/>
      <c r="E7" s="2"/>
      <c r="F7" s="2"/>
      <c r="G7" s="2"/>
      <c r="H7" s="2"/>
      <c r="I7" s="2"/>
      <c r="J7" s="2"/>
      <c r="K7" s="2"/>
      <c r="L7" s="2"/>
    </row>
    <row r="8" spans="1:12" x14ac:dyDescent="0.2">
      <c r="A8" s="2" t="s">
        <v>8</v>
      </c>
      <c r="B8" s="2" t="s">
        <v>17</v>
      </c>
      <c r="C8" s="2"/>
      <c r="D8" s="2"/>
      <c r="E8" s="2"/>
      <c r="F8" s="2"/>
      <c r="G8" s="2"/>
      <c r="H8" s="2"/>
      <c r="I8" s="2"/>
      <c r="J8" s="2"/>
      <c r="K8" s="2"/>
      <c r="L8" s="2"/>
    </row>
    <row r="9" spans="1:12" x14ac:dyDescent="0.2">
      <c r="A9" s="1" t="s">
        <v>10</v>
      </c>
      <c r="B9" s="2"/>
      <c r="C9" s="2"/>
      <c r="D9" s="2"/>
      <c r="E9" s="2"/>
      <c r="F9" s="2"/>
      <c r="G9" s="2"/>
      <c r="H9" s="2"/>
      <c r="I9" s="2"/>
      <c r="J9" s="2"/>
      <c r="K9" s="2"/>
      <c r="L9" s="2"/>
    </row>
    <row r="10" spans="1:12" x14ac:dyDescent="0.2">
      <c r="A10" s="2" t="s">
        <v>11</v>
      </c>
      <c r="B10" s="2" t="s">
        <v>12</v>
      </c>
      <c r="C10" s="2" t="s">
        <v>3</v>
      </c>
      <c r="D10" s="2" t="s">
        <v>8</v>
      </c>
      <c r="E10" s="2" t="s">
        <v>13</v>
      </c>
      <c r="F10" s="2" t="s">
        <v>6</v>
      </c>
      <c r="G10" s="2" t="s">
        <v>5</v>
      </c>
      <c r="H10" s="2"/>
      <c r="I10" s="2"/>
      <c r="J10" s="2"/>
      <c r="K10" s="2"/>
    </row>
    <row r="11" spans="1:12" x14ac:dyDescent="0.2">
      <c r="A11" s="2" t="str">
        <f>B3</f>
        <v>soft wood chips from forest, burned in furnace 1000kW</v>
      </c>
      <c r="B11" s="2">
        <v>1</v>
      </c>
      <c r="C11" s="2" t="str">
        <f>B4</f>
        <v>RER</v>
      </c>
      <c r="D11" s="2" t="str">
        <f>B8</f>
        <v>megajoule</v>
      </c>
      <c r="E11" s="2"/>
      <c r="F11" s="2" t="s">
        <v>19</v>
      </c>
      <c r="G11" s="2" t="str">
        <f>B6</f>
        <v>heat</v>
      </c>
      <c r="H11" s="2"/>
      <c r="I11" s="2"/>
      <c r="J11" s="2"/>
      <c r="K11" s="2"/>
      <c r="L11" s="2"/>
    </row>
    <row r="12" spans="1:12" x14ac:dyDescent="0.2">
      <c r="A12" s="2" t="s">
        <v>20</v>
      </c>
      <c r="B12">
        <f>1/(0.069808*19.1)</f>
        <v>0.75000030000011997</v>
      </c>
      <c r="C12" t="s">
        <v>22</v>
      </c>
      <c r="D12" t="s">
        <v>17</v>
      </c>
      <c r="F12" t="s">
        <v>23</v>
      </c>
      <c r="G12" t="s">
        <v>21</v>
      </c>
    </row>
    <row r="14" spans="1:12" x14ac:dyDescent="0.2">
      <c r="A14" s="1" t="s">
        <v>2</v>
      </c>
      <c r="B14" s="1" t="s">
        <v>166</v>
      </c>
      <c r="C14" s="2"/>
      <c r="D14" s="2"/>
      <c r="E14" s="2"/>
      <c r="F14" s="2"/>
      <c r="H14" s="2"/>
    </row>
    <row r="15" spans="1:12" x14ac:dyDescent="0.2">
      <c r="A15" s="2" t="s">
        <v>3</v>
      </c>
      <c r="B15" s="2" t="s">
        <v>22</v>
      </c>
      <c r="C15" s="2"/>
      <c r="D15" s="2"/>
      <c r="E15" s="2"/>
      <c r="F15" s="2"/>
      <c r="H15" s="2"/>
      <c r="I15" s="2"/>
      <c r="J15" s="2"/>
      <c r="K15" s="2"/>
      <c r="L15" s="2"/>
    </row>
    <row r="16" spans="1:12" x14ac:dyDescent="0.2">
      <c r="A16" s="2" t="s">
        <v>4</v>
      </c>
      <c r="B16" s="2">
        <v>1</v>
      </c>
      <c r="C16" s="2"/>
      <c r="D16" s="2"/>
      <c r="E16" s="2"/>
      <c r="F16" s="2"/>
      <c r="H16" s="2"/>
      <c r="I16" s="2"/>
      <c r="J16" s="2"/>
      <c r="K16" s="2"/>
      <c r="L16" s="2"/>
    </row>
    <row r="17" spans="1:15" x14ac:dyDescent="0.2">
      <c r="A17" s="2" t="s">
        <v>5</v>
      </c>
      <c r="B17" s="2" t="s">
        <v>1</v>
      </c>
      <c r="C17" s="2"/>
      <c r="D17" s="2"/>
      <c r="E17" s="2"/>
      <c r="F17" s="2"/>
      <c r="H17" s="2"/>
      <c r="I17" s="2"/>
      <c r="J17" s="2"/>
    </row>
    <row r="18" spans="1:15" x14ac:dyDescent="0.2">
      <c r="A18" s="2" t="s">
        <v>6</v>
      </c>
      <c r="B18" s="2" t="s">
        <v>7</v>
      </c>
      <c r="C18" s="2"/>
      <c r="D18" s="2"/>
      <c r="E18" s="2"/>
      <c r="F18" s="2"/>
      <c r="H18" s="2"/>
      <c r="I18" s="2"/>
      <c r="J18" s="2"/>
      <c r="K18" s="2"/>
      <c r="L18" s="2"/>
    </row>
    <row r="19" spans="1:15" x14ac:dyDescent="0.2">
      <c r="A19" s="2" t="s">
        <v>8</v>
      </c>
      <c r="B19" s="2" t="s">
        <v>17</v>
      </c>
      <c r="C19" s="2"/>
      <c r="D19" s="2"/>
      <c r="E19" s="2"/>
      <c r="F19" s="2"/>
      <c r="H19" s="2"/>
      <c r="I19" s="2"/>
      <c r="J19" s="2"/>
      <c r="K19" s="2"/>
      <c r="L19" s="2"/>
    </row>
    <row r="20" spans="1:15" x14ac:dyDescent="0.2">
      <c r="A20" s="1" t="s">
        <v>10</v>
      </c>
      <c r="B20" s="2"/>
      <c r="C20" s="2"/>
      <c r="D20" s="2"/>
      <c r="E20" s="2"/>
      <c r="F20" s="2"/>
      <c r="H20" s="2"/>
      <c r="I20" s="2"/>
      <c r="J20" s="2"/>
      <c r="K20" s="2"/>
      <c r="L20" s="2"/>
    </row>
    <row r="21" spans="1:15" x14ac:dyDescent="0.2">
      <c r="A21" s="2" t="s">
        <v>11</v>
      </c>
      <c r="B21" s="2" t="s">
        <v>12</v>
      </c>
      <c r="C21" s="2" t="s">
        <v>3</v>
      </c>
      <c r="D21" s="2" t="s">
        <v>8</v>
      </c>
      <c r="E21" s="2" t="s">
        <v>13</v>
      </c>
      <c r="F21" s="2" t="s">
        <v>6</v>
      </c>
      <c r="G21" s="13" t="s">
        <v>157</v>
      </c>
      <c r="H21" s="2" t="s">
        <v>5</v>
      </c>
      <c r="I21" s="2"/>
      <c r="J21" s="2"/>
      <c r="K21" s="2"/>
    </row>
    <row r="22" spans="1:15" x14ac:dyDescent="0.2">
      <c r="A22" s="2" t="str">
        <f>B14</f>
        <v>hydrogen burned, in residential boiler</v>
      </c>
      <c r="B22" s="2">
        <v>1</v>
      </c>
      <c r="C22" s="2" t="str">
        <f>B15</f>
        <v>CH</v>
      </c>
      <c r="D22" s="2" t="str">
        <f>B19</f>
        <v>megajoule</v>
      </c>
      <c r="E22" s="2"/>
      <c r="F22" s="2" t="s">
        <v>19</v>
      </c>
      <c r="H22" s="2" t="str">
        <f>B17</f>
        <v>heat</v>
      </c>
      <c r="I22" s="2"/>
      <c r="J22" s="2"/>
      <c r="K22" s="2"/>
      <c r="L22" s="2"/>
    </row>
    <row r="23" spans="1:15" x14ac:dyDescent="0.2">
      <c r="A23" t="s">
        <v>158</v>
      </c>
      <c r="B23" s="3">
        <v>4.4004494642869032E-7</v>
      </c>
      <c r="C23" t="s">
        <v>115</v>
      </c>
      <c r="D23" t="s">
        <v>8</v>
      </c>
      <c r="F23" t="s">
        <v>23</v>
      </c>
      <c r="H23" t="s">
        <v>159</v>
      </c>
    </row>
    <row r="24" spans="1:15" x14ac:dyDescent="0.2">
      <c r="A24" t="s">
        <v>160</v>
      </c>
      <c r="B24" s="3">
        <v>8.8008989285738064E-7</v>
      </c>
      <c r="C24" t="s">
        <v>115</v>
      </c>
      <c r="D24" t="s">
        <v>161</v>
      </c>
      <c r="F24" t="s">
        <v>23</v>
      </c>
      <c r="H24" t="s">
        <v>162</v>
      </c>
    </row>
    <row r="25" spans="1:15" x14ac:dyDescent="0.2">
      <c r="A25" t="s">
        <v>163</v>
      </c>
      <c r="B25">
        <v>8.1068656716417958E-4</v>
      </c>
      <c r="C25" t="s">
        <v>22</v>
      </c>
      <c r="D25" t="s">
        <v>146</v>
      </c>
      <c r="F25" t="s">
        <v>23</v>
      </c>
      <c r="H25" t="s">
        <v>147</v>
      </c>
    </row>
    <row r="26" spans="1:15" s="4" customFormat="1" x14ac:dyDescent="0.2">
      <c r="A26" s="2" t="s">
        <v>164</v>
      </c>
      <c r="B26" s="14">
        <f>1/120</f>
        <v>8.3333333333333332E-3</v>
      </c>
      <c r="C26" s="4" t="s">
        <v>18</v>
      </c>
      <c r="D26" s="4" t="s">
        <v>9</v>
      </c>
      <c r="F26" s="4" t="s">
        <v>23</v>
      </c>
      <c r="H26" s="2" t="s">
        <v>165</v>
      </c>
      <c r="K26" s="7"/>
      <c r="L26"/>
      <c r="M26"/>
      <c r="O26" s="6"/>
    </row>
    <row r="27" spans="1:15" x14ac:dyDescent="0.2">
      <c r="A27" s="2" t="s">
        <v>99</v>
      </c>
      <c r="B27" s="15">
        <v>7.4626865671641873E-5</v>
      </c>
      <c r="C27" s="2"/>
      <c r="D27" s="2" t="s">
        <v>95</v>
      </c>
      <c r="E27" s="2" t="s">
        <v>118</v>
      </c>
      <c r="F27" t="s">
        <v>15</v>
      </c>
      <c r="H27" s="2"/>
      <c r="I27" s="2"/>
      <c r="J27" s="2"/>
      <c r="K27" s="2"/>
      <c r="L27" s="2"/>
    </row>
    <row r="28" spans="1:15" x14ac:dyDescent="0.2">
      <c r="A28" s="2" t="s">
        <v>70</v>
      </c>
      <c r="B28" s="15">
        <v>7.669983416252073E-6</v>
      </c>
      <c r="C28" s="2"/>
      <c r="D28" s="2" t="s">
        <v>9</v>
      </c>
      <c r="E28" s="2" t="s">
        <v>118</v>
      </c>
      <c r="F28" t="s">
        <v>15</v>
      </c>
      <c r="H28" s="2"/>
      <c r="I28" s="2"/>
      <c r="J28" s="2"/>
      <c r="K28" s="2"/>
      <c r="L28" s="2"/>
    </row>
    <row r="29" spans="1:15" x14ac:dyDescent="0.2">
      <c r="A29" s="2" t="s">
        <v>120</v>
      </c>
      <c r="B29" s="15">
        <v>4.1459369817577878E-5</v>
      </c>
      <c r="C29" s="2"/>
      <c r="D29" s="2" t="s">
        <v>9</v>
      </c>
      <c r="E29" s="2" t="s">
        <v>118</v>
      </c>
      <c r="F29" t="s">
        <v>15</v>
      </c>
      <c r="H29" s="2"/>
      <c r="I29" s="2"/>
      <c r="J29" s="2"/>
    </row>
    <row r="30" spans="1:15" x14ac:dyDescent="0.2">
      <c r="A30" s="2"/>
      <c r="B30" s="2"/>
      <c r="C30" s="2"/>
      <c r="D30" s="2"/>
      <c r="E30" s="2"/>
      <c r="F30" s="2"/>
      <c r="H30" s="2"/>
      <c r="I30" s="2"/>
      <c r="J30" s="2"/>
      <c r="K30" s="2"/>
      <c r="L30" s="2"/>
    </row>
    <row r="31" spans="1:15" x14ac:dyDescent="0.2">
      <c r="A31" s="1" t="s">
        <v>2</v>
      </c>
      <c r="B31" s="1" t="s">
        <v>167</v>
      </c>
      <c r="C31" s="2"/>
      <c r="D31" s="2"/>
      <c r="E31" s="2"/>
      <c r="F31" s="2"/>
      <c r="H31" s="2"/>
    </row>
    <row r="32" spans="1:15" x14ac:dyDescent="0.2">
      <c r="A32" s="2" t="s">
        <v>3</v>
      </c>
      <c r="B32" s="2" t="s">
        <v>18</v>
      </c>
      <c r="C32" s="2"/>
      <c r="D32" s="2"/>
      <c r="E32" s="2"/>
      <c r="F32" s="2"/>
      <c r="H32" s="2"/>
      <c r="I32" s="2"/>
      <c r="J32" s="2"/>
      <c r="K32" s="2"/>
      <c r="L32" s="2"/>
    </row>
    <row r="33" spans="1:12" x14ac:dyDescent="0.2">
      <c r="A33" s="2" t="s">
        <v>4</v>
      </c>
      <c r="B33" s="2">
        <v>1</v>
      </c>
      <c r="C33" s="2"/>
      <c r="D33" s="2"/>
      <c r="E33" s="2"/>
      <c r="F33" s="2"/>
      <c r="H33" s="2"/>
      <c r="I33" s="2"/>
      <c r="J33" s="2"/>
      <c r="K33" s="2"/>
      <c r="L33" s="2"/>
    </row>
    <row r="34" spans="1:12" x14ac:dyDescent="0.2">
      <c r="A34" s="2" t="s">
        <v>5</v>
      </c>
      <c r="B34" s="2" t="s">
        <v>1</v>
      </c>
      <c r="C34" s="2"/>
      <c r="D34" s="2"/>
      <c r="E34" s="2"/>
      <c r="F34" s="2"/>
      <c r="H34" s="2"/>
      <c r="I34" s="2"/>
      <c r="J34" s="2"/>
    </row>
    <row r="35" spans="1:12" x14ac:dyDescent="0.2">
      <c r="A35" s="2" t="s">
        <v>6</v>
      </c>
      <c r="B35" s="2" t="s">
        <v>7</v>
      </c>
      <c r="C35" s="2"/>
      <c r="D35" s="2"/>
      <c r="E35" s="2"/>
      <c r="F35" s="2"/>
      <c r="H35" s="2"/>
      <c r="I35" s="2"/>
      <c r="J35" s="2"/>
      <c r="K35" s="2"/>
      <c r="L35" s="2"/>
    </row>
    <row r="36" spans="1:12" x14ac:dyDescent="0.2">
      <c r="A36" s="2" t="s">
        <v>8</v>
      </c>
      <c r="B36" s="2" t="s">
        <v>17</v>
      </c>
      <c r="C36" s="2"/>
      <c r="D36" s="2"/>
      <c r="E36" s="2"/>
      <c r="F36" s="2"/>
      <c r="H36" s="2"/>
      <c r="I36" s="2"/>
      <c r="J36" s="2"/>
      <c r="K36" s="2"/>
      <c r="L36" s="2"/>
    </row>
    <row r="37" spans="1:12" x14ac:dyDescent="0.2">
      <c r="A37" s="1" t="s">
        <v>10</v>
      </c>
      <c r="B37" s="2"/>
      <c r="C37" s="2"/>
      <c r="D37" s="2"/>
      <c r="E37" s="2"/>
      <c r="F37" s="2"/>
      <c r="H37" s="2"/>
      <c r="I37" s="2"/>
      <c r="J37" s="2"/>
      <c r="K37" s="2"/>
      <c r="L37" s="2"/>
    </row>
    <row r="38" spans="1:12" x14ac:dyDescent="0.2">
      <c r="A38" s="2" t="s">
        <v>11</v>
      </c>
      <c r="B38" s="2" t="s">
        <v>12</v>
      </c>
      <c r="C38" s="2" t="s">
        <v>3</v>
      </c>
      <c r="D38" s="2" t="s">
        <v>8</v>
      </c>
      <c r="E38" s="2" t="s">
        <v>13</v>
      </c>
      <c r="F38" s="2" t="s">
        <v>6</v>
      </c>
      <c r="G38" s="13" t="s">
        <v>157</v>
      </c>
      <c r="H38" s="2" t="s">
        <v>5</v>
      </c>
      <c r="I38" s="2"/>
      <c r="J38" s="2"/>
      <c r="K38" s="2"/>
    </row>
    <row r="39" spans="1:12" x14ac:dyDescent="0.2">
      <c r="A39" s="2" t="str">
        <f>B31</f>
        <v>natural gas, burned in residential natural gas boiler &lt;100kW</v>
      </c>
      <c r="B39" s="2">
        <v>1</v>
      </c>
      <c r="C39" s="2" t="str">
        <f>B32</f>
        <v>RER</v>
      </c>
      <c r="D39" s="2" t="str">
        <f>B36</f>
        <v>megajoule</v>
      </c>
      <c r="E39" s="2"/>
      <c r="F39" s="2" t="s">
        <v>19</v>
      </c>
      <c r="H39" s="2" t="str">
        <f>B34</f>
        <v>heat</v>
      </c>
      <c r="I39" s="2"/>
      <c r="J39" s="2"/>
      <c r="K39" s="2"/>
      <c r="L39" s="2"/>
    </row>
    <row r="40" spans="1:12" x14ac:dyDescent="0.2">
      <c r="A40" s="2" t="s">
        <v>168</v>
      </c>
      <c r="B40">
        <f>1/(0.025337607*36)</f>
        <v>1.0963062840850668</v>
      </c>
      <c r="C40" t="s">
        <v>27</v>
      </c>
      <c r="D40" t="s">
        <v>17</v>
      </c>
      <c r="F40" t="s">
        <v>23</v>
      </c>
      <c r="H40" t="s">
        <v>169</v>
      </c>
    </row>
    <row r="42" spans="1:12" x14ac:dyDescent="0.2">
      <c r="A42" s="1" t="s">
        <v>2</v>
      </c>
      <c r="B42" s="1" t="s">
        <v>170</v>
      </c>
      <c r="C42" s="2"/>
      <c r="D42" s="2"/>
      <c r="E42" s="2"/>
      <c r="F42" s="2"/>
      <c r="H42" s="2"/>
    </row>
    <row r="43" spans="1:12" x14ac:dyDescent="0.2">
      <c r="A43" s="2" t="s">
        <v>3</v>
      </c>
      <c r="B43" s="2" t="s">
        <v>18</v>
      </c>
      <c r="C43" s="2"/>
      <c r="D43" s="2"/>
      <c r="E43" s="2"/>
      <c r="F43" s="2"/>
      <c r="H43" s="2"/>
      <c r="I43" s="2"/>
      <c r="J43" s="2"/>
      <c r="K43" s="2"/>
      <c r="L43" s="2"/>
    </row>
    <row r="44" spans="1:12" x14ac:dyDescent="0.2">
      <c r="A44" s="2" t="s">
        <v>4</v>
      </c>
      <c r="B44" s="2">
        <v>1</v>
      </c>
      <c r="C44" s="2"/>
      <c r="D44" s="2"/>
      <c r="E44" s="2"/>
      <c r="F44" s="2"/>
      <c r="H44" s="2"/>
      <c r="I44" s="2"/>
      <c r="J44" s="2"/>
      <c r="K44" s="2"/>
      <c r="L44" s="2"/>
    </row>
    <row r="45" spans="1:12" x14ac:dyDescent="0.2">
      <c r="A45" s="2" t="s">
        <v>5</v>
      </c>
      <c r="B45" s="2" t="s">
        <v>1</v>
      </c>
      <c r="C45" s="2"/>
      <c r="D45" s="2"/>
      <c r="E45" s="2"/>
      <c r="F45" s="2"/>
      <c r="H45" s="2"/>
      <c r="I45" s="2"/>
      <c r="J45" s="2"/>
    </row>
    <row r="46" spans="1:12" x14ac:dyDescent="0.2">
      <c r="A46" s="2" t="s">
        <v>6</v>
      </c>
      <c r="B46" s="2" t="s">
        <v>7</v>
      </c>
      <c r="C46" s="2"/>
      <c r="D46" s="2"/>
      <c r="E46" s="2"/>
      <c r="F46" s="2"/>
      <c r="H46" s="2"/>
      <c r="I46" s="2"/>
      <c r="J46" s="2"/>
      <c r="K46" s="2"/>
      <c r="L46" s="2"/>
    </row>
    <row r="47" spans="1:12" x14ac:dyDescent="0.2">
      <c r="A47" s="2" t="s">
        <v>8</v>
      </c>
      <c r="B47" s="2" t="s">
        <v>17</v>
      </c>
      <c r="C47" s="2"/>
      <c r="D47" s="2"/>
      <c r="E47" s="2"/>
      <c r="F47" s="2"/>
      <c r="H47" s="2"/>
      <c r="I47" s="2"/>
      <c r="J47" s="2"/>
      <c r="K47" s="2"/>
      <c r="L47" s="2"/>
    </row>
    <row r="48" spans="1:12" x14ac:dyDescent="0.2">
      <c r="A48" s="1" t="s">
        <v>10</v>
      </c>
      <c r="B48" s="2"/>
      <c r="C48" s="2"/>
      <c r="D48" s="2"/>
      <c r="E48" s="2"/>
      <c r="F48" s="2"/>
      <c r="H48" s="2"/>
      <c r="I48" s="2"/>
      <c r="J48" s="2"/>
      <c r="K48" s="2"/>
      <c r="L48" s="2"/>
    </row>
    <row r="49" spans="1:12" x14ac:dyDescent="0.2">
      <c r="A49" s="2" t="s">
        <v>11</v>
      </c>
      <c r="B49" s="2" t="s">
        <v>12</v>
      </c>
      <c r="C49" s="2" t="s">
        <v>3</v>
      </c>
      <c r="D49" s="2" t="s">
        <v>8</v>
      </c>
      <c r="E49" s="2" t="s">
        <v>13</v>
      </c>
      <c r="F49" s="2" t="s">
        <v>6</v>
      </c>
      <c r="G49" s="13" t="s">
        <v>157</v>
      </c>
      <c r="H49" s="2" t="s">
        <v>5</v>
      </c>
      <c r="I49" s="2"/>
      <c r="J49" s="2"/>
      <c r="K49" s="2"/>
    </row>
    <row r="50" spans="1:12" x14ac:dyDescent="0.2">
      <c r="A50" s="2" t="str">
        <f>B42</f>
        <v>natural gas, synthetic, burned in residential natural gas boiler &lt;100kW</v>
      </c>
      <c r="B50" s="2">
        <v>1</v>
      </c>
      <c r="C50" s="2" t="s">
        <v>18</v>
      </c>
      <c r="D50" s="2" t="str">
        <f>B47</f>
        <v>megajoule</v>
      </c>
      <c r="E50" s="2"/>
      <c r="F50" s="2" t="s">
        <v>19</v>
      </c>
      <c r="H50" s="2" t="str">
        <f>B45</f>
        <v>heat</v>
      </c>
      <c r="I50" s="2"/>
      <c r="J50" s="2"/>
      <c r="K50" s="2"/>
      <c r="L50" s="2"/>
    </row>
    <row r="51" spans="1:12" x14ac:dyDescent="0.2">
      <c r="A51" s="2" t="s">
        <v>171</v>
      </c>
      <c r="B51">
        <f>1/(0.019025875*47.5)</f>
        <v>1.106526326854737</v>
      </c>
      <c r="C51" t="s">
        <v>18</v>
      </c>
      <c r="D51" t="s">
        <v>17</v>
      </c>
      <c r="F51" t="s">
        <v>23</v>
      </c>
      <c r="H51" t="s">
        <v>31</v>
      </c>
    </row>
    <row r="53" spans="1:12" x14ac:dyDescent="0.2">
      <c r="A53" s="1" t="s">
        <v>2</v>
      </c>
      <c r="B53" s="1" t="s">
        <v>172</v>
      </c>
      <c r="C53" s="2"/>
      <c r="D53" s="2"/>
      <c r="E53" s="2"/>
      <c r="F53" s="2"/>
      <c r="H53" s="2"/>
    </row>
    <row r="54" spans="1:12" x14ac:dyDescent="0.2">
      <c r="A54" s="2" t="s">
        <v>3</v>
      </c>
      <c r="B54" s="2" t="s">
        <v>18</v>
      </c>
      <c r="C54" s="2"/>
      <c r="D54" s="2"/>
      <c r="E54" s="2"/>
      <c r="F54" s="2"/>
      <c r="H54" s="2"/>
      <c r="I54" s="2"/>
      <c r="J54" s="2"/>
      <c r="K54" s="2"/>
      <c r="L54" s="2"/>
    </row>
    <row r="55" spans="1:12" x14ac:dyDescent="0.2">
      <c r="A55" s="2" t="s">
        <v>4</v>
      </c>
      <c r="B55" s="2">
        <v>1</v>
      </c>
      <c r="C55" s="2"/>
      <c r="D55" s="2"/>
      <c r="E55" s="2"/>
      <c r="F55" s="2"/>
      <c r="H55" s="2"/>
      <c r="I55" s="2"/>
      <c r="J55" s="2"/>
      <c r="K55" s="2"/>
      <c r="L55" s="2"/>
    </row>
    <row r="56" spans="1:12" x14ac:dyDescent="0.2">
      <c r="A56" s="2" t="s">
        <v>5</v>
      </c>
      <c r="B56" s="2" t="s">
        <v>1</v>
      </c>
      <c r="C56" s="2"/>
      <c r="D56" s="2"/>
      <c r="E56" s="2"/>
      <c r="F56" s="2"/>
      <c r="H56" s="2"/>
      <c r="I56" s="2"/>
      <c r="J56" s="2"/>
    </row>
    <row r="57" spans="1:12" x14ac:dyDescent="0.2">
      <c r="A57" s="2" t="s">
        <v>6</v>
      </c>
      <c r="B57" s="2" t="s">
        <v>7</v>
      </c>
      <c r="C57" s="2"/>
      <c r="D57" s="2"/>
      <c r="E57" s="2"/>
      <c r="F57" s="2"/>
      <c r="H57" s="2"/>
      <c r="I57" s="2"/>
      <c r="J57" s="2"/>
      <c r="K57" s="2"/>
      <c r="L57" s="2"/>
    </row>
    <row r="58" spans="1:12" x14ac:dyDescent="0.2">
      <c r="A58" s="2" t="s">
        <v>8</v>
      </c>
      <c r="B58" s="2" t="s">
        <v>17</v>
      </c>
      <c r="C58" s="2"/>
      <c r="D58" s="2"/>
      <c r="E58" s="2"/>
      <c r="F58" s="2"/>
      <c r="H58" s="2"/>
      <c r="I58" s="2"/>
      <c r="J58" s="2"/>
      <c r="K58" s="2"/>
      <c r="L58" s="2"/>
    </row>
    <row r="59" spans="1:12" x14ac:dyDescent="0.2">
      <c r="A59" s="1" t="s">
        <v>10</v>
      </c>
      <c r="B59" s="2"/>
      <c r="C59" s="2"/>
      <c r="D59" s="2"/>
      <c r="E59" s="2"/>
      <c r="F59" s="2"/>
      <c r="H59" s="2"/>
      <c r="I59" s="2"/>
      <c r="J59" s="2"/>
      <c r="K59" s="2"/>
      <c r="L59" s="2"/>
    </row>
    <row r="60" spans="1:12" x14ac:dyDescent="0.2">
      <c r="A60" s="2" t="s">
        <v>11</v>
      </c>
      <c r="B60" s="2" t="s">
        <v>12</v>
      </c>
      <c r="C60" s="2" t="s">
        <v>3</v>
      </c>
      <c r="D60" s="2" t="s">
        <v>8</v>
      </c>
      <c r="E60" s="2" t="s">
        <v>13</v>
      </c>
      <c r="F60" s="2" t="s">
        <v>6</v>
      </c>
      <c r="G60" s="13" t="s">
        <v>157</v>
      </c>
      <c r="H60" s="2" t="s">
        <v>5</v>
      </c>
      <c r="I60" s="2"/>
      <c r="J60" s="2"/>
      <c r="K60" s="2"/>
    </row>
    <row r="61" spans="1:12" x14ac:dyDescent="0.2">
      <c r="A61" s="2" t="str">
        <f>B53</f>
        <v>natural gas, coal-based, burned in residential natural gas boiler &lt;100kW</v>
      </c>
      <c r="B61" s="2">
        <v>1</v>
      </c>
      <c r="C61" s="2" t="s">
        <v>18</v>
      </c>
      <c r="D61" s="2" t="str">
        <f>B58</f>
        <v>megajoule</v>
      </c>
      <c r="E61" s="2"/>
      <c r="F61" s="2" t="s">
        <v>19</v>
      </c>
      <c r="H61" s="2" t="str">
        <f>B56</f>
        <v>heat</v>
      </c>
      <c r="I61" s="2"/>
      <c r="J61" s="2"/>
      <c r="K61" s="2"/>
      <c r="L61" s="2"/>
    </row>
    <row r="62" spans="1:12" x14ac:dyDescent="0.2">
      <c r="A62" s="2" t="s">
        <v>173</v>
      </c>
      <c r="B62">
        <f>1/(0.019025875*47.5)</f>
        <v>1.106526326854737</v>
      </c>
      <c r="C62" t="s">
        <v>18</v>
      </c>
      <c r="D62" t="s">
        <v>17</v>
      </c>
      <c r="F62" t="s">
        <v>23</v>
      </c>
      <c r="H62" t="s">
        <v>31</v>
      </c>
    </row>
    <row r="64" spans="1:12" x14ac:dyDescent="0.2">
      <c r="A64" s="1" t="s">
        <v>2</v>
      </c>
      <c r="B64" s="1" t="s">
        <v>182</v>
      </c>
      <c r="C64" s="2"/>
      <c r="D64" s="2"/>
      <c r="E64" s="2"/>
      <c r="F64" s="2"/>
      <c r="H64" s="2"/>
    </row>
    <row r="65" spans="1:12" x14ac:dyDescent="0.2">
      <c r="A65" s="2" t="s">
        <v>3</v>
      </c>
      <c r="B65" s="2" t="s">
        <v>18</v>
      </c>
      <c r="C65" s="2"/>
      <c r="D65" s="2"/>
      <c r="E65" s="2"/>
      <c r="F65" s="2"/>
      <c r="H65" s="2"/>
      <c r="I65" s="2"/>
      <c r="J65" s="2"/>
      <c r="K65" s="2"/>
      <c r="L65" s="2"/>
    </row>
    <row r="66" spans="1:12" x14ac:dyDescent="0.2">
      <c r="A66" s="2" t="s">
        <v>4</v>
      </c>
      <c r="B66" s="2">
        <v>1</v>
      </c>
      <c r="C66" s="2"/>
      <c r="D66" s="2"/>
      <c r="E66" s="2"/>
      <c r="F66" s="2"/>
      <c r="H66" s="2"/>
      <c r="I66" s="2"/>
      <c r="J66" s="2"/>
      <c r="K66" s="2"/>
      <c r="L66" s="2"/>
    </row>
    <row r="67" spans="1:12" x14ac:dyDescent="0.2">
      <c r="A67" s="2" t="s">
        <v>5</v>
      </c>
      <c r="B67" s="2" t="s">
        <v>1</v>
      </c>
      <c r="C67" s="2"/>
      <c r="D67" s="2"/>
      <c r="E67" s="2"/>
      <c r="F67" s="2"/>
      <c r="H67" s="2"/>
      <c r="I67" s="2"/>
      <c r="J67" s="2"/>
    </row>
    <row r="68" spans="1:12" x14ac:dyDescent="0.2">
      <c r="A68" s="2" t="s">
        <v>6</v>
      </c>
      <c r="B68" s="2" t="s">
        <v>7</v>
      </c>
      <c r="C68" s="2"/>
      <c r="D68" s="2"/>
      <c r="E68" s="2"/>
      <c r="F68" s="2"/>
      <c r="H68" s="2"/>
      <c r="I68" s="2"/>
      <c r="J68" s="2"/>
      <c r="K68" s="2"/>
      <c r="L68" s="2"/>
    </row>
    <row r="69" spans="1:12" x14ac:dyDescent="0.2">
      <c r="A69" s="2" t="s">
        <v>8</v>
      </c>
      <c r="B69" s="2" t="s">
        <v>17</v>
      </c>
      <c r="C69" s="2"/>
      <c r="D69" s="2"/>
      <c r="E69" s="2"/>
      <c r="F69" s="2"/>
      <c r="H69" s="2"/>
      <c r="I69" s="2"/>
      <c r="J69" s="2"/>
      <c r="K69" s="2"/>
      <c r="L69" s="2"/>
    </row>
    <row r="70" spans="1:12" x14ac:dyDescent="0.2">
      <c r="A70" s="1" t="s">
        <v>10</v>
      </c>
      <c r="B70" s="2"/>
      <c r="C70" s="2"/>
      <c r="D70" s="2"/>
      <c r="E70" s="2"/>
      <c r="F70" s="2"/>
      <c r="H70" s="2"/>
      <c r="I70" s="2"/>
      <c r="J70" s="2"/>
      <c r="K70" s="2"/>
      <c r="L70" s="2"/>
    </row>
    <row r="71" spans="1:12" x14ac:dyDescent="0.2">
      <c r="A71" s="2" t="s">
        <v>11</v>
      </c>
      <c r="B71" s="2" t="s">
        <v>12</v>
      </c>
      <c r="C71" s="2" t="s">
        <v>3</v>
      </c>
      <c r="D71" s="2" t="s">
        <v>8</v>
      </c>
      <c r="E71" s="2" t="s">
        <v>13</v>
      </c>
      <c r="F71" s="2" t="s">
        <v>6</v>
      </c>
      <c r="G71" s="13" t="s">
        <v>157</v>
      </c>
      <c r="H71" s="2" t="s">
        <v>5</v>
      </c>
      <c r="I71" s="2"/>
      <c r="J71" s="2"/>
      <c r="K71" s="2"/>
    </row>
    <row r="72" spans="1:12" x14ac:dyDescent="0.2">
      <c r="A72" s="2" t="str">
        <f>B64</f>
        <v>biomethane, burned in residential natural gas boiler &lt;100kW</v>
      </c>
      <c r="B72" s="2">
        <v>1</v>
      </c>
      <c r="C72" s="2" t="s">
        <v>18</v>
      </c>
      <c r="D72" s="2" t="str">
        <f>B69</f>
        <v>megajoule</v>
      </c>
      <c r="E72" s="2"/>
      <c r="F72" s="2" t="s">
        <v>19</v>
      </c>
      <c r="H72" s="2" t="str">
        <f>B67</f>
        <v>heat</v>
      </c>
      <c r="I72" s="2"/>
      <c r="J72" s="2"/>
      <c r="K72" s="2"/>
      <c r="L72" s="2"/>
    </row>
    <row r="73" spans="1:12" x14ac:dyDescent="0.2">
      <c r="A73" s="2" t="s">
        <v>174</v>
      </c>
      <c r="B73">
        <f>1/(0.019025875*47.5)</f>
        <v>1.106526326854737</v>
      </c>
      <c r="C73" t="s">
        <v>18</v>
      </c>
      <c r="D73" t="s">
        <v>17</v>
      </c>
      <c r="F73" t="s">
        <v>23</v>
      </c>
      <c r="H73" t="s">
        <v>31</v>
      </c>
    </row>
    <row r="75" spans="1:12" x14ac:dyDescent="0.2">
      <c r="A75" s="1" t="s">
        <v>2</v>
      </c>
      <c r="B75" s="1" t="s">
        <v>180</v>
      </c>
      <c r="C75" s="2"/>
      <c r="D75" s="2"/>
      <c r="E75" s="2"/>
      <c r="F75" s="2"/>
      <c r="H75" s="2"/>
    </row>
    <row r="76" spans="1:12" x14ac:dyDescent="0.2">
      <c r="A76" s="2" t="s">
        <v>3</v>
      </c>
      <c r="B76" s="2" t="s">
        <v>18</v>
      </c>
      <c r="C76" s="2"/>
      <c r="D76" s="2"/>
      <c r="E76" s="2"/>
      <c r="F76" s="2"/>
      <c r="H76" s="2"/>
      <c r="I76" s="2"/>
      <c r="J76" s="2"/>
      <c r="K76" s="2"/>
      <c r="L76" s="2"/>
    </row>
    <row r="77" spans="1:12" x14ac:dyDescent="0.2">
      <c r="A77" s="2" t="s">
        <v>4</v>
      </c>
      <c r="B77" s="2">
        <v>1</v>
      </c>
      <c r="C77" s="2"/>
      <c r="D77" s="2"/>
      <c r="E77" s="2"/>
      <c r="F77" s="2"/>
      <c r="H77" s="2"/>
      <c r="I77" s="2"/>
      <c r="J77" s="2"/>
      <c r="K77" s="2"/>
      <c r="L77" s="2"/>
    </row>
    <row r="78" spans="1:12" x14ac:dyDescent="0.2">
      <c r="A78" s="2" t="s">
        <v>5</v>
      </c>
      <c r="B78" s="2" t="s">
        <v>1</v>
      </c>
      <c r="C78" s="2"/>
      <c r="D78" s="2"/>
      <c r="E78" s="2"/>
      <c r="F78" s="2"/>
      <c r="H78" s="2"/>
      <c r="I78" s="2"/>
      <c r="J78" s="2"/>
    </row>
    <row r="79" spans="1:12" x14ac:dyDescent="0.2">
      <c r="A79" s="2" t="s">
        <v>6</v>
      </c>
      <c r="B79" s="2" t="s">
        <v>7</v>
      </c>
      <c r="C79" s="2"/>
      <c r="D79" s="2"/>
      <c r="E79" s="2"/>
      <c r="F79" s="2"/>
      <c r="H79" s="2"/>
      <c r="I79" s="2"/>
      <c r="J79" s="2"/>
      <c r="K79" s="2"/>
      <c r="L79" s="2"/>
    </row>
    <row r="80" spans="1:12" x14ac:dyDescent="0.2">
      <c r="A80" s="2" t="s">
        <v>8</v>
      </c>
      <c r="B80" s="2" t="s">
        <v>17</v>
      </c>
      <c r="C80" s="2"/>
      <c r="D80" s="2"/>
      <c r="E80" s="2"/>
      <c r="F80" s="2"/>
      <c r="H80" s="2"/>
      <c r="I80" s="2"/>
      <c r="J80" s="2"/>
      <c r="K80" s="2"/>
      <c r="L80" s="2"/>
    </row>
    <row r="81" spans="1:12" x14ac:dyDescent="0.2">
      <c r="A81" s="1" t="s">
        <v>10</v>
      </c>
      <c r="B81" s="2"/>
      <c r="C81" s="2"/>
      <c r="D81" s="2"/>
      <c r="E81" s="2"/>
      <c r="F81" s="2"/>
      <c r="H81" s="2"/>
      <c r="I81" s="2"/>
      <c r="J81" s="2"/>
      <c r="K81" s="2"/>
      <c r="L81" s="2"/>
    </row>
    <row r="82" spans="1:12" x14ac:dyDescent="0.2">
      <c r="A82" s="2" t="s">
        <v>11</v>
      </c>
      <c r="B82" s="2" t="s">
        <v>12</v>
      </c>
      <c r="C82" s="2" t="s">
        <v>3</v>
      </c>
      <c r="D82" s="2" t="s">
        <v>8</v>
      </c>
      <c r="E82" s="2" t="s">
        <v>13</v>
      </c>
      <c r="F82" s="2" t="s">
        <v>6</v>
      </c>
      <c r="G82" s="13" t="s">
        <v>157</v>
      </c>
      <c r="H82" s="2" t="s">
        <v>5</v>
      </c>
      <c r="I82" s="2"/>
      <c r="J82" s="2"/>
      <c r="K82" s="2"/>
    </row>
    <row r="83" spans="1:12" x14ac:dyDescent="0.2">
      <c r="A83" s="2" t="str">
        <f>B75</f>
        <v>liquefied petroleum gas, burned in residential natural gas boiler &lt;100kW</v>
      </c>
      <c r="B83" s="2">
        <v>1</v>
      </c>
      <c r="C83" s="2" t="str">
        <f>B76</f>
        <v>RER</v>
      </c>
      <c r="D83" s="2" t="str">
        <f>B80</f>
        <v>megajoule</v>
      </c>
      <c r="E83" s="2"/>
      <c r="F83" s="2" t="s">
        <v>19</v>
      </c>
      <c r="H83" s="2" t="str">
        <f>B78</f>
        <v>heat</v>
      </c>
      <c r="I83" s="2"/>
      <c r="J83" s="2"/>
      <c r="K83" s="2"/>
      <c r="L83" s="2"/>
    </row>
    <row r="84" spans="1:12" x14ac:dyDescent="0.2">
      <c r="A84" s="2" t="s">
        <v>181</v>
      </c>
      <c r="B84">
        <f>1/(0.025337607*36)</f>
        <v>1.0963062840850668</v>
      </c>
      <c r="C84" t="s">
        <v>27</v>
      </c>
      <c r="D84" t="s">
        <v>17</v>
      </c>
      <c r="F84" t="s">
        <v>23</v>
      </c>
      <c r="H84" t="s">
        <v>169</v>
      </c>
    </row>
    <row r="86" spans="1:12" x14ac:dyDescent="0.2">
      <c r="A86" s="1" t="s">
        <v>2</v>
      </c>
      <c r="B86" s="1" t="s">
        <v>175</v>
      </c>
      <c r="C86" s="2"/>
      <c r="D86" s="2"/>
      <c r="E86" s="2"/>
      <c r="F86" s="2"/>
      <c r="G86" s="2"/>
      <c r="H86" s="2"/>
    </row>
    <row r="87" spans="1:12" x14ac:dyDescent="0.2">
      <c r="A87" s="2" t="s">
        <v>3</v>
      </c>
      <c r="B87" s="2" t="s">
        <v>22</v>
      </c>
      <c r="C87" s="2"/>
      <c r="D87" s="2"/>
      <c r="E87" s="2"/>
      <c r="F87" s="2"/>
      <c r="G87" s="2"/>
      <c r="H87" s="2"/>
      <c r="I87" s="2"/>
      <c r="J87" s="2"/>
      <c r="K87" s="2"/>
      <c r="L87" s="2"/>
    </row>
    <row r="88" spans="1:12" x14ac:dyDescent="0.2">
      <c r="A88" s="2" t="s">
        <v>4</v>
      </c>
      <c r="B88" s="2">
        <v>1</v>
      </c>
      <c r="C88" s="2"/>
      <c r="D88" s="2"/>
      <c r="E88" s="2"/>
      <c r="F88" s="2"/>
      <c r="G88" s="2"/>
      <c r="H88" s="2"/>
      <c r="I88" s="2"/>
      <c r="J88" s="2"/>
      <c r="K88" s="2"/>
      <c r="L88" s="2"/>
    </row>
    <row r="89" spans="1:12" x14ac:dyDescent="0.2">
      <c r="A89" s="2" t="s">
        <v>5</v>
      </c>
      <c r="B89" s="2" t="s">
        <v>147</v>
      </c>
      <c r="C89" s="2"/>
      <c r="D89" s="2"/>
      <c r="E89" s="2"/>
      <c r="F89" s="2"/>
      <c r="G89" s="2"/>
      <c r="H89" s="2"/>
      <c r="I89" s="2"/>
      <c r="J89" s="2"/>
    </row>
    <row r="90" spans="1:12" x14ac:dyDescent="0.2">
      <c r="A90" s="2" t="s">
        <v>6</v>
      </c>
      <c r="B90" s="2" t="s">
        <v>7</v>
      </c>
      <c r="C90" s="2"/>
      <c r="D90" s="2"/>
      <c r="E90" s="2"/>
      <c r="F90" s="2"/>
      <c r="G90" s="2"/>
      <c r="H90" s="2"/>
      <c r="I90" s="2"/>
      <c r="J90" s="2"/>
      <c r="K90" s="2"/>
      <c r="L90" s="2"/>
    </row>
    <row r="91" spans="1:12" x14ac:dyDescent="0.2">
      <c r="A91" s="2" t="s">
        <v>8</v>
      </c>
      <c r="B91" s="2" t="s">
        <v>17</v>
      </c>
      <c r="C91" s="2"/>
      <c r="D91" s="2"/>
      <c r="E91" s="2"/>
      <c r="F91" s="2"/>
      <c r="G91" s="2"/>
      <c r="H91" s="2"/>
      <c r="I91" s="2"/>
      <c r="J91" s="2"/>
      <c r="K91" s="2"/>
      <c r="L91" s="2"/>
    </row>
    <row r="92" spans="1:12" x14ac:dyDescent="0.2">
      <c r="A92" s="1" t="s">
        <v>10</v>
      </c>
      <c r="B92" s="2"/>
      <c r="C92" s="2"/>
      <c r="D92" s="2"/>
      <c r="E92" s="2"/>
      <c r="F92" s="2"/>
      <c r="G92" s="2"/>
      <c r="H92" s="2"/>
      <c r="I92" s="2"/>
      <c r="J92" s="2"/>
      <c r="K92" s="2"/>
      <c r="L92" s="2"/>
    </row>
    <row r="93" spans="1:12" x14ac:dyDescent="0.2">
      <c r="A93" s="2" t="s">
        <v>11</v>
      </c>
      <c r="B93" s="2" t="s">
        <v>12</v>
      </c>
      <c r="C93" s="2" t="s">
        <v>3</v>
      </c>
      <c r="D93" s="2" t="s">
        <v>8</v>
      </c>
      <c r="E93" s="2" t="s">
        <v>13</v>
      </c>
      <c r="F93" s="2" t="s">
        <v>6</v>
      </c>
      <c r="G93" s="13" t="s">
        <v>157</v>
      </c>
      <c r="H93" s="2" t="s">
        <v>5</v>
      </c>
      <c r="I93" s="2"/>
      <c r="J93" s="2"/>
      <c r="K93" s="2"/>
    </row>
    <row r="94" spans="1:12" x14ac:dyDescent="0.2">
      <c r="A94" s="2" t="str">
        <f>B86</f>
        <v>electricity, used in residential heat pump</v>
      </c>
      <c r="B94" s="2">
        <v>1</v>
      </c>
      <c r="C94" s="2" t="str">
        <f>B87</f>
        <v>CH</v>
      </c>
      <c r="D94" s="2" t="str">
        <f>B91</f>
        <v>megajoule</v>
      </c>
      <c r="E94" s="2"/>
      <c r="F94" s="2" t="s">
        <v>19</v>
      </c>
      <c r="H94" s="2" t="str">
        <f>B89</f>
        <v>electricity, low voltage</v>
      </c>
      <c r="I94" s="2"/>
      <c r="J94" s="2"/>
      <c r="K94" s="2"/>
      <c r="L94" s="2"/>
    </row>
    <row r="95" spans="1:12" x14ac:dyDescent="0.2">
      <c r="A95" s="2" t="s">
        <v>176</v>
      </c>
      <c r="B95" s="16">
        <f>1/0.357</f>
        <v>2.801120448179272</v>
      </c>
      <c r="C95" t="s">
        <v>22</v>
      </c>
      <c r="D95" t="s">
        <v>17</v>
      </c>
      <c r="F95" t="s">
        <v>23</v>
      </c>
      <c r="H95" t="s">
        <v>177</v>
      </c>
    </row>
    <row r="96" spans="1:12" x14ac:dyDescent="0.2">
      <c r="A96" t="s">
        <v>178</v>
      </c>
      <c r="B96" s="16">
        <v>2</v>
      </c>
      <c r="D96" t="s">
        <v>17</v>
      </c>
      <c r="E96" t="s">
        <v>179</v>
      </c>
      <c r="F96" t="s">
        <v>15</v>
      </c>
    </row>
    <row r="97" spans="1:12" x14ac:dyDescent="0.2">
      <c r="A97" s="2"/>
    </row>
    <row r="98" spans="1:12" x14ac:dyDescent="0.2">
      <c r="A98" s="1" t="s">
        <v>2</v>
      </c>
      <c r="B98" s="1" t="s">
        <v>33</v>
      </c>
      <c r="C98" s="2"/>
      <c r="D98" s="2"/>
      <c r="E98" s="2"/>
      <c r="F98" s="2"/>
      <c r="G98" s="2"/>
      <c r="H98" s="2"/>
    </row>
    <row r="99" spans="1:12" x14ac:dyDescent="0.2">
      <c r="A99" s="2" t="s">
        <v>3</v>
      </c>
      <c r="B99" s="2" t="s">
        <v>18</v>
      </c>
      <c r="C99" s="2"/>
      <c r="D99" s="2"/>
      <c r="E99" s="2"/>
      <c r="F99" s="2"/>
      <c r="G99" s="2"/>
      <c r="H99" s="2"/>
      <c r="I99" s="2"/>
      <c r="J99" s="2"/>
      <c r="K99" s="2"/>
      <c r="L99" s="2"/>
    </row>
    <row r="100" spans="1:12" x14ac:dyDescent="0.2">
      <c r="A100" s="2" t="s">
        <v>4</v>
      </c>
      <c r="B100" s="2">
        <v>1</v>
      </c>
      <c r="C100" s="2"/>
      <c r="D100" s="2"/>
      <c r="E100" s="2"/>
      <c r="F100" s="2"/>
      <c r="G100" s="2"/>
      <c r="H100" s="2"/>
      <c r="I100" s="2"/>
      <c r="J100" s="2"/>
      <c r="K100" s="2"/>
      <c r="L100" s="2"/>
    </row>
    <row r="101" spans="1:12" x14ac:dyDescent="0.2">
      <c r="A101" s="2" t="s">
        <v>5</v>
      </c>
      <c r="B101" s="2" t="s">
        <v>1</v>
      </c>
      <c r="C101" s="2"/>
      <c r="D101" s="2"/>
      <c r="E101" s="2"/>
      <c r="F101" s="2"/>
      <c r="G101" s="2"/>
      <c r="H101" s="2"/>
      <c r="I101" s="2"/>
      <c r="J101" s="2"/>
    </row>
    <row r="102" spans="1:12" x14ac:dyDescent="0.2">
      <c r="A102" s="2" t="s">
        <v>6</v>
      </c>
      <c r="B102" s="2" t="s">
        <v>7</v>
      </c>
      <c r="C102" s="2"/>
      <c r="D102" s="2"/>
      <c r="E102" s="2"/>
      <c r="F102" s="2"/>
      <c r="G102" s="2"/>
      <c r="H102" s="2"/>
      <c r="I102" s="2"/>
      <c r="J102" s="2"/>
      <c r="K102" s="2"/>
      <c r="L102" s="2"/>
    </row>
    <row r="103" spans="1:12" x14ac:dyDescent="0.2">
      <c r="A103" s="2" t="s">
        <v>8</v>
      </c>
      <c r="B103" s="2" t="s">
        <v>17</v>
      </c>
      <c r="C103" s="2"/>
      <c r="D103" s="2"/>
      <c r="E103" s="2"/>
      <c r="F103" s="2"/>
      <c r="G103" s="2"/>
      <c r="H103" s="2"/>
      <c r="I103" s="2"/>
      <c r="J103" s="2"/>
      <c r="K103" s="2"/>
      <c r="L103" s="2"/>
    </row>
    <row r="104" spans="1:12" x14ac:dyDescent="0.2">
      <c r="A104" s="1" t="s">
        <v>10</v>
      </c>
      <c r="B104" s="2"/>
      <c r="C104" s="2"/>
      <c r="D104" s="2"/>
      <c r="E104" s="2"/>
      <c r="F104" s="2"/>
      <c r="G104" s="2"/>
      <c r="H104" s="2"/>
      <c r="I104" s="2"/>
      <c r="J104" s="2"/>
      <c r="K104" s="2"/>
      <c r="L104" s="2"/>
    </row>
    <row r="105" spans="1:12" x14ac:dyDescent="0.2">
      <c r="A105" s="2" t="s">
        <v>11</v>
      </c>
      <c r="B105" s="2" t="s">
        <v>12</v>
      </c>
      <c r="C105" s="2" t="s">
        <v>3</v>
      </c>
      <c r="D105" s="2" t="s">
        <v>8</v>
      </c>
      <c r="E105" s="2" t="s">
        <v>13</v>
      </c>
      <c r="F105" s="2" t="s">
        <v>6</v>
      </c>
      <c r="G105" s="2" t="s">
        <v>5</v>
      </c>
      <c r="H105" s="2"/>
      <c r="I105" s="2"/>
      <c r="J105" s="2"/>
      <c r="K105" s="2"/>
    </row>
    <row r="106" spans="1:12" x14ac:dyDescent="0.2">
      <c r="A106" s="2" t="str">
        <f>B98</f>
        <v>wood pellet, burned in residential stove 9kW</v>
      </c>
      <c r="B106" s="2">
        <v>1</v>
      </c>
      <c r="C106" s="2" t="str">
        <f>B99</f>
        <v>RER</v>
      </c>
      <c r="D106" s="2" t="str">
        <f>B103</f>
        <v>megajoule</v>
      </c>
      <c r="E106" s="2"/>
      <c r="F106" s="2" t="s">
        <v>19</v>
      </c>
      <c r="G106" s="2" t="str">
        <f>B101</f>
        <v>heat</v>
      </c>
      <c r="H106" s="2"/>
      <c r="I106" s="2"/>
      <c r="J106" s="2"/>
      <c r="K106" s="2"/>
      <c r="L106" s="2"/>
    </row>
    <row r="107" spans="1:12" x14ac:dyDescent="0.2">
      <c r="A107" s="2" t="s">
        <v>20</v>
      </c>
      <c r="B107">
        <f>1/(0.076236*19.1)</f>
        <v>0.68676243431460693</v>
      </c>
      <c r="C107" t="s">
        <v>22</v>
      </c>
      <c r="D107" t="s">
        <v>17</v>
      </c>
      <c r="F107" t="s">
        <v>23</v>
      </c>
      <c r="G107" t="s">
        <v>21</v>
      </c>
    </row>
    <row r="109" spans="1:12" x14ac:dyDescent="0.2">
      <c r="A109" s="1" t="s">
        <v>2</v>
      </c>
      <c r="B109" s="1" t="s">
        <v>34</v>
      </c>
      <c r="C109" s="2"/>
      <c r="D109" s="2"/>
      <c r="E109" s="2"/>
      <c r="F109" s="2"/>
      <c r="G109" s="2"/>
      <c r="H109" s="2"/>
    </row>
    <row r="110" spans="1:12" x14ac:dyDescent="0.2">
      <c r="A110" s="2" t="s">
        <v>3</v>
      </c>
      <c r="B110" s="2" t="s">
        <v>18</v>
      </c>
      <c r="C110" s="2"/>
      <c r="D110" s="2"/>
      <c r="E110" s="2"/>
      <c r="F110" s="2"/>
      <c r="G110" s="2"/>
      <c r="H110" s="2"/>
      <c r="I110" s="2"/>
      <c r="J110" s="2"/>
      <c r="K110" s="2"/>
      <c r="L110" s="2"/>
    </row>
    <row r="111" spans="1:12" x14ac:dyDescent="0.2">
      <c r="A111" s="2" t="s">
        <v>4</v>
      </c>
      <c r="B111" s="2">
        <v>1</v>
      </c>
      <c r="C111" s="2"/>
      <c r="D111" s="2"/>
      <c r="E111" s="2"/>
      <c r="F111" s="2"/>
      <c r="G111" s="2"/>
      <c r="H111" s="2"/>
      <c r="I111" s="2"/>
      <c r="J111" s="2"/>
      <c r="K111" s="2"/>
      <c r="L111" s="2"/>
    </row>
    <row r="112" spans="1:12" x14ac:dyDescent="0.2">
      <c r="A112" s="2" t="s">
        <v>5</v>
      </c>
      <c r="B112" s="2" t="s">
        <v>1</v>
      </c>
      <c r="C112" s="2"/>
      <c r="D112" s="2"/>
      <c r="E112" s="2"/>
      <c r="F112" s="2"/>
      <c r="G112" s="2"/>
      <c r="H112" s="2"/>
      <c r="I112" s="2"/>
      <c r="J112" s="2"/>
    </row>
    <row r="113" spans="1:12" x14ac:dyDescent="0.2">
      <c r="A113" s="2" t="s">
        <v>6</v>
      </c>
      <c r="B113" s="2" t="s">
        <v>7</v>
      </c>
      <c r="C113" s="2"/>
      <c r="D113" s="2"/>
      <c r="E113" s="2"/>
      <c r="F113" s="2"/>
      <c r="G113" s="2"/>
      <c r="H113" s="2"/>
      <c r="I113" s="2"/>
      <c r="J113" s="2"/>
      <c r="K113" s="2"/>
      <c r="L113" s="2"/>
    </row>
    <row r="114" spans="1:12" x14ac:dyDescent="0.2">
      <c r="A114" s="2" t="s">
        <v>8</v>
      </c>
      <c r="B114" s="2" t="s">
        <v>17</v>
      </c>
      <c r="C114" s="2"/>
      <c r="D114" s="2"/>
      <c r="E114" s="2"/>
      <c r="F114" s="2"/>
      <c r="G114" s="2"/>
      <c r="H114" s="2"/>
      <c r="I114" s="2"/>
      <c r="J114" s="2"/>
      <c r="K114" s="2"/>
      <c r="L114" s="2"/>
    </row>
    <row r="115" spans="1:12" x14ac:dyDescent="0.2">
      <c r="A115" s="1" t="s">
        <v>10</v>
      </c>
      <c r="B115" s="2"/>
      <c r="C115" s="2"/>
      <c r="D115" s="2"/>
      <c r="E115" s="2"/>
      <c r="F115" s="2"/>
      <c r="G115" s="2"/>
      <c r="H115" s="2"/>
      <c r="I115" s="2"/>
      <c r="J115" s="2"/>
      <c r="K115" s="2"/>
      <c r="L115" s="2"/>
    </row>
    <row r="116" spans="1:12" x14ac:dyDescent="0.2">
      <c r="A116" s="2" t="s">
        <v>11</v>
      </c>
      <c r="B116" s="2" t="s">
        <v>12</v>
      </c>
      <c r="C116" s="2" t="s">
        <v>3</v>
      </c>
      <c r="D116" s="2" t="s">
        <v>8</v>
      </c>
      <c r="E116" s="2" t="s">
        <v>13</v>
      </c>
      <c r="F116" s="2" t="s">
        <v>6</v>
      </c>
      <c r="G116" s="2" t="s">
        <v>5</v>
      </c>
      <c r="H116" s="2"/>
      <c r="I116" s="2"/>
      <c r="J116" s="2"/>
      <c r="K116" s="2"/>
    </row>
    <row r="117" spans="1:12" x14ac:dyDescent="0.2">
      <c r="A117" s="2" t="str">
        <f>B109</f>
        <v>hydrogen, burned in gas turbine 1GW</v>
      </c>
      <c r="B117" s="2">
        <v>1</v>
      </c>
      <c r="C117" s="2" t="str">
        <f>B110</f>
        <v>RER</v>
      </c>
      <c r="D117" s="2" t="str">
        <f>B114</f>
        <v>megajoule</v>
      </c>
      <c r="E117" s="2"/>
      <c r="F117" s="2" t="s">
        <v>19</v>
      </c>
      <c r="G117" s="2" t="str">
        <f>B112</f>
        <v>heat</v>
      </c>
      <c r="H117" s="2"/>
      <c r="I117" s="2"/>
      <c r="J117" s="2"/>
      <c r="K117" s="2"/>
      <c r="L117" s="2"/>
    </row>
    <row r="118" spans="1:12" x14ac:dyDescent="0.2">
      <c r="A118" s="2" t="s">
        <v>24</v>
      </c>
      <c r="B118">
        <f>1/(0.00877*120)</f>
        <v>0.9502090459901178</v>
      </c>
      <c r="C118" t="s">
        <v>18</v>
      </c>
      <c r="D118" t="s">
        <v>17</v>
      </c>
      <c r="F118" t="s">
        <v>23</v>
      </c>
      <c r="G118" t="s">
        <v>1</v>
      </c>
    </row>
    <row r="120" spans="1:12" x14ac:dyDescent="0.2">
      <c r="A120" s="1" t="s">
        <v>2</v>
      </c>
      <c r="B120" s="1" t="s">
        <v>119</v>
      </c>
      <c r="C120" s="2"/>
      <c r="D120" s="2"/>
      <c r="E120" s="2"/>
      <c r="F120" s="2"/>
      <c r="G120" s="2"/>
      <c r="H120" s="2"/>
    </row>
    <row r="121" spans="1:12" x14ac:dyDescent="0.2">
      <c r="A121" s="2" t="s">
        <v>3</v>
      </c>
      <c r="B121" s="2" t="s">
        <v>18</v>
      </c>
      <c r="C121" s="2"/>
      <c r="D121" s="2"/>
      <c r="E121" s="2"/>
      <c r="F121" s="2"/>
      <c r="G121" s="2"/>
      <c r="H121" s="2"/>
      <c r="I121" s="2"/>
      <c r="J121" s="2"/>
      <c r="K121" s="2"/>
      <c r="L121" s="2"/>
    </row>
    <row r="122" spans="1:12" x14ac:dyDescent="0.2">
      <c r="A122" s="2" t="s">
        <v>4</v>
      </c>
      <c r="B122" s="2">
        <v>1</v>
      </c>
      <c r="C122" s="2"/>
      <c r="D122" s="2"/>
      <c r="E122" s="2"/>
      <c r="F122" s="2"/>
      <c r="G122" s="2"/>
      <c r="H122" s="2"/>
      <c r="I122" s="2"/>
      <c r="J122" s="2"/>
      <c r="K122" s="2"/>
      <c r="L122" s="2"/>
    </row>
    <row r="123" spans="1:12" x14ac:dyDescent="0.2">
      <c r="A123" s="2" t="s">
        <v>5</v>
      </c>
      <c r="B123" s="2" t="s">
        <v>1</v>
      </c>
      <c r="C123" s="2"/>
      <c r="D123" s="2"/>
      <c r="E123" s="2"/>
      <c r="F123" s="2"/>
      <c r="G123" s="2"/>
      <c r="H123" s="2"/>
      <c r="I123" s="2"/>
      <c r="J123" s="2"/>
    </row>
    <row r="124" spans="1:12" x14ac:dyDescent="0.2">
      <c r="A124" s="2" t="s">
        <v>6</v>
      </c>
      <c r="B124" s="2" t="s">
        <v>7</v>
      </c>
      <c r="C124" s="2"/>
      <c r="D124" s="2"/>
      <c r="E124" s="2"/>
      <c r="F124" s="2"/>
      <c r="G124" s="2"/>
      <c r="H124" s="2"/>
      <c r="I124" s="2"/>
      <c r="J124" s="2"/>
      <c r="K124" s="2"/>
      <c r="L124" s="2"/>
    </row>
    <row r="125" spans="1:12" x14ac:dyDescent="0.2">
      <c r="A125" s="2" t="s">
        <v>8</v>
      </c>
      <c r="B125" s="2" t="s">
        <v>17</v>
      </c>
      <c r="C125" s="2"/>
      <c r="D125" s="2"/>
      <c r="E125" s="2"/>
      <c r="F125" s="2"/>
      <c r="G125" s="2"/>
      <c r="H125" s="2"/>
      <c r="I125" s="2"/>
      <c r="J125" s="2"/>
      <c r="K125" s="2"/>
      <c r="L125" s="2"/>
    </row>
    <row r="126" spans="1:12" x14ac:dyDescent="0.2">
      <c r="A126" s="1" t="s">
        <v>10</v>
      </c>
      <c r="B126" s="2"/>
      <c r="C126" s="2"/>
      <c r="D126" s="2"/>
      <c r="E126" s="2"/>
      <c r="F126" s="2"/>
      <c r="G126" s="2"/>
      <c r="H126" s="2"/>
      <c r="I126" s="2"/>
      <c r="J126" s="2"/>
      <c r="K126" s="2"/>
      <c r="L126" s="2"/>
    </row>
    <row r="127" spans="1:12" x14ac:dyDescent="0.2">
      <c r="A127" s="2" t="s">
        <v>11</v>
      </c>
      <c r="B127" s="2" t="s">
        <v>12</v>
      </c>
      <c r="C127" s="2" t="s">
        <v>3</v>
      </c>
      <c r="D127" s="2" t="s">
        <v>8</v>
      </c>
      <c r="E127" s="2" t="s">
        <v>13</v>
      </c>
      <c r="F127" s="2" t="s">
        <v>6</v>
      </c>
      <c r="G127" s="2" t="s">
        <v>5</v>
      </c>
      <c r="H127" s="2"/>
      <c r="I127" s="2"/>
      <c r="J127" s="2"/>
      <c r="K127" s="2"/>
    </row>
    <row r="128" spans="1:12" x14ac:dyDescent="0.2">
      <c r="A128" s="2" t="str">
        <f>B120</f>
        <v>hydrogen, converted in 1kWe fuel cell</v>
      </c>
      <c r="B128" s="2">
        <v>1</v>
      </c>
      <c r="C128" s="2" t="str">
        <f>B121</f>
        <v>RER</v>
      </c>
      <c r="D128" s="2" t="str">
        <f>B125</f>
        <v>megajoule</v>
      </c>
      <c r="E128" s="2"/>
      <c r="F128" s="2" t="s">
        <v>19</v>
      </c>
      <c r="G128" s="2" t="str">
        <f>B123</f>
        <v>heat</v>
      </c>
      <c r="H128" s="2"/>
      <c r="I128" s="2"/>
      <c r="J128" s="2"/>
      <c r="K128" s="2"/>
      <c r="L128" s="2"/>
    </row>
    <row r="129" spans="1:15" s="4" customFormat="1" x14ac:dyDescent="0.2">
      <c r="A129" s="4" t="s">
        <v>114</v>
      </c>
      <c r="B129" s="5">
        <f>0.00000507/2</f>
        <v>2.5349999999999999E-6</v>
      </c>
      <c r="C129" s="4" t="s">
        <v>115</v>
      </c>
      <c r="D129" s="4" t="s">
        <v>8</v>
      </c>
      <c r="F129" s="4" t="s">
        <v>23</v>
      </c>
      <c r="G129" s="4" t="s">
        <v>116</v>
      </c>
      <c r="O129" s="6"/>
    </row>
    <row r="130" spans="1:15" s="4" customFormat="1" x14ac:dyDescent="0.2">
      <c r="A130" s="2" t="s">
        <v>153</v>
      </c>
      <c r="B130" s="8">
        <f>0.01676/2</f>
        <v>8.3800000000000003E-3</v>
      </c>
      <c r="C130" s="4" t="s">
        <v>115</v>
      </c>
      <c r="D130" s="4" t="s">
        <v>9</v>
      </c>
      <c r="F130" s="4" t="s">
        <v>23</v>
      </c>
      <c r="G130" s="4" t="s">
        <v>117</v>
      </c>
      <c r="J130" s="7"/>
      <c r="O130" s="6"/>
    </row>
    <row r="131" spans="1:15" s="4" customFormat="1" x14ac:dyDescent="0.2">
      <c r="A131" s="2" t="s">
        <v>120</v>
      </c>
      <c r="B131" s="5">
        <f>0.56%*B130</f>
        <v>4.6928000000000009E-5</v>
      </c>
      <c r="D131" s="4" t="s">
        <v>9</v>
      </c>
      <c r="E131" s="4" t="s">
        <v>118</v>
      </c>
      <c r="F131" s="2" t="s">
        <v>15</v>
      </c>
      <c r="J131" s="7"/>
      <c r="O131" s="6"/>
    </row>
    <row r="132" spans="1:15" s="4" customFormat="1" x14ac:dyDescent="0.2">
      <c r="A132" s="2" t="s">
        <v>99</v>
      </c>
      <c r="B132" s="9">
        <f>B130*9/1000</f>
        <v>7.5420000000000006E-5</v>
      </c>
      <c r="D132" s="2" t="s">
        <v>95</v>
      </c>
      <c r="E132" s="4" t="s">
        <v>118</v>
      </c>
      <c r="F132" s="2" t="s">
        <v>15</v>
      </c>
      <c r="O132" s="6"/>
    </row>
    <row r="134" spans="1:15" x14ac:dyDescent="0.2">
      <c r="A134" s="1" t="s">
        <v>2</v>
      </c>
      <c r="B134" s="1" t="s">
        <v>25</v>
      </c>
      <c r="C134" s="2"/>
      <c r="D134" s="2"/>
      <c r="E134" s="2"/>
      <c r="F134" s="2"/>
      <c r="G134" s="2"/>
      <c r="H134" s="2"/>
    </row>
    <row r="135" spans="1:15" x14ac:dyDescent="0.2">
      <c r="A135" s="2" t="s">
        <v>3</v>
      </c>
      <c r="B135" s="2" t="s">
        <v>18</v>
      </c>
      <c r="C135" s="2"/>
      <c r="D135" s="2"/>
      <c r="E135" s="2"/>
      <c r="F135" s="2"/>
      <c r="G135" s="2"/>
      <c r="H135" s="2"/>
      <c r="I135" s="2"/>
      <c r="J135" s="2"/>
      <c r="K135" s="2"/>
      <c r="L135" s="2"/>
    </row>
    <row r="136" spans="1:15" x14ac:dyDescent="0.2">
      <c r="A136" s="2" t="s">
        <v>4</v>
      </c>
      <c r="B136" s="2">
        <v>1</v>
      </c>
      <c r="C136" s="2"/>
      <c r="D136" s="2"/>
      <c r="E136" s="2"/>
      <c r="F136" s="2"/>
      <c r="G136" s="2"/>
      <c r="H136" s="2"/>
      <c r="I136" s="2"/>
      <c r="J136" s="2"/>
      <c r="K136" s="2"/>
      <c r="L136" s="2"/>
    </row>
    <row r="137" spans="1:15" x14ac:dyDescent="0.2">
      <c r="A137" s="2" t="s">
        <v>5</v>
      </c>
      <c r="B137" s="2" t="s">
        <v>1</v>
      </c>
      <c r="C137" s="2"/>
      <c r="D137" s="2"/>
      <c r="E137" s="2"/>
      <c r="F137" s="2"/>
      <c r="G137" s="2"/>
      <c r="H137" s="2"/>
      <c r="I137" s="2"/>
      <c r="J137" s="2"/>
    </row>
    <row r="138" spans="1:15" x14ac:dyDescent="0.2">
      <c r="A138" s="2" t="s">
        <v>6</v>
      </c>
      <c r="B138" s="2" t="s">
        <v>7</v>
      </c>
      <c r="C138" s="2"/>
      <c r="D138" s="2"/>
      <c r="E138" s="2"/>
      <c r="F138" s="2"/>
      <c r="G138" s="2"/>
      <c r="H138" s="2"/>
      <c r="I138" s="2"/>
      <c r="J138" s="2"/>
      <c r="K138" s="2"/>
      <c r="L138" s="2"/>
    </row>
    <row r="139" spans="1:15" x14ac:dyDescent="0.2">
      <c r="A139" s="2" t="s">
        <v>8</v>
      </c>
      <c r="B139" s="2" t="s">
        <v>17</v>
      </c>
      <c r="C139" s="2"/>
      <c r="D139" s="2"/>
      <c r="E139" s="2"/>
      <c r="F139" s="2"/>
      <c r="G139" s="2"/>
      <c r="H139" s="2"/>
      <c r="I139" s="2"/>
      <c r="J139" s="2"/>
      <c r="K139" s="2"/>
      <c r="L139" s="2"/>
    </row>
    <row r="140" spans="1:15" x14ac:dyDescent="0.2">
      <c r="A140" s="1" t="s">
        <v>10</v>
      </c>
      <c r="B140" s="2"/>
      <c r="C140" s="2"/>
      <c r="D140" s="2"/>
      <c r="E140" s="2"/>
      <c r="F140" s="2"/>
      <c r="G140" s="2"/>
      <c r="H140" s="2"/>
      <c r="I140" s="2"/>
      <c r="J140" s="2"/>
      <c r="K140" s="2"/>
      <c r="L140" s="2"/>
    </row>
    <row r="141" spans="1:15" x14ac:dyDescent="0.2">
      <c r="A141" s="2" t="s">
        <v>11</v>
      </c>
      <c r="B141" s="2" t="s">
        <v>12</v>
      </c>
      <c r="C141" s="2" t="s">
        <v>3</v>
      </c>
      <c r="D141" s="2" t="s">
        <v>8</v>
      </c>
      <c r="E141" s="2" t="s">
        <v>13</v>
      </c>
      <c r="F141" s="2" t="s">
        <v>6</v>
      </c>
      <c r="G141" s="2" t="s">
        <v>5</v>
      </c>
      <c r="H141" s="2"/>
      <c r="I141" s="2"/>
      <c r="J141" s="2"/>
      <c r="K141" s="2"/>
    </row>
    <row r="142" spans="1:15" x14ac:dyDescent="0.2">
      <c r="A142" s="2" t="str">
        <f>B134</f>
        <v>hard coal, burned in hard coal industrial furnace 1-10MW</v>
      </c>
      <c r="B142" s="2">
        <v>1</v>
      </c>
      <c r="C142" s="2" t="str">
        <f>B135</f>
        <v>RER</v>
      </c>
      <c r="D142" s="2" t="str">
        <f>B139</f>
        <v>megajoule</v>
      </c>
      <c r="E142" s="2"/>
      <c r="F142" s="2" t="s">
        <v>19</v>
      </c>
      <c r="G142" s="2" t="str">
        <f>B137</f>
        <v>heat</v>
      </c>
      <c r="H142" s="2"/>
      <c r="I142" s="2"/>
      <c r="J142" s="2"/>
      <c r="K142" s="2"/>
      <c r="L142" s="2"/>
    </row>
    <row r="143" spans="1:15" x14ac:dyDescent="0.2">
      <c r="A143" s="2" t="s">
        <v>26</v>
      </c>
      <c r="B143">
        <v>0.8</v>
      </c>
      <c r="C143" t="s">
        <v>27</v>
      </c>
      <c r="D143" t="s">
        <v>17</v>
      </c>
      <c r="F143" t="s">
        <v>23</v>
      </c>
      <c r="G143" t="s">
        <v>21</v>
      </c>
    </row>
    <row r="145" spans="1:12" x14ac:dyDescent="0.2">
      <c r="A145" s="1" t="s">
        <v>2</v>
      </c>
      <c r="B145" s="1" t="s">
        <v>37</v>
      </c>
      <c r="C145" s="2"/>
      <c r="D145" s="2"/>
      <c r="E145" s="2"/>
      <c r="F145" s="2"/>
      <c r="G145" s="2"/>
      <c r="H145" s="2"/>
    </row>
    <row r="146" spans="1:12" x14ac:dyDescent="0.2">
      <c r="A146" s="2" t="s">
        <v>3</v>
      </c>
      <c r="B146" s="2" t="s">
        <v>18</v>
      </c>
      <c r="C146" s="2"/>
      <c r="D146" s="2"/>
      <c r="E146" s="2"/>
      <c r="F146" s="2"/>
      <c r="G146" s="2"/>
      <c r="H146" s="2"/>
      <c r="I146" s="2"/>
      <c r="J146" s="2"/>
      <c r="K146" s="2"/>
      <c r="L146" s="2"/>
    </row>
    <row r="147" spans="1:12" x14ac:dyDescent="0.2">
      <c r="A147" s="2" t="s">
        <v>4</v>
      </c>
      <c r="B147" s="2">
        <v>1</v>
      </c>
      <c r="C147" s="2"/>
      <c r="D147" s="2"/>
      <c r="E147" s="2"/>
      <c r="F147" s="2"/>
      <c r="G147" s="2"/>
      <c r="H147" s="2"/>
      <c r="I147" s="2"/>
      <c r="J147" s="2"/>
      <c r="K147" s="2"/>
      <c r="L147" s="2"/>
    </row>
    <row r="148" spans="1:12" x14ac:dyDescent="0.2">
      <c r="A148" s="2" t="s">
        <v>5</v>
      </c>
      <c r="B148" s="2" t="s">
        <v>1</v>
      </c>
      <c r="C148" s="2"/>
      <c r="D148" s="2"/>
      <c r="E148" s="2"/>
      <c r="F148" s="2"/>
      <c r="G148" s="2"/>
      <c r="H148" s="2"/>
      <c r="I148" s="2"/>
      <c r="J148" s="2"/>
    </row>
    <row r="149" spans="1:12" x14ac:dyDescent="0.2">
      <c r="A149" s="2" t="s">
        <v>6</v>
      </c>
      <c r="B149" s="2" t="s">
        <v>7</v>
      </c>
      <c r="C149" s="2"/>
      <c r="D149" s="2"/>
      <c r="E149" s="2"/>
      <c r="F149" s="2"/>
      <c r="G149" s="2"/>
      <c r="H149" s="2"/>
      <c r="I149" s="2"/>
      <c r="J149" s="2"/>
      <c r="K149" s="2"/>
      <c r="L149" s="2"/>
    </row>
    <row r="150" spans="1:12" x14ac:dyDescent="0.2">
      <c r="A150" s="2" t="s">
        <v>8</v>
      </c>
      <c r="B150" s="2" t="s">
        <v>17</v>
      </c>
      <c r="C150" s="2"/>
      <c r="D150" s="2"/>
      <c r="E150" s="2"/>
      <c r="F150" s="2"/>
      <c r="G150" s="2"/>
      <c r="H150" s="2"/>
      <c r="I150" s="2"/>
      <c r="J150" s="2"/>
      <c r="K150" s="2"/>
      <c r="L150" s="2"/>
    </row>
    <row r="151" spans="1:12" x14ac:dyDescent="0.2">
      <c r="A151" s="1" t="s">
        <v>10</v>
      </c>
      <c r="B151" s="2"/>
      <c r="C151" s="2"/>
      <c r="D151" s="2"/>
      <c r="E151" s="2"/>
      <c r="F151" s="2"/>
      <c r="G151" s="2"/>
      <c r="H151" s="2"/>
      <c r="I151" s="2"/>
      <c r="J151" s="2"/>
      <c r="K151" s="2"/>
      <c r="L151" s="2"/>
    </row>
    <row r="152" spans="1:12" x14ac:dyDescent="0.2">
      <c r="A152" s="2" t="s">
        <v>11</v>
      </c>
      <c r="B152" s="2" t="s">
        <v>12</v>
      </c>
      <c r="C152" s="2" t="s">
        <v>3</v>
      </c>
      <c r="D152" s="2" t="s">
        <v>8</v>
      </c>
      <c r="E152" s="2" t="s">
        <v>13</v>
      </c>
      <c r="F152" s="2" t="s">
        <v>6</v>
      </c>
      <c r="G152" s="2" t="s">
        <v>5</v>
      </c>
      <c r="H152" s="2"/>
      <c r="I152" s="2"/>
      <c r="J152" s="2"/>
      <c r="K152" s="2"/>
    </row>
    <row r="153" spans="1:12" x14ac:dyDescent="0.2">
      <c r="A153" s="2" t="str">
        <f>B145</f>
        <v>hard coal briquettes, burned in stove 5-15kW</v>
      </c>
      <c r="B153" s="2">
        <v>1</v>
      </c>
      <c r="C153" s="2" t="str">
        <f>B146</f>
        <v>RER</v>
      </c>
      <c r="D153" s="2" t="str">
        <f>B150</f>
        <v>megajoule</v>
      </c>
      <c r="E153" s="2"/>
      <c r="F153" s="2" t="s">
        <v>19</v>
      </c>
      <c r="G153" s="2" t="str">
        <f>B148</f>
        <v>heat</v>
      </c>
      <c r="H153" s="2"/>
      <c r="I153" s="2"/>
      <c r="J153" s="2"/>
      <c r="K153" s="2"/>
      <c r="L153" s="2"/>
    </row>
    <row r="154" spans="1:12" x14ac:dyDescent="0.2">
      <c r="A154" s="2" t="s">
        <v>38</v>
      </c>
      <c r="B154">
        <f>1/1.43</f>
        <v>0.69930069930069938</v>
      </c>
      <c r="C154" t="s">
        <v>27</v>
      </c>
      <c r="D154" t="s">
        <v>17</v>
      </c>
      <c r="F154" t="s">
        <v>23</v>
      </c>
      <c r="G154" t="s">
        <v>39</v>
      </c>
    </row>
    <row r="156" spans="1:12" x14ac:dyDescent="0.2">
      <c r="A156" s="1" t="s">
        <v>2</v>
      </c>
      <c r="B156" s="1" t="s">
        <v>28</v>
      </c>
      <c r="C156" s="2"/>
      <c r="D156" s="2"/>
      <c r="E156" s="2"/>
      <c r="F156" s="2"/>
      <c r="G156" s="2"/>
      <c r="H156" s="2"/>
    </row>
    <row r="157" spans="1:12" x14ac:dyDescent="0.2">
      <c r="A157" s="2" t="s">
        <v>3</v>
      </c>
      <c r="B157" s="2" t="s">
        <v>18</v>
      </c>
      <c r="C157" s="2"/>
      <c r="D157" s="2"/>
      <c r="E157" s="2"/>
      <c r="F157" s="2"/>
      <c r="G157" s="2"/>
      <c r="H157" s="2"/>
      <c r="I157" s="2"/>
      <c r="J157" s="2"/>
      <c r="K157" s="2"/>
      <c r="L157" s="2"/>
    </row>
    <row r="158" spans="1:12" x14ac:dyDescent="0.2">
      <c r="A158" s="2" t="s">
        <v>4</v>
      </c>
      <c r="B158" s="2">
        <v>1</v>
      </c>
      <c r="C158" s="2"/>
      <c r="D158" s="2"/>
      <c r="E158" s="2"/>
      <c r="F158" s="2"/>
      <c r="G158" s="2"/>
      <c r="H158" s="2"/>
      <c r="I158" s="2"/>
      <c r="J158" s="2"/>
      <c r="K158" s="2"/>
      <c r="L158" s="2"/>
    </row>
    <row r="159" spans="1:12" x14ac:dyDescent="0.2">
      <c r="A159" s="2" t="s">
        <v>5</v>
      </c>
      <c r="B159" s="2" t="s">
        <v>1</v>
      </c>
      <c r="C159" s="2"/>
      <c r="D159" s="2"/>
      <c r="E159" s="2"/>
      <c r="F159" s="2"/>
      <c r="G159" s="2"/>
      <c r="H159" s="2"/>
      <c r="I159" s="2"/>
      <c r="J159" s="2"/>
    </row>
    <row r="160" spans="1:12" x14ac:dyDescent="0.2">
      <c r="A160" s="2" t="s">
        <v>6</v>
      </c>
      <c r="B160" s="2" t="s">
        <v>7</v>
      </c>
      <c r="C160" s="2"/>
      <c r="D160" s="2"/>
      <c r="E160" s="2"/>
      <c r="F160" s="2"/>
      <c r="G160" s="2"/>
      <c r="H160" s="2"/>
      <c r="I160" s="2"/>
      <c r="J160" s="2"/>
      <c r="K160" s="2"/>
      <c r="L160" s="2"/>
    </row>
    <row r="161" spans="1:12" x14ac:dyDescent="0.2">
      <c r="A161" s="2" t="s">
        <v>8</v>
      </c>
      <c r="B161" s="2" t="s">
        <v>17</v>
      </c>
      <c r="C161" s="2"/>
      <c r="D161" s="2"/>
      <c r="E161" s="2"/>
      <c r="F161" s="2"/>
      <c r="G161" s="2"/>
      <c r="H161" s="2"/>
      <c r="I161" s="2"/>
      <c r="J161" s="2"/>
      <c r="K161" s="2"/>
      <c r="L161" s="2"/>
    </row>
    <row r="162" spans="1:12" x14ac:dyDescent="0.2">
      <c r="A162" s="1" t="s">
        <v>10</v>
      </c>
      <c r="B162" s="2"/>
      <c r="C162" s="2"/>
      <c r="D162" s="2"/>
      <c r="E162" s="2"/>
      <c r="F162" s="2"/>
      <c r="G162" s="2"/>
      <c r="H162" s="2"/>
      <c r="I162" s="2"/>
      <c r="J162" s="2"/>
      <c r="K162" s="2"/>
      <c r="L162" s="2"/>
    </row>
    <row r="163" spans="1:12" x14ac:dyDescent="0.2">
      <c r="A163" s="2" t="s">
        <v>11</v>
      </c>
      <c r="B163" s="2" t="s">
        <v>12</v>
      </c>
      <c r="C163" s="2" t="s">
        <v>3</v>
      </c>
      <c r="D163" s="2" t="s">
        <v>8</v>
      </c>
      <c r="E163" s="2" t="s">
        <v>13</v>
      </c>
      <c r="F163" s="2" t="s">
        <v>6</v>
      </c>
      <c r="G163" s="2" t="s">
        <v>5</v>
      </c>
      <c r="H163" s="2"/>
      <c r="I163" s="2"/>
      <c r="J163" s="2"/>
      <c r="K163" s="2"/>
    </row>
    <row r="164" spans="1:12" x14ac:dyDescent="0.2">
      <c r="A164" s="2" t="str">
        <f>B156</f>
        <v>light fuel oil, burned in industrial furnace 1MW</v>
      </c>
      <c r="B164" s="2">
        <v>1</v>
      </c>
      <c r="C164" s="2" t="str">
        <f>B157</f>
        <v>RER</v>
      </c>
      <c r="D164" s="2" t="str">
        <f>B161</f>
        <v>megajoule</v>
      </c>
      <c r="E164" s="2"/>
      <c r="F164" s="2" t="s">
        <v>19</v>
      </c>
      <c r="G164" s="2" t="str">
        <f>B159</f>
        <v>heat</v>
      </c>
      <c r="H164" s="2"/>
      <c r="I164" s="2"/>
      <c r="J164" s="2"/>
      <c r="K164" s="2"/>
      <c r="L164" s="2"/>
    </row>
    <row r="165" spans="1:12" x14ac:dyDescent="0.2">
      <c r="A165" s="2" t="s">
        <v>29</v>
      </c>
      <c r="B165">
        <f>1/(0.024653*40.1)</f>
        <v>1.0115464998316279</v>
      </c>
      <c r="C165" t="s">
        <v>27</v>
      </c>
      <c r="D165" t="s">
        <v>17</v>
      </c>
      <c r="F165" t="s">
        <v>23</v>
      </c>
      <c r="G165" t="s">
        <v>21</v>
      </c>
    </row>
    <row r="167" spans="1:12" x14ac:dyDescent="0.2">
      <c r="A167" s="1" t="s">
        <v>2</v>
      </c>
      <c r="B167" s="1" t="s">
        <v>40</v>
      </c>
      <c r="C167" s="2"/>
      <c r="D167" s="2"/>
      <c r="E167" s="2"/>
      <c r="F167" s="2"/>
      <c r="G167" s="2"/>
      <c r="H167" s="2"/>
    </row>
    <row r="168" spans="1:12" x14ac:dyDescent="0.2">
      <c r="A168" s="2" t="s">
        <v>3</v>
      </c>
      <c r="B168" s="2" t="s">
        <v>18</v>
      </c>
      <c r="C168" s="2"/>
      <c r="D168" s="2"/>
      <c r="E168" s="2"/>
      <c r="F168" s="2"/>
      <c r="G168" s="2"/>
      <c r="H168" s="2"/>
      <c r="I168" s="2"/>
      <c r="J168" s="2"/>
      <c r="K168" s="2"/>
      <c r="L168" s="2"/>
    </row>
    <row r="169" spans="1:12" x14ac:dyDescent="0.2">
      <c r="A169" s="2" t="s">
        <v>4</v>
      </c>
      <c r="B169" s="2">
        <v>1</v>
      </c>
      <c r="C169" s="2"/>
      <c r="D169" s="2"/>
      <c r="E169" s="2"/>
      <c r="F169" s="2"/>
      <c r="G169" s="2"/>
      <c r="H169" s="2"/>
      <c r="I169" s="2"/>
      <c r="J169" s="2"/>
      <c r="K169" s="2"/>
      <c r="L169" s="2"/>
    </row>
    <row r="170" spans="1:12" x14ac:dyDescent="0.2">
      <c r="A170" s="2" t="s">
        <v>5</v>
      </c>
      <c r="B170" s="2" t="s">
        <v>1</v>
      </c>
      <c r="C170" s="2"/>
      <c r="D170" s="2"/>
      <c r="E170" s="2"/>
      <c r="F170" s="2"/>
      <c r="G170" s="2"/>
      <c r="H170" s="2"/>
      <c r="I170" s="2"/>
      <c r="J170" s="2"/>
    </row>
    <row r="171" spans="1:12" x14ac:dyDescent="0.2">
      <c r="A171" s="2" t="s">
        <v>6</v>
      </c>
      <c r="B171" s="2" t="s">
        <v>7</v>
      </c>
      <c r="C171" s="2"/>
      <c r="D171" s="2"/>
      <c r="E171" s="2"/>
      <c r="F171" s="2"/>
      <c r="G171" s="2"/>
      <c r="H171" s="2"/>
      <c r="I171" s="2"/>
      <c r="J171" s="2"/>
      <c r="K171" s="2"/>
      <c r="L171" s="2"/>
    </row>
    <row r="172" spans="1:12" x14ac:dyDescent="0.2">
      <c r="A172" s="2" t="s">
        <v>8</v>
      </c>
      <c r="B172" s="2" t="s">
        <v>17</v>
      </c>
      <c r="C172" s="2"/>
      <c r="D172" s="2"/>
      <c r="E172" s="2"/>
      <c r="F172" s="2"/>
      <c r="G172" s="2"/>
      <c r="H172" s="2"/>
      <c r="I172" s="2"/>
      <c r="J172" s="2"/>
      <c r="K172" s="2"/>
      <c r="L172" s="2"/>
    </row>
    <row r="173" spans="1:12" x14ac:dyDescent="0.2">
      <c r="A173" s="1" t="s">
        <v>10</v>
      </c>
      <c r="B173" s="2"/>
      <c r="C173" s="2"/>
      <c r="D173" s="2"/>
      <c r="E173" s="2"/>
      <c r="F173" s="2"/>
      <c r="G173" s="2"/>
      <c r="H173" s="2"/>
      <c r="I173" s="2"/>
      <c r="J173" s="2"/>
      <c r="K173" s="2"/>
      <c r="L173" s="2"/>
    </row>
    <row r="174" spans="1:12" x14ac:dyDescent="0.2">
      <c r="A174" s="2" t="s">
        <v>11</v>
      </c>
      <c r="B174" s="2" t="s">
        <v>12</v>
      </c>
      <c r="C174" s="2" t="s">
        <v>3</v>
      </c>
      <c r="D174" s="2" t="s">
        <v>8</v>
      </c>
      <c r="E174" s="2" t="s">
        <v>13</v>
      </c>
      <c r="F174" s="2" t="s">
        <v>6</v>
      </c>
      <c r="G174" s="2" t="s">
        <v>5</v>
      </c>
      <c r="H174" s="2"/>
      <c r="I174" s="2"/>
      <c r="J174" s="2"/>
      <c r="K174" s="2"/>
    </row>
    <row r="175" spans="1:12" x14ac:dyDescent="0.2">
      <c r="A175" s="2" t="str">
        <f>B167</f>
        <v>light fuel oil, burned in residential boiler 10kW</v>
      </c>
      <c r="B175" s="2">
        <v>1</v>
      </c>
      <c r="C175" s="2" t="str">
        <f>B168</f>
        <v>RER</v>
      </c>
      <c r="D175" s="2" t="str">
        <f>B172</f>
        <v>megajoule</v>
      </c>
      <c r="E175" s="2"/>
      <c r="F175" s="2" t="s">
        <v>19</v>
      </c>
      <c r="G175" s="2" t="str">
        <f>B170</f>
        <v>heat</v>
      </c>
      <c r="H175" s="2"/>
      <c r="I175" s="2"/>
      <c r="J175" s="2"/>
      <c r="K175" s="2"/>
      <c r="L175" s="2"/>
    </row>
    <row r="176" spans="1:12" x14ac:dyDescent="0.2">
      <c r="A176" s="2" t="s">
        <v>41</v>
      </c>
      <c r="B176">
        <f>1/(0.02342*40.1)</f>
        <v>1.0648017019790403</v>
      </c>
      <c r="C176" t="s">
        <v>27</v>
      </c>
      <c r="D176" t="s">
        <v>17</v>
      </c>
      <c r="F176" t="s">
        <v>23</v>
      </c>
      <c r="G176" t="s">
        <v>39</v>
      </c>
    </row>
    <row r="178" spans="1:12" x14ac:dyDescent="0.2">
      <c r="A178" s="1" t="s">
        <v>2</v>
      </c>
      <c r="B178" s="1" t="s">
        <v>42</v>
      </c>
      <c r="C178" s="2"/>
      <c r="D178" s="2"/>
      <c r="E178" s="2"/>
      <c r="F178" s="2"/>
      <c r="G178" s="2"/>
      <c r="H178" s="2"/>
    </row>
    <row r="179" spans="1:12" x14ac:dyDescent="0.2">
      <c r="A179" s="2" t="s">
        <v>3</v>
      </c>
      <c r="B179" s="2" t="s">
        <v>18</v>
      </c>
      <c r="C179" s="2"/>
      <c r="D179" s="2"/>
      <c r="E179" s="2"/>
      <c r="F179" s="2"/>
      <c r="G179" s="2"/>
      <c r="H179" s="2"/>
      <c r="I179" s="2"/>
      <c r="J179" s="2"/>
      <c r="K179" s="2"/>
      <c r="L179" s="2"/>
    </row>
    <row r="180" spans="1:12" x14ac:dyDescent="0.2">
      <c r="A180" s="2" t="s">
        <v>4</v>
      </c>
      <c r="B180" s="2">
        <v>1</v>
      </c>
      <c r="C180" s="2"/>
      <c r="D180" s="2"/>
      <c r="E180" s="2"/>
      <c r="F180" s="2"/>
      <c r="G180" s="2"/>
      <c r="H180" s="2"/>
      <c r="I180" s="2"/>
      <c r="J180" s="2"/>
      <c r="K180" s="2"/>
      <c r="L180" s="2"/>
    </row>
    <row r="181" spans="1:12" x14ac:dyDescent="0.2">
      <c r="A181" s="2" t="s">
        <v>5</v>
      </c>
      <c r="B181" s="2" t="s">
        <v>1</v>
      </c>
      <c r="C181" s="2"/>
      <c r="D181" s="2"/>
      <c r="E181" s="2"/>
      <c r="F181" s="2"/>
      <c r="G181" s="2"/>
      <c r="H181" s="2"/>
      <c r="I181" s="2"/>
      <c r="J181" s="2"/>
    </row>
    <row r="182" spans="1:12" x14ac:dyDescent="0.2">
      <c r="A182" s="2" t="s">
        <v>6</v>
      </c>
      <c r="B182" s="2" t="s">
        <v>7</v>
      </c>
      <c r="C182" s="2"/>
      <c r="D182" s="2"/>
      <c r="E182" s="2"/>
      <c r="F182" s="2"/>
      <c r="G182" s="2"/>
      <c r="H182" s="2"/>
      <c r="I182" s="2"/>
      <c r="J182" s="2"/>
      <c r="K182" s="2"/>
      <c r="L182" s="2"/>
    </row>
    <row r="183" spans="1:12" x14ac:dyDescent="0.2">
      <c r="A183" s="2" t="s">
        <v>8</v>
      </c>
      <c r="B183" s="2" t="s">
        <v>17</v>
      </c>
      <c r="C183" s="2"/>
      <c r="D183" s="2"/>
      <c r="E183" s="2"/>
      <c r="F183" s="2"/>
      <c r="G183" s="2"/>
      <c r="H183" s="2"/>
      <c r="I183" s="2"/>
      <c r="J183" s="2"/>
      <c r="K183" s="2"/>
      <c r="L183" s="2"/>
    </row>
    <row r="184" spans="1:12" x14ac:dyDescent="0.2">
      <c r="A184" s="1" t="s">
        <v>10</v>
      </c>
      <c r="B184" s="2"/>
      <c r="C184" s="2"/>
      <c r="D184" s="2"/>
      <c r="E184" s="2"/>
      <c r="F184" s="2"/>
      <c r="G184" s="2"/>
      <c r="H184" s="2"/>
      <c r="I184" s="2"/>
      <c r="J184" s="2"/>
      <c r="K184" s="2"/>
      <c r="L184" s="2"/>
    </row>
    <row r="185" spans="1:12" x14ac:dyDescent="0.2">
      <c r="A185" s="2" t="s">
        <v>11</v>
      </c>
      <c r="B185" s="2" t="s">
        <v>12</v>
      </c>
      <c r="C185" s="2" t="s">
        <v>3</v>
      </c>
      <c r="D185" s="2" t="s">
        <v>8</v>
      </c>
      <c r="E185" s="2" t="s">
        <v>13</v>
      </c>
      <c r="F185" s="2" t="s">
        <v>6</v>
      </c>
      <c r="G185" s="2" t="s">
        <v>5</v>
      </c>
      <c r="H185" s="2"/>
      <c r="I185" s="2"/>
      <c r="J185" s="2"/>
      <c r="K185" s="2"/>
    </row>
    <row r="186" spans="1:12" x14ac:dyDescent="0.2">
      <c r="A186" s="2" t="str">
        <f>B178</f>
        <v>propane, burned in industrial furnace &gt;100kW</v>
      </c>
      <c r="B186" s="2">
        <v>1</v>
      </c>
      <c r="C186" s="2" t="str">
        <f>B179</f>
        <v>RER</v>
      </c>
      <c r="D186" s="2" t="str">
        <f>B183</f>
        <v>megajoule</v>
      </c>
      <c r="E186" s="2"/>
      <c r="F186" s="2" t="s">
        <v>19</v>
      </c>
      <c r="G186" s="2" t="str">
        <f>B181</f>
        <v>heat</v>
      </c>
      <c r="H186" s="2"/>
      <c r="I186" s="2"/>
      <c r="J186" s="2"/>
      <c r="K186" s="2"/>
      <c r="L186" s="2"/>
    </row>
    <row r="187" spans="1:12" x14ac:dyDescent="0.2">
      <c r="A187" s="2" t="s">
        <v>43</v>
      </c>
      <c r="B187">
        <f>1/(0.022657*46.4)</f>
        <v>0.95121702511060757</v>
      </c>
      <c r="C187" t="s">
        <v>131</v>
      </c>
      <c r="D187" t="s">
        <v>17</v>
      </c>
      <c r="F187" t="s">
        <v>23</v>
      </c>
      <c r="G187" t="s">
        <v>21</v>
      </c>
    </row>
    <row r="189" spans="1:12" x14ac:dyDescent="0.2">
      <c r="A189" s="1" t="s">
        <v>2</v>
      </c>
      <c r="B189" s="1" t="s">
        <v>32</v>
      </c>
      <c r="C189" s="2"/>
      <c r="D189" s="2"/>
      <c r="E189" s="2"/>
      <c r="F189" s="2"/>
      <c r="G189" s="2"/>
      <c r="H189" s="2"/>
    </row>
    <row r="190" spans="1:12" x14ac:dyDescent="0.2">
      <c r="A190" s="2" t="s">
        <v>3</v>
      </c>
      <c r="B190" s="2" t="s">
        <v>18</v>
      </c>
      <c r="C190" s="2"/>
      <c r="D190" s="2"/>
      <c r="E190" s="2"/>
      <c r="F190" s="2"/>
      <c r="G190" s="2"/>
      <c r="H190" s="2"/>
      <c r="I190" s="2"/>
      <c r="J190" s="2"/>
      <c r="K190" s="2"/>
      <c r="L190" s="2"/>
    </row>
    <row r="191" spans="1:12" x14ac:dyDescent="0.2">
      <c r="A191" s="2" t="s">
        <v>4</v>
      </c>
      <c r="B191" s="2">
        <v>1</v>
      </c>
      <c r="C191" s="2"/>
      <c r="D191" s="2"/>
      <c r="E191" s="2"/>
      <c r="F191" s="2"/>
      <c r="G191" s="2"/>
      <c r="H191" s="2"/>
      <c r="I191" s="2"/>
      <c r="J191" s="2"/>
      <c r="K191" s="2"/>
      <c r="L191" s="2"/>
    </row>
    <row r="192" spans="1:12" x14ac:dyDescent="0.2">
      <c r="A192" s="2" t="s">
        <v>5</v>
      </c>
      <c r="B192" s="2" t="s">
        <v>1</v>
      </c>
      <c r="C192" s="2"/>
      <c r="D192" s="2"/>
      <c r="E192" s="2"/>
      <c r="F192" s="2"/>
      <c r="G192" s="2"/>
      <c r="H192" s="2"/>
      <c r="I192" s="2"/>
      <c r="J192" s="2"/>
    </row>
    <row r="193" spans="1:12" x14ac:dyDescent="0.2">
      <c r="A193" s="2" t="s">
        <v>6</v>
      </c>
      <c r="B193" s="2" t="s">
        <v>7</v>
      </c>
      <c r="C193" s="2"/>
      <c r="D193" s="2"/>
      <c r="E193" s="2"/>
      <c r="F193" s="2"/>
      <c r="G193" s="2"/>
      <c r="H193" s="2"/>
      <c r="I193" s="2"/>
      <c r="J193" s="2"/>
      <c r="K193" s="2"/>
      <c r="L193" s="2"/>
    </row>
    <row r="194" spans="1:12" x14ac:dyDescent="0.2">
      <c r="A194" s="2" t="s">
        <v>8</v>
      </c>
      <c r="B194" s="2" t="s">
        <v>17</v>
      </c>
      <c r="C194" s="2"/>
      <c r="D194" s="2"/>
      <c r="E194" s="2"/>
      <c r="F194" s="2"/>
      <c r="G194" s="2"/>
      <c r="H194" s="2"/>
      <c r="I194" s="2"/>
      <c r="J194" s="2"/>
      <c r="K194" s="2"/>
      <c r="L194" s="2"/>
    </row>
    <row r="195" spans="1:12" x14ac:dyDescent="0.2">
      <c r="A195" s="1" t="s">
        <v>10</v>
      </c>
      <c r="B195" s="2"/>
      <c r="C195" s="2"/>
      <c r="D195" s="2"/>
      <c r="E195" s="2"/>
      <c r="F195" s="2"/>
      <c r="G195" s="2"/>
      <c r="H195" s="2"/>
      <c r="I195" s="2"/>
      <c r="J195" s="2"/>
      <c r="K195" s="2"/>
      <c r="L195" s="2"/>
    </row>
    <row r="196" spans="1:12" x14ac:dyDescent="0.2">
      <c r="A196" s="2" t="s">
        <v>11</v>
      </c>
      <c r="B196" s="2" t="s">
        <v>12</v>
      </c>
      <c r="C196" s="2" t="s">
        <v>3</v>
      </c>
      <c r="D196" s="2" t="s">
        <v>8</v>
      </c>
      <c r="E196" s="2" t="s">
        <v>13</v>
      </c>
      <c r="F196" s="2" t="s">
        <v>6</v>
      </c>
      <c r="G196" s="2" t="s">
        <v>5</v>
      </c>
      <c r="H196" s="2"/>
      <c r="I196" s="2"/>
      <c r="J196" s="2"/>
      <c r="K196" s="2"/>
    </row>
    <row r="197" spans="1:12" x14ac:dyDescent="0.2">
      <c r="A197" s="2" t="str">
        <f>B189</f>
        <v>methanol from biomass, burned in residential boiler</v>
      </c>
      <c r="B197" s="2">
        <v>1</v>
      </c>
      <c r="C197" s="2" t="str">
        <f>B190</f>
        <v>RER</v>
      </c>
      <c r="D197" s="2" t="str">
        <f>B194</f>
        <v>megajoule</v>
      </c>
      <c r="E197" s="2"/>
      <c r="F197" s="2" t="s">
        <v>19</v>
      </c>
      <c r="G197" s="2" t="str">
        <f>B192</f>
        <v>heat</v>
      </c>
      <c r="H197" s="2"/>
      <c r="I197" s="2"/>
      <c r="J197" s="2"/>
      <c r="K197" s="2"/>
      <c r="L197" s="2"/>
    </row>
    <row r="198" spans="1:12" x14ac:dyDescent="0.2">
      <c r="A198" s="2" t="s">
        <v>30</v>
      </c>
      <c r="B198">
        <f>1/(0.05556*20)</f>
        <v>0.89992800575953924</v>
      </c>
      <c r="C198" t="s">
        <v>18</v>
      </c>
      <c r="D198" t="s">
        <v>17</v>
      </c>
      <c r="F198" t="s">
        <v>23</v>
      </c>
      <c r="G198" t="s">
        <v>31</v>
      </c>
    </row>
    <row r="200" spans="1:12" x14ac:dyDescent="0.2">
      <c r="A200" s="1" t="s">
        <v>2</v>
      </c>
      <c r="B200" s="1" t="s">
        <v>35</v>
      </c>
      <c r="C200" s="2"/>
      <c r="D200" s="2"/>
      <c r="E200" s="2"/>
      <c r="F200" s="2"/>
      <c r="G200" s="2"/>
      <c r="H200" s="2"/>
    </row>
    <row r="201" spans="1:12" x14ac:dyDescent="0.2">
      <c r="A201" s="2" t="s">
        <v>3</v>
      </c>
      <c r="B201" s="2" t="s">
        <v>18</v>
      </c>
      <c r="C201" s="2"/>
      <c r="D201" s="2"/>
      <c r="E201" s="2"/>
      <c r="F201" s="2"/>
      <c r="G201" s="2"/>
      <c r="H201" s="2"/>
      <c r="I201" s="2"/>
      <c r="J201" s="2"/>
      <c r="K201" s="2"/>
      <c r="L201" s="2"/>
    </row>
    <row r="202" spans="1:12" x14ac:dyDescent="0.2">
      <c r="A202" s="2" t="s">
        <v>4</v>
      </c>
      <c r="B202" s="2">
        <v>1</v>
      </c>
      <c r="C202" s="2"/>
      <c r="D202" s="2"/>
      <c r="E202" s="2"/>
      <c r="F202" s="2"/>
      <c r="G202" s="2"/>
      <c r="H202" s="2"/>
      <c r="I202" s="2"/>
      <c r="J202" s="2"/>
      <c r="K202" s="2"/>
      <c r="L202" s="2"/>
    </row>
    <row r="203" spans="1:12" x14ac:dyDescent="0.2">
      <c r="A203" s="2" t="s">
        <v>5</v>
      </c>
      <c r="B203" s="2" t="s">
        <v>1</v>
      </c>
      <c r="C203" s="2"/>
      <c r="D203" s="2"/>
      <c r="E203" s="2"/>
      <c r="F203" s="2"/>
      <c r="G203" s="2"/>
      <c r="H203" s="2"/>
      <c r="I203" s="2"/>
      <c r="J203" s="2"/>
    </row>
    <row r="204" spans="1:12" x14ac:dyDescent="0.2">
      <c r="A204" s="2" t="s">
        <v>6</v>
      </c>
      <c r="B204" s="2" t="s">
        <v>7</v>
      </c>
      <c r="C204" s="2"/>
      <c r="D204" s="2"/>
      <c r="E204" s="2"/>
      <c r="F204" s="2"/>
      <c r="G204" s="2"/>
      <c r="H204" s="2"/>
      <c r="I204" s="2"/>
      <c r="J204" s="2"/>
      <c r="K204" s="2"/>
      <c r="L204" s="2"/>
    </row>
    <row r="205" spans="1:12" x14ac:dyDescent="0.2">
      <c r="A205" s="2" t="s">
        <v>8</v>
      </c>
      <c r="B205" s="2" t="s">
        <v>17</v>
      </c>
      <c r="C205" s="2"/>
      <c r="D205" s="2"/>
      <c r="E205" s="2"/>
      <c r="F205" s="2"/>
      <c r="G205" s="2"/>
      <c r="H205" s="2"/>
      <c r="I205" s="2"/>
      <c r="J205" s="2"/>
      <c r="K205" s="2"/>
      <c r="L205" s="2"/>
    </row>
    <row r="206" spans="1:12" x14ac:dyDescent="0.2">
      <c r="A206" s="1" t="s">
        <v>10</v>
      </c>
      <c r="B206" s="2"/>
      <c r="C206" s="2"/>
      <c r="D206" s="2"/>
      <c r="E206" s="2"/>
      <c r="F206" s="2"/>
      <c r="G206" s="2"/>
      <c r="H206" s="2"/>
      <c r="I206" s="2"/>
      <c r="J206" s="2"/>
      <c r="K206" s="2"/>
      <c r="L206" s="2"/>
    </row>
    <row r="207" spans="1:12" x14ac:dyDescent="0.2">
      <c r="A207" s="2" t="s">
        <v>11</v>
      </c>
      <c r="B207" s="2" t="s">
        <v>12</v>
      </c>
      <c r="C207" s="2" t="s">
        <v>3</v>
      </c>
      <c r="D207" s="2" t="s">
        <v>8</v>
      </c>
      <c r="E207" s="2" t="s">
        <v>13</v>
      </c>
      <c r="F207" s="2" t="s">
        <v>6</v>
      </c>
      <c r="G207" s="2" t="s">
        <v>5</v>
      </c>
      <c r="H207" s="2"/>
      <c r="I207" s="2"/>
      <c r="J207" s="2"/>
      <c r="K207" s="2"/>
    </row>
    <row r="208" spans="1:12" x14ac:dyDescent="0.2">
      <c r="A208" s="2" t="str">
        <f>B200</f>
        <v>methanol from coal, burned in residential boiler</v>
      </c>
      <c r="B208" s="2">
        <v>1</v>
      </c>
      <c r="C208" s="2" t="str">
        <f>B201</f>
        <v>RER</v>
      </c>
      <c r="D208" s="2" t="str">
        <f>B205</f>
        <v>megajoule</v>
      </c>
      <c r="E208" s="2"/>
      <c r="F208" s="2" t="s">
        <v>19</v>
      </c>
      <c r="G208" s="2" t="str">
        <f>B203</f>
        <v>heat</v>
      </c>
      <c r="H208" s="2"/>
      <c r="I208" s="2"/>
      <c r="J208" s="2"/>
      <c r="K208" s="2"/>
      <c r="L208" s="2"/>
    </row>
    <row r="209" spans="1:12" x14ac:dyDescent="0.2">
      <c r="A209" s="2" t="s">
        <v>36</v>
      </c>
      <c r="B209">
        <f>1/(0.05556*20)</f>
        <v>0.89992800575953924</v>
      </c>
      <c r="C209" t="s">
        <v>18</v>
      </c>
      <c r="D209" t="s">
        <v>17</v>
      </c>
      <c r="F209" t="s">
        <v>23</v>
      </c>
      <c r="G209" t="s">
        <v>31</v>
      </c>
    </row>
    <row r="211" spans="1:12" x14ac:dyDescent="0.2">
      <c r="A211" s="1" t="s">
        <v>2</v>
      </c>
      <c r="B211" s="1" t="s">
        <v>286</v>
      </c>
      <c r="C211" s="2"/>
      <c r="D211" s="2"/>
      <c r="E211" s="2"/>
      <c r="F211" s="2"/>
      <c r="G211" s="2"/>
      <c r="H211" s="2"/>
    </row>
    <row r="212" spans="1:12" x14ac:dyDescent="0.2">
      <c r="A212" s="2" t="s">
        <v>3</v>
      </c>
      <c r="B212" s="2" t="s">
        <v>18</v>
      </c>
      <c r="C212" s="2"/>
      <c r="D212" s="2"/>
      <c r="E212" s="2"/>
      <c r="F212" s="2"/>
      <c r="G212" s="2"/>
      <c r="H212" s="2"/>
      <c r="I212" s="2"/>
      <c r="J212" s="2"/>
      <c r="K212" s="2"/>
      <c r="L212" s="2"/>
    </row>
    <row r="213" spans="1:12" x14ac:dyDescent="0.2">
      <c r="A213" s="2" t="s">
        <v>4</v>
      </c>
      <c r="B213" s="2">
        <v>1</v>
      </c>
      <c r="C213" s="2"/>
      <c r="D213" s="2"/>
      <c r="E213" s="2"/>
      <c r="F213" s="2"/>
      <c r="G213" s="2"/>
      <c r="H213" s="2"/>
      <c r="I213" s="2"/>
      <c r="J213" s="2"/>
      <c r="K213" s="2"/>
      <c r="L213" s="2"/>
    </row>
    <row r="214" spans="1:12" x14ac:dyDescent="0.2">
      <c r="A214" s="2" t="s">
        <v>5</v>
      </c>
      <c r="B214" s="2" t="s">
        <v>1</v>
      </c>
      <c r="C214" s="2"/>
      <c r="D214" s="2"/>
      <c r="E214" s="2"/>
      <c r="F214" s="2"/>
      <c r="G214" s="2"/>
      <c r="H214" s="2"/>
      <c r="I214" s="2"/>
      <c r="J214" s="2"/>
    </row>
    <row r="215" spans="1:12" x14ac:dyDescent="0.2">
      <c r="A215" s="2" t="s">
        <v>6</v>
      </c>
      <c r="B215" s="2" t="s">
        <v>7</v>
      </c>
      <c r="C215" s="2"/>
      <c r="D215" s="2"/>
      <c r="E215" s="2"/>
      <c r="F215" s="2"/>
      <c r="G215" s="2"/>
      <c r="H215" s="2"/>
      <c r="I215" s="2"/>
      <c r="J215" s="2"/>
      <c r="K215" s="2"/>
      <c r="L215" s="2"/>
    </row>
    <row r="216" spans="1:12" x14ac:dyDescent="0.2">
      <c r="A216" s="2" t="s">
        <v>8</v>
      </c>
      <c r="B216" s="2" t="s">
        <v>17</v>
      </c>
      <c r="C216" s="2"/>
      <c r="D216" s="2"/>
      <c r="E216" s="2"/>
      <c r="F216" s="2"/>
      <c r="G216" s="2"/>
      <c r="H216" s="2"/>
      <c r="I216" s="2"/>
      <c r="J216" s="2"/>
      <c r="K216" s="2"/>
      <c r="L216" s="2"/>
    </row>
    <row r="217" spans="1:12" x14ac:dyDescent="0.2">
      <c r="A217" s="1" t="s">
        <v>10</v>
      </c>
      <c r="B217" s="2"/>
      <c r="C217" s="2"/>
      <c r="D217" s="2"/>
      <c r="E217" s="2"/>
      <c r="F217" s="2"/>
      <c r="G217" s="2"/>
      <c r="H217" s="2"/>
      <c r="I217" s="2"/>
      <c r="J217" s="2"/>
      <c r="K217" s="2"/>
      <c r="L217" s="2"/>
    </row>
    <row r="218" spans="1:12" x14ac:dyDescent="0.2">
      <c r="A218" s="2" t="s">
        <v>11</v>
      </c>
      <c r="B218" s="2" t="s">
        <v>12</v>
      </c>
      <c r="C218" s="2" t="s">
        <v>3</v>
      </c>
      <c r="D218" s="2" t="s">
        <v>8</v>
      </c>
      <c r="E218" s="2" t="s">
        <v>13</v>
      </c>
      <c r="F218" s="2" t="s">
        <v>6</v>
      </c>
      <c r="G218" s="2" t="s">
        <v>5</v>
      </c>
      <c r="H218" s="2"/>
      <c r="I218" s="2"/>
      <c r="J218" s="2"/>
      <c r="K218" s="2"/>
    </row>
    <row r="219" spans="1:12" x14ac:dyDescent="0.2">
      <c r="A219" s="2" t="str">
        <f>B211</f>
        <v>natural gas, synthetic, burned in gas turbine</v>
      </c>
      <c r="B219" s="2">
        <v>1</v>
      </c>
      <c r="C219" s="2" t="str">
        <f>B212</f>
        <v>RER</v>
      </c>
      <c r="D219" s="2" t="str">
        <f>B216</f>
        <v>megajoule</v>
      </c>
      <c r="E219" s="2"/>
      <c r="F219" s="2" t="s">
        <v>19</v>
      </c>
      <c r="G219" s="2" t="str">
        <f>B214</f>
        <v>heat</v>
      </c>
      <c r="H219" s="2"/>
      <c r="I219" s="2"/>
      <c r="J219" s="2"/>
      <c r="K219" s="2"/>
      <c r="L219" s="2"/>
    </row>
    <row r="220" spans="1:12" x14ac:dyDescent="0.2">
      <c r="A220" t="s">
        <v>288</v>
      </c>
      <c r="B220" s="15">
        <v>1.15E-10</v>
      </c>
      <c r="C220" t="s">
        <v>18</v>
      </c>
      <c r="D220" t="s">
        <v>8</v>
      </c>
      <c r="F220" t="s">
        <v>23</v>
      </c>
      <c r="G220" t="s">
        <v>287</v>
      </c>
    </row>
    <row r="221" spans="1:12" x14ac:dyDescent="0.2">
      <c r="A221" t="s">
        <v>292</v>
      </c>
      <c r="B221" s="2">
        <f>1/47.5</f>
        <v>2.1052631578947368E-2</v>
      </c>
      <c r="C221" t="s">
        <v>18</v>
      </c>
      <c r="D221" t="s">
        <v>9</v>
      </c>
      <c r="F221" t="s">
        <v>23</v>
      </c>
      <c r="G221" t="s">
        <v>293</v>
      </c>
    </row>
    <row r="222" spans="1:12" x14ac:dyDescent="0.2">
      <c r="A222" t="s">
        <v>124</v>
      </c>
      <c r="B222">
        <v>5.5968058436988398E-2</v>
      </c>
      <c r="D222" t="s">
        <v>9</v>
      </c>
      <c r="E222" t="s">
        <v>14</v>
      </c>
    </row>
    <row r="223" spans="1:12" x14ac:dyDescent="0.2">
      <c r="A223" t="s">
        <v>125</v>
      </c>
      <c r="B223" s="3">
        <v>4.0000000000000003E-5</v>
      </c>
      <c r="D223" t="s">
        <v>9</v>
      </c>
      <c r="E223" t="s">
        <v>14</v>
      </c>
    </row>
    <row r="224" spans="1:12" x14ac:dyDescent="0.2">
      <c r="A224" t="s">
        <v>59</v>
      </c>
      <c r="B224" s="3">
        <v>9.9999999999999995E-7</v>
      </c>
      <c r="D224" t="s">
        <v>9</v>
      </c>
      <c r="E224" t="s">
        <v>14</v>
      </c>
    </row>
    <row r="225" spans="1:12" x14ac:dyDescent="0.2">
      <c r="A225" t="s">
        <v>104</v>
      </c>
      <c r="B225" s="3">
        <v>2.9000000000000003E-17</v>
      </c>
      <c r="D225" t="s">
        <v>9</v>
      </c>
      <c r="E225" t="s">
        <v>14</v>
      </c>
    </row>
    <row r="226" spans="1:12" x14ac:dyDescent="0.2">
      <c r="A226" t="s">
        <v>289</v>
      </c>
      <c r="B226">
        <v>1.1000000000000001</v>
      </c>
      <c r="D226" t="s">
        <v>17</v>
      </c>
      <c r="E226" t="s">
        <v>14</v>
      </c>
    </row>
    <row r="227" spans="1:12" x14ac:dyDescent="0.2">
      <c r="A227" t="s">
        <v>65</v>
      </c>
      <c r="B227" s="3">
        <v>3E-11</v>
      </c>
      <c r="D227" t="s">
        <v>9</v>
      </c>
      <c r="E227" t="s">
        <v>14</v>
      </c>
    </row>
    <row r="228" spans="1:12" x14ac:dyDescent="0.2">
      <c r="A228" t="s">
        <v>66</v>
      </c>
      <c r="B228" s="3">
        <v>4.40134279210326E-6</v>
      </c>
      <c r="D228" t="s">
        <v>9</v>
      </c>
      <c r="E228" t="s">
        <v>14</v>
      </c>
    </row>
    <row r="229" spans="1:12" x14ac:dyDescent="0.2">
      <c r="A229" t="s">
        <v>68</v>
      </c>
      <c r="B229" s="3">
        <v>9.9999999999999995E-7</v>
      </c>
      <c r="D229" t="s">
        <v>9</v>
      </c>
      <c r="E229" t="s">
        <v>14</v>
      </c>
    </row>
    <row r="230" spans="1:12" x14ac:dyDescent="0.2">
      <c r="A230" t="s">
        <v>70</v>
      </c>
      <c r="B230">
        <v>1.27058370604326E-4</v>
      </c>
      <c r="D230" t="s">
        <v>9</v>
      </c>
      <c r="E230" t="s">
        <v>14</v>
      </c>
    </row>
    <row r="231" spans="1:12" x14ac:dyDescent="0.2">
      <c r="A231" t="s">
        <v>78</v>
      </c>
      <c r="B231" s="3">
        <v>5.5000000000000003E-7</v>
      </c>
      <c r="D231" t="s">
        <v>9</v>
      </c>
      <c r="E231" t="s">
        <v>14</v>
      </c>
    </row>
    <row r="232" spans="1:12" x14ac:dyDescent="0.2">
      <c r="A232" t="s">
        <v>290</v>
      </c>
      <c r="B232">
        <v>4.0821972963304497E-2</v>
      </c>
      <c r="D232" t="s">
        <v>9</v>
      </c>
      <c r="E232" t="s">
        <v>291</v>
      </c>
    </row>
    <row r="233" spans="1:12" x14ac:dyDescent="0.2">
      <c r="A233" t="s">
        <v>124</v>
      </c>
      <c r="B233" s="3">
        <v>3.1941563011577698E-5</v>
      </c>
      <c r="D233" t="s">
        <v>9</v>
      </c>
      <c r="E233" t="s">
        <v>118</v>
      </c>
    </row>
    <row r="235" spans="1:12" x14ac:dyDescent="0.2">
      <c r="A235" s="1" t="s">
        <v>2</v>
      </c>
      <c r="B235" s="1" t="s">
        <v>90</v>
      </c>
      <c r="C235" s="2"/>
      <c r="D235" s="2"/>
      <c r="E235" s="2"/>
      <c r="F235" s="2"/>
      <c r="G235" s="2"/>
      <c r="H235" s="2"/>
    </row>
    <row r="236" spans="1:12" x14ac:dyDescent="0.2">
      <c r="A236" s="2" t="s">
        <v>3</v>
      </c>
      <c r="B236" s="2" t="s">
        <v>18</v>
      </c>
      <c r="C236" s="2"/>
      <c r="D236" s="2"/>
      <c r="E236" s="2"/>
      <c r="F236" s="2"/>
      <c r="G236" s="2"/>
      <c r="H236" s="2"/>
      <c r="I236" s="2"/>
      <c r="J236" s="2"/>
      <c r="K236" s="2"/>
      <c r="L236" s="2"/>
    </row>
    <row r="237" spans="1:12" x14ac:dyDescent="0.2">
      <c r="A237" s="2" t="s">
        <v>4</v>
      </c>
      <c r="B237" s="2">
        <v>1</v>
      </c>
      <c r="C237" s="2"/>
      <c r="D237" s="2"/>
      <c r="E237" s="2"/>
      <c r="F237" s="2"/>
      <c r="G237" s="2"/>
      <c r="H237" s="2"/>
      <c r="I237" s="2"/>
      <c r="J237" s="2"/>
      <c r="K237" s="2"/>
      <c r="L237" s="2"/>
    </row>
    <row r="238" spans="1:12" x14ac:dyDescent="0.2">
      <c r="A238" s="2" t="s">
        <v>5</v>
      </c>
      <c r="B238" s="2" t="s">
        <v>1</v>
      </c>
      <c r="C238" s="2"/>
      <c r="D238" s="2"/>
      <c r="E238" s="2"/>
      <c r="F238" s="2"/>
      <c r="G238" s="2"/>
      <c r="H238" s="2"/>
      <c r="I238" s="2"/>
      <c r="J238" s="2"/>
    </row>
    <row r="239" spans="1:12" x14ac:dyDescent="0.2">
      <c r="A239" s="2" t="s">
        <v>6</v>
      </c>
      <c r="B239" s="2" t="s">
        <v>7</v>
      </c>
      <c r="C239" s="2"/>
      <c r="D239" s="2"/>
      <c r="E239" s="2"/>
      <c r="F239" s="2"/>
      <c r="G239" s="2"/>
      <c r="H239" s="2"/>
      <c r="I239" s="2"/>
      <c r="J239" s="2"/>
      <c r="K239" s="2"/>
      <c r="L239" s="2"/>
    </row>
    <row r="240" spans="1:12" x14ac:dyDescent="0.2">
      <c r="A240" s="2" t="s">
        <v>8</v>
      </c>
      <c r="B240" s="2" t="s">
        <v>17</v>
      </c>
      <c r="C240" s="2"/>
      <c r="D240" s="2"/>
      <c r="E240" s="2"/>
      <c r="F240" s="2"/>
      <c r="G240" s="2"/>
      <c r="H240" s="2"/>
      <c r="I240" s="2"/>
      <c r="J240" s="2"/>
      <c r="K240" s="2"/>
      <c r="L240" s="2"/>
    </row>
    <row r="241" spans="1:12" x14ac:dyDescent="0.2">
      <c r="A241" s="1" t="s">
        <v>10</v>
      </c>
      <c r="B241" s="2"/>
      <c r="C241" s="2"/>
      <c r="D241" s="2"/>
      <c r="E241" s="2"/>
      <c r="F241" s="2"/>
      <c r="G241" s="2"/>
      <c r="H241" s="2"/>
      <c r="I241" s="2"/>
      <c r="J241" s="2"/>
      <c r="K241" s="2"/>
      <c r="L241" s="2"/>
    </row>
    <row r="242" spans="1:12" x14ac:dyDescent="0.2">
      <c r="A242" s="2" t="s">
        <v>11</v>
      </c>
      <c r="B242" s="2" t="s">
        <v>12</v>
      </c>
      <c r="C242" s="2" t="s">
        <v>3</v>
      </c>
      <c r="D242" s="2" t="s">
        <v>8</v>
      </c>
      <c r="E242" s="2" t="s">
        <v>13</v>
      </c>
      <c r="F242" s="2" t="s">
        <v>6</v>
      </c>
      <c r="G242" s="2" t="s">
        <v>5</v>
      </c>
      <c r="H242" s="2"/>
      <c r="I242" s="2"/>
      <c r="J242" s="2"/>
      <c r="K242" s="2"/>
    </row>
    <row r="243" spans="1:12" x14ac:dyDescent="0.2">
      <c r="A243" s="2" t="str">
        <f>B235</f>
        <v>diesel, burned in heavy-duty vehicle</v>
      </c>
      <c r="B243" s="2">
        <v>1</v>
      </c>
      <c r="C243" s="2" t="str">
        <f>B236</f>
        <v>RER</v>
      </c>
      <c r="D243" s="2" t="str">
        <f>B240</f>
        <v>megajoule</v>
      </c>
      <c r="E243" s="2"/>
      <c r="F243" s="2" t="s">
        <v>19</v>
      </c>
      <c r="G243" s="2" t="str">
        <f>B238</f>
        <v>heat</v>
      </c>
      <c r="H243" s="2"/>
      <c r="I243" s="2"/>
      <c r="J243" s="2"/>
      <c r="K243" s="2"/>
      <c r="L243" s="2"/>
    </row>
    <row r="244" spans="1:12" x14ac:dyDescent="0.2">
      <c r="A244" s="2" t="s">
        <v>121</v>
      </c>
      <c r="B244">
        <f>1/43</f>
        <v>2.3255813953488372E-2</v>
      </c>
      <c r="C244" t="s">
        <v>27</v>
      </c>
      <c r="D244" t="s">
        <v>9</v>
      </c>
      <c r="F244" t="s">
        <v>23</v>
      </c>
      <c r="G244" t="s">
        <v>45</v>
      </c>
    </row>
    <row r="245" spans="1:12" x14ac:dyDescent="0.2">
      <c r="A245" s="2" t="s">
        <v>150</v>
      </c>
      <c r="B245">
        <f>1000/1000000/8.57</f>
        <v>1.1668611435239206E-4</v>
      </c>
      <c r="C245" t="s">
        <v>18</v>
      </c>
      <c r="D245" t="s">
        <v>9</v>
      </c>
      <c r="F245" t="s">
        <v>23</v>
      </c>
      <c r="G245" s="2" t="s">
        <v>150</v>
      </c>
    </row>
    <row r="246" spans="1:12" x14ac:dyDescent="0.2">
      <c r="A246" t="s">
        <v>46</v>
      </c>
      <c r="B246" s="3">
        <v>9.0891902402005496E-8</v>
      </c>
      <c r="D246" t="s">
        <v>9</v>
      </c>
      <c r="E246" t="s">
        <v>14</v>
      </c>
      <c r="F246" s="2" t="s">
        <v>15</v>
      </c>
      <c r="H246" s="3"/>
      <c r="J246" s="3"/>
    </row>
    <row r="247" spans="1:12" x14ac:dyDescent="0.2">
      <c r="A247" t="s">
        <v>48</v>
      </c>
      <c r="B247" s="3">
        <v>3.5203209464194309E-8</v>
      </c>
      <c r="D247" t="s">
        <v>9</v>
      </c>
      <c r="E247" t="s">
        <v>14</v>
      </c>
      <c r="F247" s="2" t="s">
        <v>15</v>
      </c>
      <c r="H247" s="3"/>
    </row>
    <row r="248" spans="1:12" x14ac:dyDescent="0.2">
      <c r="A248" t="s">
        <v>49</v>
      </c>
      <c r="B248" s="3">
        <v>2.2775546498939349E-7</v>
      </c>
      <c r="D248" t="s">
        <v>9</v>
      </c>
      <c r="E248" t="s">
        <v>14</v>
      </c>
      <c r="F248" s="2" t="s">
        <v>15</v>
      </c>
      <c r="H248" s="3"/>
    </row>
    <row r="249" spans="1:12" x14ac:dyDescent="0.2">
      <c r="A249" t="s">
        <v>91</v>
      </c>
      <c r="B249" s="3">
        <v>2.3255813953488445E-12</v>
      </c>
      <c r="D249" t="s">
        <v>9</v>
      </c>
      <c r="E249" t="s">
        <v>14</v>
      </c>
      <c r="F249" s="2" t="s">
        <v>15</v>
      </c>
      <c r="H249" s="3"/>
    </row>
    <row r="250" spans="1:12" x14ac:dyDescent="0.2">
      <c r="A250" t="s">
        <v>50</v>
      </c>
      <c r="B250" s="3">
        <v>2.7247681901736397E-8</v>
      </c>
      <c r="D250" t="s">
        <v>9</v>
      </c>
      <c r="E250" t="s">
        <v>14</v>
      </c>
      <c r="F250" s="2" t="s">
        <v>15</v>
      </c>
      <c r="H250" s="3"/>
    </row>
    <row r="251" spans="1:12" x14ac:dyDescent="0.2">
      <c r="A251" t="s">
        <v>51</v>
      </c>
      <c r="B251" s="3">
        <v>1.3922173234392214E-9</v>
      </c>
      <c r="D251" t="s">
        <v>9</v>
      </c>
      <c r="E251" t="s">
        <v>14</v>
      </c>
      <c r="F251" s="2" t="s">
        <v>15</v>
      </c>
      <c r="H251" s="3"/>
    </row>
    <row r="252" spans="1:12" x14ac:dyDescent="0.2">
      <c r="A252" t="s">
        <v>52</v>
      </c>
      <c r="B252" s="3">
        <v>2.9833228359550366E-9</v>
      </c>
      <c r="D252" t="s">
        <v>9</v>
      </c>
      <c r="E252" t="s">
        <v>14</v>
      </c>
      <c r="F252" s="2" t="s">
        <v>15</v>
      </c>
      <c r="H252" s="3"/>
    </row>
    <row r="253" spans="1:12" x14ac:dyDescent="0.2">
      <c r="A253" t="s">
        <v>53</v>
      </c>
      <c r="B253" s="3">
        <v>2.0232558139597954E-10</v>
      </c>
      <c r="D253" t="s">
        <v>9</v>
      </c>
      <c r="E253" t="s">
        <v>14</v>
      </c>
      <c r="F253" s="2" t="s">
        <v>15</v>
      </c>
      <c r="H253" s="3"/>
    </row>
    <row r="254" spans="1:12" x14ac:dyDescent="0.2">
      <c r="A254" t="s">
        <v>54</v>
      </c>
      <c r="B254">
        <v>6.9708852499276011E-2</v>
      </c>
      <c r="D254" t="s">
        <v>9</v>
      </c>
      <c r="E254" t="s">
        <v>14</v>
      </c>
      <c r="F254" s="2" t="s">
        <v>15</v>
      </c>
      <c r="H254" s="3"/>
      <c r="I254" s="3"/>
    </row>
    <row r="255" spans="1:12" x14ac:dyDescent="0.2">
      <c r="A255" t="s">
        <v>55</v>
      </c>
      <c r="B255" s="3">
        <v>6.3521092350262397E-5</v>
      </c>
      <c r="D255" t="s">
        <v>9</v>
      </c>
      <c r="E255" t="s">
        <v>14</v>
      </c>
      <c r="F255" s="2" t="s">
        <v>15</v>
      </c>
      <c r="H255" s="3"/>
    </row>
    <row r="256" spans="1:12" x14ac:dyDescent="0.2">
      <c r="A256" t="s">
        <v>56</v>
      </c>
      <c r="B256" s="3">
        <v>6.9767441860586501E-10</v>
      </c>
      <c r="D256" t="s">
        <v>9</v>
      </c>
      <c r="E256" t="s">
        <v>14</v>
      </c>
      <c r="F256" s="2" t="s">
        <v>15</v>
      </c>
      <c r="H256" s="3"/>
    </row>
    <row r="257" spans="1:8" x14ac:dyDescent="0.2">
      <c r="A257" t="s">
        <v>57</v>
      </c>
      <c r="B257" s="3">
        <v>1.3953488372165768E-12</v>
      </c>
      <c r="D257" t="s">
        <v>9</v>
      </c>
      <c r="E257" t="s">
        <v>14</v>
      </c>
      <c r="F257" s="2" t="s">
        <v>15</v>
      </c>
      <c r="H257" s="3"/>
    </row>
    <row r="258" spans="1:8" x14ac:dyDescent="0.2">
      <c r="A258" t="s">
        <v>58</v>
      </c>
      <c r="B258" s="3">
        <v>4.9302325581458507E-10</v>
      </c>
      <c r="D258" t="s">
        <v>9</v>
      </c>
      <c r="E258" t="s">
        <v>14</v>
      </c>
      <c r="F258" s="2" t="s">
        <v>15</v>
      </c>
      <c r="H258" s="3"/>
    </row>
    <row r="259" spans="1:8" x14ac:dyDescent="0.2">
      <c r="A259" t="s">
        <v>59</v>
      </c>
      <c r="B259" s="3">
        <v>3.7969387682723317E-6</v>
      </c>
      <c r="D259" t="s">
        <v>9</v>
      </c>
      <c r="E259" t="s">
        <v>14</v>
      </c>
      <c r="F259" s="2" t="s">
        <v>15</v>
      </c>
      <c r="H259" s="3"/>
    </row>
    <row r="260" spans="1:8" x14ac:dyDescent="0.2">
      <c r="A260" t="s">
        <v>60</v>
      </c>
      <c r="B260" s="3">
        <v>5.966645671897956E-10</v>
      </c>
      <c r="D260" t="s">
        <v>9</v>
      </c>
      <c r="E260" t="s">
        <v>14</v>
      </c>
      <c r="F260" s="2" t="s">
        <v>15</v>
      </c>
      <c r="H260" s="3"/>
    </row>
    <row r="261" spans="1:8" x14ac:dyDescent="0.2">
      <c r="A261" t="s">
        <v>62</v>
      </c>
      <c r="B261" s="3">
        <v>1.6706607881343357E-7</v>
      </c>
      <c r="D261" t="s">
        <v>9</v>
      </c>
      <c r="E261" t="s">
        <v>14</v>
      </c>
      <c r="F261" s="2" t="s">
        <v>15</v>
      </c>
      <c r="H261" s="3"/>
    </row>
    <row r="262" spans="1:8" x14ac:dyDescent="0.2">
      <c r="A262" t="s">
        <v>63</v>
      </c>
      <c r="B262" s="3">
        <v>5.9666456718979566E-9</v>
      </c>
      <c r="D262" t="s">
        <v>9</v>
      </c>
      <c r="E262" t="s">
        <v>14</v>
      </c>
      <c r="F262" s="2" t="s">
        <v>15</v>
      </c>
      <c r="H262" s="3"/>
    </row>
    <row r="263" spans="1:8" x14ac:dyDescent="0.2">
      <c r="A263" t="s">
        <v>64</v>
      </c>
      <c r="B263" s="3">
        <v>1.2116279069793652E-9</v>
      </c>
      <c r="D263" t="s">
        <v>9</v>
      </c>
      <c r="E263" t="s">
        <v>14</v>
      </c>
      <c r="F263" s="2" t="s">
        <v>15</v>
      </c>
      <c r="H263" s="3"/>
    </row>
    <row r="264" spans="1:8" x14ac:dyDescent="0.2">
      <c r="A264" t="s">
        <v>65</v>
      </c>
      <c r="B264" s="3">
        <v>1.2325581395334337E-10</v>
      </c>
      <c r="D264" t="s">
        <v>9</v>
      </c>
      <c r="E264" t="s">
        <v>14</v>
      </c>
      <c r="F264" s="2" t="s">
        <v>15</v>
      </c>
      <c r="H264" s="3"/>
    </row>
    <row r="265" spans="1:8" x14ac:dyDescent="0.2">
      <c r="A265" t="s">
        <v>66</v>
      </c>
      <c r="B265" s="3">
        <v>4.890693292186907E-8</v>
      </c>
      <c r="D265" t="s">
        <v>9</v>
      </c>
      <c r="E265" t="s">
        <v>14</v>
      </c>
      <c r="F265" s="2" t="s">
        <v>15</v>
      </c>
      <c r="H265" s="3"/>
    </row>
    <row r="266" spans="1:8" x14ac:dyDescent="0.2">
      <c r="A266" t="s">
        <v>68</v>
      </c>
      <c r="B266" s="3">
        <v>1.6155687597619975E-6</v>
      </c>
      <c r="D266" t="s">
        <v>9</v>
      </c>
      <c r="E266" t="s">
        <v>14</v>
      </c>
      <c r="F266" s="2" t="s">
        <v>15</v>
      </c>
      <c r="H266" s="3"/>
    </row>
    <row r="267" spans="1:8" x14ac:dyDescent="0.2">
      <c r="A267" t="s">
        <v>69</v>
      </c>
      <c r="B267" s="3">
        <v>2.0465116279127991E-10</v>
      </c>
      <c r="D267" t="s">
        <v>9</v>
      </c>
      <c r="E267" t="s">
        <v>14</v>
      </c>
      <c r="F267" s="2" t="s">
        <v>15</v>
      </c>
      <c r="H267" s="3"/>
    </row>
    <row r="268" spans="1:8" x14ac:dyDescent="0.2">
      <c r="A268" t="s">
        <v>70</v>
      </c>
      <c r="B268" s="3">
        <v>3.1855518160413698E-5</v>
      </c>
      <c r="D268" t="s">
        <v>9</v>
      </c>
      <c r="E268" t="s">
        <v>14</v>
      </c>
      <c r="F268" s="2" t="s">
        <v>15</v>
      </c>
      <c r="H268" s="3"/>
    </row>
    <row r="269" spans="1:8" x14ac:dyDescent="0.2">
      <c r="A269" t="s">
        <v>71</v>
      </c>
      <c r="B269" s="3">
        <v>1.8186046511685154E-9</v>
      </c>
      <c r="D269" t="s">
        <v>9</v>
      </c>
      <c r="E269" t="s">
        <v>14</v>
      </c>
      <c r="F269" s="2" t="s">
        <v>15</v>
      </c>
      <c r="H269" s="3"/>
    </row>
    <row r="270" spans="1:8" x14ac:dyDescent="0.2">
      <c r="A270" t="s">
        <v>72</v>
      </c>
      <c r="B270" s="3">
        <v>2.8746541895445575E-7</v>
      </c>
      <c r="D270" t="s">
        <v>9</v>
      </c>
      <c r="E270" t="s">
        <v>14</v>
      </c>
      <c r="F270" s="2" t="s">
        <v>15</v>
      </c>
      <c r="H270" s="3"/>
    </row>
    <row r="271" spans="1:8" x14ac:dyDescent="0.2">
      <c r="A271" t="s">
        <v>73</v>
      </c>
      <c r="B271" s="3">
        <v>1.193329134380803E-9</v>
      </c>
      <c r="D271" t="s">
        <v>9</v>
      </c>
      <c r="E271" t="s">
        <v>14</v>
      </c>
      <c r="F271" s="2" t="s">
        <v>15</v>
      </c>
      <c r="H271" s="3"/>
    </row>
    <row r="272" spans="1:8" x14ac:dyDescent="0.2">
      <c r="A272" t="s">
        <v>74</v>
      </c>
      <c r="B272" s="3">
        <v>1.9888818906326523E-9</v>
      </c>
      <c r="D272" t="s">
        <v>9</v>
      </c>
      <c r="E272" t="s">
        <v>14</v>
      </c>
      <c r="F272" s="2" t="s">
        <v>15</v>
      </c>
      <c r="H272" s="3"/>
    </row>
    <row r="273" spans="1:12" x14ac:dyDescent="0.2">
      <c r="A273" t="s">
        <v>76</v>
      </c>
      <c r="B273" s="3">
        <v>2.3255813953488445E-12</v>
      </c>
      <c r="D273" t="s">
        <v>9</v>
      </c>
      <c r="E273" t="s">
        <v>14</v>
      </c>
      <c r="F273" s="2" t="s">
        <v>15</v>
      </c>
      <c r="H273" s="3"/>
    </row>
    <row r="274" spans="1:12" x14ac:dyDescent="0.2">
      <c r="A274" t="s">
        <v>77</v>
      </c>
      <c r="B274" s="3">
        <v>1.1137738587550121E-8</v>
      </c>
      <c r="D274" t="s">
        <v>9</v>
      </c>
      <c r="E274" t="s">
        <v>14</v>
      </c>
      <c r="F274" s="2" t="s">
        <v>15</v>
      </c>
      <c r="H274" s="3"/>
    </row>
    <row r="275" spans="1:12" x14ac:dyDescent="0.2">
      <c r="A275" t="s">
        <v>78</v>
      </c>
      <c r="B275" s="3">
        <v>3.7893614887488559E-7</v>
      </c>
      <c r="D275" t="s">
        <v>9</v>
      </c>
      <c r="E275" t="s">
        <v>14</v>
      </c>
      <c r="F275" s="2" t="s">
        <v>15</v>
      </c>
      <c r="H275" s="3"/>
    </row>
    <row r="276" spans="1:12" x14ac:dyDescent="0.2">
      <c r="A276" t="s">
        <v>79</v>
      </c>
      <c r="B276" s="3">
        <v>1.9888818906326521E-10</v>
      </c>
      <c r="D276" t="s">
        <v>9</v>
      </c>
      <c r="E276" t="s">
        <v>14</v>
      </c>
      <c r="F276" s="2" t="s">
        <v>15</v>
      </c>
      <c r="H276" s="3"/>
    </row>
    <row r="277" spans="1:12" x14ac:dyDescent="0.2">
      <c r="A277" t="s">
        <v>80</v>
      </c>
      <c r="B277" s="3">
        <v>4.04186046512172E-8</v>
      </c>
      <c r="D277" t="s">
        <v>9</v>
      </c>
      <c r="E277" t="s">
        <v>14</v>
      </c>
      <c r="F277" s="2" t="s">
        <v>15</v>
      </c>
      <c r="H277" s="3"/>
    </row>
    <row r="278" spans="1:12" x14ac:dyDescent="0.2">
      <c r="A278" t="s">
        <v>81</v>
      </c>
      <c r="B278" s="3">
        <v>1.9491042528173333E-8</v>
      </c>
      <c r="D278" t="s">
        <v>9</v>
      </c>
      <c r="E278" t="s">
        <v>14</v>
      </c>
      <c r="F278" s="2" t="s">
        <v>15</v>
      </c>
      <c r="H278" s="3"/>
    </row>
    <row r="279" spans="1:12" x14ac:dyDescent="0.2">
      <c r="A279" t="s">
        <v>82</v>
      </c>
      <c r="B279" s="3">
        <v>7.9555275625427259E-9</v>
      </c>
      <c r="D279" t="s">
        <v>9</v>
      </c>
      <c r="E279" t="s">
        <v>14</v>
      </c>
      <c r="F279" s="2" t="s">
        <v>15</v>
      </c>
      <c r="H279" s="3"/>
    </row>
    <row r="281" spans="1:12" x14ac:dyDescent="0.2">
      <c r="A281" s="1" t="s">
        <v>2</v>
      </c>
      <c r="B281" s="1" t="s">
        <v>139</v>
      </c>
      <c r="C281" s="2"/>
      <c r="D281" s="2"/>
      <c r="E281" s="2"/>
      <c r="F281" s="2"/>
      <c r="G281" s="2"/>
      <c r="H281" s="2"/>
    </row>
    <row r="282" spans="1:12" x14ac:dyDescent="0.2">
      <c r="A282" s="2" t="s">
        <v>3</v>
      </c>
      <c r="B282" s="2" t="s">
        <v>18</v>
      </c>
      <c r="C282" s="2"/>
      <c r="D282" s="2"/>
      <c r="E282" s="2"/>
      <c r="F282" s="2"/>
      <c r="G282" s="2"/>
      <c r="H282" s="2"/>
      <c r="I282" s="2"/>
      <c r="J282" s="2"/>
      <c r="K282" s="2"/>
      <c r="L282" s="2"/>
    </row>
    <row r="283" spans="1:12" x14ac:dyDescent="0.2">
      <c r="A283" s="2" t="s">
        <v>4</v>
      </c>
      <c r="B283" s="2">
        <v>1</v>
      </c>
      <c r="C283" s="2"/>
      <c r="D283" s="2"/>
      <c r="E283" s="2"/>
      <c r="F283" s="2"/>
      <c r="G283" s="2"/>
      <c r="H283" s="2"/>
      <c r="I283" s="2"/>
      <c r="J283" s="2"/>
      <c r="K283" s="2"/>
      <c r="L283" s="2"/>
    </row>
    <row r="284" spans="1:12" x14ac:dyDescent="0.2">
      <c r="A284" s="2" t="s">
        <v>5</v>
      </c>
      <c r="B284" s="2" t="s">
        <v>1</v>
      </c>
      <c r="C284" s="2"/>
      <c r="D284" s="2"/>
      <c r="E284" s="2"/>
      <c r="F284" s="2"/>
      <c r="G284" s="2"/>
      <c r="H284" s="2"/>
      <c r="I284" s="2"/>
      <c r="J284" s="2"/>
    </row>
    <row r="285" spans="1:12" x14ac:dyDescent="0.2">
      <c r="A285" s="2" t="s">
        <v>6</v>
      </c>
      <c r="B285" s="2" t="s">
        <v>7</v>
      </c>
      <c r="C285" s="2"/>
      <c r="D285" s="2"/>
      <c r="E285" s="2"/>
      <c r="F285" s="2"/>
      <c r="G285" s="2"/>
      <c r="H285" s="2"/>
      <c r="I285" s="2"/>
      <c r="J285" s="2"/>
      <c r="K285" s="2"/>
      <c r="L285" s="2"/>
    </row>
    <row r="286" spans="1:12" x14ac:dyDescent="0.2">
      <c r="A286" s="2" t="s">
        <v>8</v>
      </c>
      <c r="B286" s="2" t="s">
        <v>17</v>
      </c>
      <c r="C286" s="2"/>
      <c r="D286" s="2"/>
      <c r="E286" s="2"/>
      <c r="F286" s="2"/>
      <c r="G286" s="2"/>
      <c r="H286" s="2"/>
      <c r="I286" s="2"/>
      <c r="J286" s="2"/>
      <c r="K286" s="2"/>
      <c r="L286" s="2"/>
    </row>
    <row r="287" spans="1:12" x14ac:dyDescent="0.2">
      <c r="A287" s="1" t="s">
        <v>10</v>
      </c>
      <c r="B287" s="2"/>
      <c r="C287" s="2"/>
      <c r="D287" s="2"/>
      <c r="E287" s="2"/>
      <c r="F287" s="2"/>
      <c r="G287" s="2"/>
      <c r="H287" s="2"/>
      <c r="I287" s="2"/>
      <c r="J287" s="2"/>
      <c r="K287" s="2"/>
      <c r="L287" s="2"/>
    </row>
    <row r="288" spans="1:12" x14ac:dyDescent="0.2">
      <c r="A288" s="2" t="s">
        <v>11</v>
      </c>
      <c r="B288" s="2" t="s">
        <v>12</v>
      </c>
      <c r="C288" s="2" t="s">
        <v>3</v>
      </c>
      <c r="D288" s="2" t="s">
        <v>8</v>
      </c>
      <c r="E288" s="2" t="s">
        <v>13</v>
      </c>
      <c r="F288" s="2" t="s">
        <v>6</v>
      </c>
      <c r="G288" s="2" t="s">
        <v>5</v>
      </c>
      <c r="H288" s="2"/>
      <c r="I288" s="2"/>
      <c r="J288" s="2"/>
      <c r="K288" s="2"/>
    </row>
    <row r="289" spans="1:12" x14ac:dyDescent="0.2">
      <c r="A289" s="2" t="str">
        <f>B281</f>
        <v>diesel blend, burned in heavy-duty vehicle</v>
      </c>
      <c r="B289" s="2">
        <v>1</v>
      </c>
      <c r="C289" s="2" t="str">
        <f>B282</f>
        <v>RER</v>
      </c>
      <c r="D289" s="2" t="str">
        <f>B286</f>
        <v>megajoule</v>
      </c>
      <c r="E289" s="2"/>
      <c r="F289" s="2" t="s">
        <v>19</v>
      </c>
      <c r="G289" s="2" t="str">
        <f>B284</f>
        <v>heat</v>
      </c>
      <c r="H289" s="2"/>
      <c r="I289" s="2"/>
      <c r="J289" s="2"/>
      <c r="K289" s="2"/>
      <c r="L289" s="2"/>
    </row>
    <row r="290" spans="1:12" x14ac:dyDescent="0.2">
      <c r="A290" s="2" t="s">
        <v>44</v>
      </c>
      <c r="B290">
        <f>1/43</f>
        <v>2.3255813953488372E-2</v>
      </c>
      <c r="C290" t="s">
        <v>27</v>
      </c>
      <c r="D290" t="s">
        <v>9</v>
      </c>
      <c r="F290" t="s">
        <v>23</v>
      </c>
      <c r="G290" t="s">
        <v>45</v>
      </c>
    </row>
    <row r="291" spans="1:12" x14ac:dyDescent="0.2">
      <c r="A291" s="2" t="s">
        <v>150</v>
      </c>
      <c r="B291">
        <f>1000/1000000/8.57</f>
        <v>1.1668611435239206E-4</v>
      </c>
      <c r="C291" t="s">
        <v>18</v>
      </c>
      <c r="D291" t="s">
        <v>9</v>
      </c>
      <c r="F291" t="s">
        <v>23</v>
      </c>
      <c r="G291" t="s">
        <v>150</v>
      </c>
    </row>
    <row r="292" spans="1:12" x14ac:dyDescent="0.2">
      <c r="A292" t="s">
        <v>46</v>
      </c>
      <c r="B292" s="3">
        <v>9.0891902402005496E-8</v>
      </c>
      <c r="D292" t="s">
        <v>9</v>
      </c>
      <c r="E292" t="s">
        <v>14</v>
      </c>
      <c r="F292" s="2" t="s">
        <v>15</v>
      </c>
      <c r="H292" s="3"/>
      <c r="J292" s="3"/>
    </row>
    <row r="293" spans="1:12" x14ac:dyDescent="0.2">
      <c r="A293" t="s">
        <v>48</v>
      </c>
      <c r="B293" s="3">
        <v>3.5203209464194309E-8</v>
      </c>
      <c r="D293" t="s">
        <v>9</v>
      </c>
      <c r="E293" t="s">
        <v>14</v>
      </c>
      <c r="F293" s="2" t="s">
        <v>15</v>
      </c>
      <c r="H293" s="3"/>
    </row>
    <row r="294" spans="1:12" x14ac:dyDescent="0.2">
      <c r="A294" t="s">
        <v>49</v>
      </c>
      <c r="B294" s="3">
        <v>2.2775546498939349E-7</v>
      </c>
      <c r="D294" t="s">
        <v>9</v>
      </c>
      <c r="E294" t="s">
        <v>14</v>
      </c>
      <c r="F294" s="2" t="s">
        <v>15</v>
      </c>
      <c r="H294" s="3"/>
    </row>
    <row r="295" spans="1:12" x14ac:dyDescent="0.2">
      <c r="A295" t="s">
        <v>91</v>
      </c>
      <c r="B295" s="3">
        <v>2.3255813953488445E-12</v>
      </c>
      <c r="D295" t="s">
        <v>9</v>
      </c>
      <c r="E295" t="s">
        <v>14</v>
      </c>
      <c r="F295" s="2" t="s">
        <v>15</v>
      </c>
      <c r="H295" s="3"/>
    </row>
    <row r="296" spans="1:12" x14ac:dyDescent="0.2">
      <c r="A296" t="s">
        <v>50</v>
      </c>
      <c r="B296" s="3">
        <v>2.7247681901736397E-8</v>
      </c>
      <c r="D296" t="s">
        <v>9</v>
      </c>
      <c r="E296" t="s">
        <v>14</v>
      </c>
      <c r="F296" s="2" t="s">
        <v>15</v>
      </c>
      <c r="H296" s="3"/>
    </row>
    <row r="297" spans="1:12" x14ac:dyDescent="0.2">
      <c r="A297" t="s">
        <v>51</v>
      </c>
      <c r="B297" s="3">
        <v>1.3922173234392214E-9</v>
      </c>
      <c r="D297" t="s">
        <v>9</v>
      </c>
      <c r="E297" t="s">
        <v>14</v>
      </c>
      <c r="F297" s="2" t="s">
        <v>15</v>
      </c>
      <c r="H297" s="3"/>
    </row>
    <row r="298" spans="1:12" x14ac:dyDescent="0.2">
      <c r="A298" t="s">
        <v>52</v>
      </c>
      <c r="B298" s="3">
        <v>2.9833228359550366E-9</v>
      </c>
      <c r="D298" t="s">
        <v>9</v>
      </c>
      <c r="E298" t="s">
        <v>14</v>
      </c>
      <c r="F298" s="2" t="s">
        <v>15</v>
      </c>
      <c r="H298" s="3"/>
    </row>
    <row r="299" spans="1:12" x14ac:dyDescent="0.2">
      <c r="A299" t="s">
        <v>53</v>
      </c>
      <c r="B299" s="3">
        <v>2.0232558139597954E-10</v>
      </c>
      <c r="D299" t="s">
        <v>9</v>
      </c>
      <c r="E299" t="s">
        <v>14</v>
      </c>
      <c r="F299" s="2" t="s">
        <v>15</v>
      </c>
      <c r="H299" s="3"/>
    </row>
    <row r="300" spans="1:12" x14ac:dyDescent="0.2">
      <c r="A300" t="s">
        <v>54</v>
      </c>
      <c r="B300">
        <v>6.9708852499276011E-2</v>
      </c>
      <c r="D300" t="s">
        <v>9</v>
      </c>
      <c r="E300" t="s">
        <v>14</v>
      </c>
      <c r="F300" s="2" t="s">
        <v>15</v>
      </c>
      <c r="H300" s="3"/>
      <c r="I300" s="3"/>
    </row>
    <row r="301" spans="1:12" x14ac:dyDescent="0.2">
      <c r="A301" t="s">
        <v>55</v>
      </c>
      <c r="B301" s="3">
        <v>6.3521092350262397E-5</v>
      </c>
      <c r="D301" t="s">
        <v>9</v>
      </c>
      <c r="E301" t="s">
        <v>14</v>
      </c>
      <c r="F301" s="2" t="s">
        <v>15</v>
      </c>
      <c r="H301" s="3"/>
    </row>
    <row r="302" spans="1:12" x14ac:dyDescent="0.2">
      <c r="A302" t="s">
        <v>56</v>
      </c>
      <c r="B302" s="3">
        <v>6.9767441860586501E-10</v>
      </c>
      <c r="D302" t="s">
        <v>9</v>
      </c>
      <c r="E302" t="s">
        <v>14</v>
      </c>
      <c r="F302" s="2" t="s">
        <v>15</v>
      </c>
      <c r="H302" s="3"/>
    </row>
    <row r="303" spans="1:12" x14ac:dyDescent="0.2">
      <c r="A303" t="s">
        <v>57</v>
      </c>
      <c r="B303" s="3">
        <v>1.3953488372165768E-12</v>
      </c>
      <c r="D303" t="s">
        <v>9</v>
      </c>
      <c r="E303" t="s">
        <v>14</v>
      </c>
      <c r="F303" s="2" t="s">
        <v>15</v>
      </c>
      <c r="H303" s="3"/>
    </row>
    <row r="304" spans="1:12" x14ac:dyDescent="0.2">
      <c r="A304" t="s">
        <v>58</v>
      </c>
      <c r="B304" s="3">
        <v>4.9302325581458507E-10</v>
      </c>
      <c r="D304" t="s">
        <v>9</v>
      </c>
      <c r="E304" t="s">
        <v>14</v>
      </c>
      <c r="F304" s="2" t="s">
        <v>15</v>
      </c>
      <c r="H304" s="3"/>
    </row>
    <row r="305" spans="1:8" x14ac:dyDescent="0.2">
      <c r="A305" t="s">
        <v>59</v>
      </c>
      <c r="B305" s="3">
        <v>3.7969387682723317E-6</v>
      </c>
      <c r="D305" t="s">
        <v>9</v>
      </c>
      <c r="E305" t="s">
        <v>14</v>
      </c>
      <c r="F305" s="2" t="s">
        <v>15</v>
      </c>
      <c r="H305" s="3"/>
    </row>
    <row r="306" spans="1:8" x14ac:dyDescent="0.2">
      <c r="A306" t="s">
        <v>60</v>
      </c>
      <c r="B306" s="3">
        <v>5.966645671897956E-10</v>
      </c>
      <c r="D306" t="s">
        <v>9</v>
      </c>
      <c r="E306" t="s">
        <v>14</v>
      </c>
      <c r="F306" s="2" t="s">
        <v>15</v>
      </c>
      <c r="H306" s="3"/>
    </row>
    <row r="307" spans="1:8" x14ac:dyDescent="0.2">
      <c r="A307" t="s">
        <v>62</v>
      </c>
      <c r="B307" s="3">
        <v>1.6706607881343357E-7</v>
      </c>
      <c r="D307" t="s">
        <v>9</v>
      </c>
      <c r="E307" t="s">
        <v>14</v>
      </c>
      <c r="F307" s="2" t="s">
        <v>15</v>
      </c>
      <c r="H307" s="3"/>
    </row>
    <row r="308" spans="1:8" x14ac:dyDescent="0.2">
      <c r="A308" t="s">
        <v>63</v>
      </c>
      <c r="B308" s="3">
        <v>5.9666456718979566E-9</v>
      </c>
      <c r="D308" t="s">
        <v>9</v>
      </c>
      <c r="E308" t="s">
        <v>14</v>
      </c>
      <c r="F308" s="2" t="s">
        <v>15</v>
      </c>
      <c r="H308" s="3"/>
    </row>
    <row r="309" spans="1:8" x14ac:dyDescent="0.2">
      <c r="A309" t="s">
        <v>64</v>
      </c>
      <c r="B309" s="3">
        <v>1.2116279069793652E-9</v>
      </c>
      <c r="D309" t="s">
        <v>9</v>
      </c>
      <c r="E309" t="s">
        <v>14</v>
      </c>
      <c r="F309" s="2" t="s">
        <v>15</v>
      </c>
      <c r="H309" s="3"/>
    </row>
    <row r="310" spans="1:8" x14ac:dyDescent="0.2">
      <c r="A310" t="s">
        <v>65</v>
      </c>
      <c r="B310" s="3">
        <v>1.2325581395334337E-10</v>
      </c>
      <c r="D310" t="s">
        <v>9</v>
      </c>
      <c r="E310" t="s">
        <v>14</v>
      </c>
      <c r="F310" s="2" t="s">
        <v>15</v>
      </c>
      <c r="H310" s="3"/>
    </row>
    <row r="311" spans="1:8" x14ac:dyDescent="0.2">
      <c r="A311" t="s">
        <v>66</v>
      </c>
      <c r="B311" s="3">
        <v>4.890693292186907E-8</v>
      </c>
      <c r="D311" t="s">
        <v>9</v>
      </c>
      <c r="E311" t="s">
        <v>14</v>
      </c>
      <c r="F311" s="2" t="s">
        <v>15</v>
      </c>
      <c r="H311" s="3"/>
    </row>
    <row r="312" spans="1:8" x14ac:dyDescent="0.2">
      <c r="A312" t="s">
        <v>68</v>
      </c>
      <c r="B312" s="3">
        <v>1.6155687597619975E-6</v>
      </c>
      <c r="D312" t="s">
        <v>9</v>
      </c>
      <c r="E312" t="s">
        <v>14</v>
      </c>
      <c r="F312" s="2" t="s">
        <v>15</v>
      </c>
      <c r="H312" s="3"/>
    </row>
    <row r="313" spans="1:8" x14ac:dyDescent="0.2">
      <c r="A313" t="s">
        <v>69</v>
      </c>
      <c r="B313" s="3">
        <v>2.0465116279127991E-10</v>
      </c>
      <c r="D313" t="s">
        <v>9</v>
      </c>
      <c r="E313" t="s">
        <v>14</v>
      </c>
      <c r="F313" s="2" t="s">
        <v>15</v>
      </c>
      <c r="H313" s="3"/>
    </row>
    <row r="314" spans="1:8" x14ac:dyDescent="0.2">
      <c r="A314" t="s">
        <v>70</v>
      </c>
      <c r="B314" s="3">
        <v>3.1855518160413698E-5</v>
      </c>
      <c r="D314" t="s">
        <v>9</v>
      </c>
      <c r="E314" t="s">
        <v>14</v>
      </c>
      <c r="F314" s="2" t="s">
        <v>15</v>
      </c>
      <c r="H314" s="3"/>
    </row>
    <row r="315" spans="1:8" x14ac:dyDescent="0.2">
      <c r="A315" t="s">
        <v>71</v>
      </c>
      <c r="B315" s="3">
        <v>1.8186046511685154E-9</v>
      </c>
      <c r="D315" t="s">
        <v>9</v>
      </c>
      <c r="E315" t="s">
        <v>14</v>
      </c>
      <c r="F315" s="2" t="s">
        <v>15</v>
      </c>
      <c r="H315" s="3"/>
    </row>
    <row r="316" spans="1:8" x14ac:dyDescent="0.2">
      <c r="A316" t="s">
        <v>72</v>
      </c>
      <c r="B316" s="3">
        <v>2.8746541895445575E-7</v>
      </c>
      <c r="D316" t="s">
        <v>9</v>
      </c>
      <c r="E316" t="s">
        <v>14</v>
      </c>
      <c r="F316" s="2" t="s">
        <v>15</v>
      </c>
      <c r="H316" s="3"/>
    </row>
    <row r="317" spans="1:8" x14ac:dyDescent="0.2">
      <c r="A317" t="s">
        <v>73</v>
      </c>
      <c r="B317" s="3">
        <v>1.193329134380803E-9</v>
      </c>
      <c r="D317" t="s">
        <v>9</v>
      </c>
      <c r="E317" t="s">
        <v>14</v>
      </c>
      <c r="F317" s="2" t="s">
        <v>15</v>
      </c>
      <c r="H317" s="3"/>
    </row>
    <row r="318" spans="1:8" x14ac:dyDescent="0.2">
      <c r="A318" t="s">
        <v>74</v>
      </c>
      <c r="B318" s="3">
        <v>1.9888818906326523E-9</v>
      </c>
      <c r="D318" t="s">
        <v>9</v>
      </c>
      <c r="E318" t="s">
        <v>14</v>
      </c>
      <c r="F318" s="2" t="s">
        <v>15</v>
      </c>
      <c r="H318" s="3"/>
    </row>
    <row r="319" spans="1:8" x14ac:dyDescent="0.2">
      <c r="A319" t="s">
        <v>76</v>
      </c>
      <c r="B319" s="3">
        <v>2.3255813953488445E-12</v>
      </c>
      <c r="D319" t="s">
        <v>9</v>
      </c>
      <c r="E319" t="s">
        <v>14</v>
      </c>
      <c r="F319" s="2" t="s">
        <v>15</v>
      </c>
      <c r="H319" s="3"/>
    </row>
    <row r="320" spans="1:8" x14ac:dyDescent="0.2">
      <c r="A320" t="s">
        <v>77</v>
      </c>
      <c r="B320" s="3">
        <v>1.1137738587550121E-8</v>
      </c>
      <c r="D320" t="s">
        <v>9</v>
      </c>
      <c r="E320" t="s">
        <v>14</v>
      </c>
      <c r="F320" s="2" t="s">
        <v>15</v>
      </c>
      <c r="H320" s="3"/>
    </row>
    <row r="321" spans="1:12" x14ac:dyDescent="0.2">
      <c r="A321" t="s">
        <v>78</v>
      </c>
      <c r="B321" s="3">
        <v>3.7893614887488559E-7</v>
      </c>
      <c r="D321" t="s">
        <v>9</v>
      </c>
      <c r="E321" t="s">
        <v>14</v>
      </c>
      <c r="F321" s="2" t="s">
        <v>15</v>
      </c>
      <c r="H321" s="3"/>
    </row>
    <row r="322" spans="1:12" x14ac:dyDescent="0.2">
      <c r="A322" t="s">
        <v>79</v>
      </c>
      <c r="B322" s="3">
        <v>1.9888818906326521E-10</v>
      </c>
      <c r="D322" t="s">
        <v>9</v>
      </c>
      <c r="E322" t="s">
        <v>14</v>
      </c>
      <c r="F322" s="2" t="s">
        <v>15</v>
      </c>
      <c r="H322" s="3"/>
    </row>
    <row r="323" spans="1:12" x14ac:dyDescent="0.2">
      <c r="A323" t="s">
        <v>80</v>
      </c>
      <c r="B323" s="3">
        <v>4.04186046512172E-8</v>
      </c>
      <c r="D323" t="s">
        <v>9</v>
      </c>
      <c r="E323" t="s">
        <v>14</v>
      </c>
      <c r="F323" s="2" t="s">
        <v>15</v>
      </c>
      <c r="H323" s="3"/>
    </row>
    <row r="324" spans="1:12" x14ac:dyDescent="0.2">
      <c r="A324" t="s">
        <v>81</v>
      </c>
      <c r="B324" s="3">
        <v>1.9491042528173333E-8</v>
      </c>
      <c r="D324" t="s">
        <v>9</v>
      </c>
      <c r="E324" t="s">
        <v>14</v>
      </c>
      <c r="F324" s="2" t="s">
        <v>15</v>
      </c>
      <c r="H324" s="3"/>
    </row>
    <row r="325" spans="1:12" x14ac:dyDescent="0.2">
      <c r="A325" t="s">
        <v>82</v>
      </c>
      <c r="B325" s="3">
        <v>7.9555275625427259E-9</v>
      </c>
      <c r="D325" t="s">
        <v>9</v>
      </c>
      <c r="E325" t="s">
        <v>14</v>
      </c>
      <c r="F325" s="2" t="s">
        <v>15</v>
      </c>
      <c r="H325" s="3"/>
    </row>
    <row r="327" spans="1:12" x14ac:dyDescent="0.2">
      <c r="A327" s="1" t="s">
        <v>2</v>
      </c>
      <c r="B327" s="1" t="s">
        <v>128</v>
      </c>
      <c r="C327" s="2"/>
      <c r="D327" s="2"/>
      <c r="E327" s="2"/>
      <c r="F327" s="2"/>
      <c r="G327" s="2"/>
      <c r="H327" s="2"/>
    </row>
    <row r="328" spans="1:12" x14ac:dyDescent="0.2">
      <c r="A328" s="2" t="s">
        <v>3</v>
      </c>
      <c r="B328" s="2" t="s">
        <v>18</v>
      </c>
      <c r="C328" s="2"/>
      <c r="D328" s="2"/>
      <c r="E328" s="2"/>
      <c r="F328" s="2"/>
      <c r="G328" s="2"/>
      <c r="H328" s="2"/>
      <c r="I328" s="2"/>
      <c r="J328" s="2"/>
      <c r="K328" s="2"/>
      <c r="L328" s="2"/>
    </row>
    <row r="329" spans="1:12" x14ac:dyDescent="0.2">
      <c r="A329" s="2" t="s">
        <v>4</v>
      </c>
      <c r="B329" s="2">
        <v>1</v>
      </c>
      <c r="C329" s="2"/>
      <c r="D329" s="2"/>
      <c r="E329" s="2"/>
      <c r="F329" s="2"/>
      <c r="G329" s="2"/>
      <c r="H329" s="2"/>
      <c r="I329" s="2"/>
      <c r="J329" s="2"/>
      <c r="K329" s="2"/>
      <c r="L329" s="2"/>
    </row>
    <row r="330" spans="1:12" x14ac:dyDescent="0.2">
      <c r="A330" s="2" t="s">
        <v>5</v>
      </c>
      <c r="B330" s="2" t="s">
        <v>1</v>
      </c>
      <c r="C330" s="2"/>
      <c r="D330" s="2"/>
      <c r="E330" s="2"/>
      <c r="F330" s="2"/>
      <c r="G330" s="2"/>
      <c r="H330" s="2"/>
      <c r="I330" s="2"/>
      <c r="J330" s="2"/>
    </row>
    <row r="331" spans="1:12" x14ac:dyDescent="0.2">
      <c r="A331" s="2" t="s">
        <v>6</v>
      </c>
      <c r="B331" s="2" t="s">
        <v>7</v>
      </c>
      <c r="C331" s="2"/>
      <c r="D331" s="2"/>
      <c r="E331" s="2"/>
      <c r="F331" s="2"/>
      <c r="G331" s="2"/>
      <c r="H331" s="2"/>
      <c r="I331" s="2"/>
      <c r="J331" s="2"/>
      <c r="K331" s="2"/>
      <c r="L331" s="2"/>
    </row>
    <row r="332" spans="1:12" x14ac:dyDescent="0.2">
      <c r="A332" s="2" t="s">
        <v>8</v>
      </c>
      <c r="B332" s="2" t="s">
        <v>17</v>
      </c>
      <c r="C332" s="2"/>
      <c r="D332" s="2"/>
      <c r="E332" s="2"/>
      <c r="F332" s="2"/>
      <c r="G332" s="2"/>
      <c r="H332" s="2"/>
      <c r="I332" s="2"/>
      <c r="J332" s="2"/>
      <c r="K332" s="2"/>
      <c r="L332" s="2"/>
    </row>
    <row r="333" spans="1:12" x14ac:dyDescent="0.2">
      <c r="A333" s="1" t="s">
        <v>10</v>
      </c>
      <c r="B333" s="2"/>
      <c r="C333" s="2"/>
      <c r="D333" s="2"/>
      <c r="E333" s="2"/>
      <c r="F333" s="2"/>
      <c r="G333" s="2"/>
      <c r="H333" s="2"/>
      <c r="I333" s="2"/>
      <c r="J333" s="2"/>
      <c r="K333" s="2"/>
      <c r="L333" s="2"/>
    </row>
    <row r="334" spans="1:12" x14ac:dyDescent="0.2">
      <c r="A334" s="2" t="s">
        <v>11</v>
      </c>
      <c r="B334" s="2" t="s">
        <v>12</v>
      </c>
      <c r="C334" s="2" t="s">
        <v>3</v>
      </c>
      <c r="D334" s="2" t="s">
        <v>8</v>
      </c>
      <c r="E334" s="2" t="s">
        <v>13</v>
      </c>
      <c r="F334" s="2" t="s">
        <v>6</v>
      </c>
      <c r="G334" s="2" t="s">
        <v>5</v>
      </c>
      <c r="H334" s="2"/>
      <c r="I334" s="2"/>
      <c r="J334" s="2"/>
      <c r="K334" s="2"/>
    </row>
    <row r="335" spans="1:12" x14ac:dyDescent="0.2">
      <c r="A335" s="2" t="str">
        <f>B327</f>
        <v>biodiesel, burned in heavy-duty vehicle</v>
      </c>
      <c r="B335" s="2">
        <v>1</v>
      </c>
      <c r="C335" s="2" t="str">
        <f>B328</f>
        <v>RER</v>
      </c>
      <c r="D335" s="2" t="str">
        <f>B332</f>
        <v>megajoule</v>
      </c>
      <c r="E335" s="2"/>
      <c r="F335" s="2" t="s">
        <v>19</v>
      </c>
      <c r="G335" s="2" t="str">
        <f>B330</f>
        <v>heat</v>
      </c>
      <c r="H335" s="2"/>
      <c r="I335" s="2"/>
      <c r="J335" s="2"/>
      <c r="K335" s="2"/>
      <c r="L335" s="2"/>
    </row>
    <row r="336" spans="1:12" x14ac:dyDescent="0.2">
      <c r="A336" s="2" t="s">
        <v>126</v>
      </c>
      <c r="B336">
        <f>1/43</f>
        <v>2.3255813953488372E-2</v>
      </c>
      <c r="C336" t="s">
        <v>18</v>
      </c>
      <c r="D336" t="s">
        <v>9</v>
      </c>
      <c r="F336" t="s">
        <v>23</v>
      </c>
      <c r="G336" t="s">
        <v>127</v>
      </c>
    </row>
    <row r="337" spans="1:10" x14ac:dyDescent="0.2">
      <c r="A337" s="2" t="s">
        <v>150</v>
      </c>
      <c r="B337">
        <f>1000/1000000/8.57</f>
        <v>1.1668611435239206E-4</v>
      </c>
      <c r="C337" t="s">
        <v>18</v>
      </c>
      <c r="D337" t="s">
        <v>9</v>
      </c>
      <c r="F337" t="s">
        <v>23</v>
      </c>
      <c r="G337" t="s">
        <v>150</v>
      </c>
    </row>
    <row r="338" spans="1:10" x14ac:dyDescent="0.2">
      <c r="A338" t="s">
        <v>46</v>
      </c>
      <c r="B338" s="3">
        <v>9.0891902402005496E-8</v>
      </c>
      <c r="D338" t="s">
        <v>9</v>
      </c>
      <c r="E338" t="s">
        <v>14</v>
      </c>
      <c r="F338" s="2" t="s">
        <v>15</v>
      </c>
      <c r="H338" s="3"/>
      <c r="J338" s="3"/>
    </row>
    <row r="339" spans="1:10" x14ac:dyDescent="0.2">
      <c r="A339" t="s">
        <v>48</v>
      </c>
      <c r="B339" s="3">
        <v>3.5203209464194309E-8</v>
      </c>
      <c r="D339" t="s">
        <v>9</v>
      </c>
      <c r="E339" t="s">
        <v>14</v>
      </c>
      <c r="F339" s="2" t="s">
        <v>15</v>
      </c>
      <c r="H339" s="3"/>
    </row>
    <row r="340" spans="1:10" x14ac:dyDescent="0.2">
      <c r="A340" t="s">
        <v>49</v>
      </c>
      <c r="B340" s="3">
        <v>2.2775546498939349E-7</v>
      </c>
      <c r="D340" t="s">
        <v>9</v>
      </c>
      <c r="E340" t="s">
        <v>14</v>
      </c>
      <c r="F340" s="2" t="s">
        <v>15</v>
      </c>
      <c r="H340" s="3"/>
    </row>
    <row r="341" spans="1:10" x14ac:dyDescent="0.2">
      <c r="A341" t="s">
        <v>91</v>
      </c>
      <c r="B341" s="3">
        <v>2.3255813953488445E-12</v>
      </c>
      <c r="D341" t="s">
        <v>9</v>
      </c>
      <c r="E341" t="s">
        <v>14</v>
      </c>
      <c r="F341" s="2" t="s">
        <v>15</v>
      </c>
      <c r="H341" s="3"/>
    </row>
    <row r="342" spans="1:10" x14ac:dyDescent="0.2">
      <c r="A342" t="s">
        <v>50</v>
      </c>
      <c r="B342" s="3">
        <v>2.7247681901736397E-8</v>
      </c>
      <c r="D342" t="s">
        <v>9</v>
      </c>
      <c r="E342" t="s">
        <v>14</v>
      </c>
      <c r="F342" s="2" t="s">
        <v>15</v>
      </c>
      <c r="H342" s="3"/>
    </row>
    <row r="343" spans="1:10" x14ac:dyDescent="0.2">
      <c r="A343" t="s">
        <v>51</v>
      </c>
      <c r="B343" s="3">
        <v>1.3922173234392214E-9</v>
      </c>
      <c r="D343" t="s">
        <v>9</v>
      </c>
      <c r="E343" t="s">
        <v>14</v>
      </c>
      <c r="F343" s="2" t="s">
        <v>15</v>
      </c>
      <c r="H343" s="3"/>
    </row>
    <row r="344" spans="1:10" x14ac:dyDescent="0.2">
      <c r="A344" t="s">
        <v>52</v>
      </c>
      <c r="B344" s="3">
        <v>2.9833228359550366E-9</v>
      </c>
      <c r="D344" t="s">
        <v>9</v>
      </c>
      <c r="E344" t="s">
        <v>14</v>
      </c>
      <c r="F344" s="2" t="s">
        <v>15</v>
      </c>
      <c r="H344" s="3"/>
    </row>
    <row r="345" spans="1:10" x14ac:dyDescent="0.2">
      <c r="A345" t="s">
        <v>53</v>
      </c>
      <c r="B345" s="3">
        <v>2.0232558139597954E-10</v>
      </c>
      <c r="D345" t="s">
        <v>9</v>
      </c>
      <c r="E345" t="s">
        <v>14</v>
      </c>
      <c r="F345" s="2" t="s">
        <v>15</v>
      </c>
      <c r="H345" s="3"/>
    </row>
    <row r="346" spans="1:10" x14ac:dyDescent="0.2">
      <c r="A346" t="s">
        <v>124</v>
      </c>
      <c r="B346">
        <v>6.9708852499276011E-2</v>
      </c>
      <c r="D346" t="s">
        <v>9</v>
      </c>
      <c r="E346" t="s">
        <v>14</v>
      </c>
      <c r="F346" s="2" t="s">
        <v>15</v>
      </c>
      <c r="H346" s="3"/>
      <c r="I346" s="3"/>
    </row>
    <row r="347" spans="1:10" x14ac:dyDescent="0.2">
      <c r="A347" t="s">
        <v>125</v>
      </c>
      <c r="B347" s="3">
        <v>6.3521092350262397E-5</v>
      </c>
      <c r="D347" t="s">
        <v>9</v>
      </c>
      <c r="E347" t="s">
        <v>14</v>
      </c>
      <c r="F347" s="2" t="s">
        <v>15</v>
      </c>
      <c r="H347" s="3"/>
    </row>
    <row r="348" spans="1:10" x14ac:dyDescent="0.2">
      <c r="A348" t="s">
        <v>56</v>
      </c>
      <c r="B348" s="3">
        <v>6.9767441860586501E-10</v>
      </c>
      <c r="D348" t="s">
        <v>9</v>
      </c>
      <c r="E348" t="s">
        <v>14</v>
      </c>
      <c r="F348" s="2" t="s">
        <v>15</v>
      </c>
      <c r="H348" s="3"/>
    </row>
    <row r="349" spans="1:10" x14ac:dyDescent="0.2">
      <c r="A349" t="s">
        <v>57</v>
      </c>
      <c r="B349" s="3">
        <v>1.3953488372165768E-12</v>
      </c>
      <c r="D349" t="s">
        <v>9</v>
      </c>
      <c r="E349" t="s">
        <v>14</v>
      </c>
      <c r="F349" s="2" t="s">
        <v>15</v>
      </c>
      <c r="H349" s="3"/>
    </row>
    <row r="350" spans="1:10" x14ac:dyDescent="0.2">
      <c r="A350" t="s">
        <v>58</v>
      </c>
      <c r="B350" s="3">
        <v>4.9302325581458507E-10</v>
      </c>
      <c r="D350" t="s">
        <v>9</v>
      </c>
      <c r="E350" t="s">
        <v>14</v>
      </c>
      <c r="F350" s="2" t="s">
        <v>15</v>
      </c>
      <c r="H350" s="3"/>
    </row>
    <row r="351" spans="1:10" x14ac:dyDescent="0.2">
      <c r="A351" t="s">
        <v>59</v>
      </c>
      <c r="B351" s="3">
        <v>3.7969387682723317E-6</v>
      </c>
      <c r="D351" t="s">
        <v>9</v>
      </c>
      <c r="E351" t="s">
        <v>14</v>
      </c>
      <c r="F351" s="2" t="s">
        <v>15</v>
      </c>
      <c r="H351" s="3"/>
    </row>
    <row r="352" spans="1:10" x14ac:dyDescent="0.2">
      <c r="A352" t="s">
        <v>60</v>
      </c>
      <c r="B352" s="3">
        <v>5.966645671897956E-10</v>
      </c>
      <c r="D352" t="s">
        <v>9</v>
      </c>
      <c r="E352" t="s">
        <v>14</v>
      </c>
      <c r="F352" s="2" t="s">
        <v>15</v>
      </c>
      <c r="H352" s="3"/>
    </row>
    <row r="353" spans="1:8" x14ac:dyDescent="0.2">
      <c r="A353" t="s">
        <v>62</v>
      </c>
      <c r="B353" s="3">
        <v>1.6706607881343357E-7</v>
      </c>
      <c r="D353" t="s">
        <v>9</v>
      </c>
      <c r="E353" t="s">
        <v>14</v>
      </c>
      <c r="F353" s="2" t="s">
        <v>15</v>
      </c>
      <c r="H353" s="3"/>
    </row>
    <row r="354" spans="1:8" x14ac:dyDescent="0.2">
      <c r="A354" t="s">
        <v>63</v>
      </c>
      <c r="B354" s="3">
        <v>5.9666456718979566E-9</v>
      </c>
      <c r="D354" t="s">
        <v>9</v>
      </c>
      <c r="E354" t="s">
        <v>14</v>
      </c>
      <c r="F354" s="2" t="s">
        <v>15</v>
      </c>
      <c r="H354" s="3"/>
    </row>
    <row r="355" spans="1:8" x14ac:dyDescent="0.2">
      <c r="A355" t="s">
        <v>64</v>
      </c>
      <c r="B355" s="3">
        <v>1.2116279069793652E-9</v>
      </c>
      <c r="D355" t="s">
        <v>9</v>
      </c>
      <c r="E355" t="s">
        <v>14</v>
      </c>
      <c r="F355" s="2" t="s">
        <v>15</v>
      </c>
      <c r="H355" s="3"/>
    </row>
    <row r="356" spans="1:8" x14ac:dyDescent="0.2">
      <c r="A356" t="s">
        <v>65</v>
      </c>
      <c r="B356" s="3">
        <v>1.2325581395334337E-10</v>
      </c>
      <c r="D356" t="s">
        <v>9</v>
      </c>
      <c r="E356" t="s">
        <v>14</v>
      </c>
      <c r="F356" s="2" t="s">
        <v>15</v>
      </c>
      <c r="H356" s="3"/>
    </row>
    <row r="357" spans="1:8" x14ac:dyDescent="0.2">
      <c r="A357" t="s">
        <v>66</v>
      </c>
      <c r="B357" s="3">
        <v>4.890693292186907E-8</v>
      </c>
      <c r="D357" t="s">
        <v>9</v>
      </c>
      <c r="E357" t="s">
        <v>14</v>
      </c>
      <c r="F357" s="2" t="s">
        <v>15</v>
      </c>
      <c r="H357" s="3"/>
    </row>
    <row r="358" spans="1:8" x14ac:dyDescent="0.2">
      <c r="A358" t="s">
        <v>68</v>
      </c>
      <c r="B358" s="3">
        <v>1.6155687597619975E-6</v>
      </c>
      <c r="D358" t="s">
        <v>9</v>
      </c>
      <c r="E358" t="s">
        <v>14</v>
      </c>
      <c r="F358" s="2" t="s">
        <v>15</v>
      </c>
      <c r="H358" s="3"/>
    </row>
    <row r="359" spans="1:8" x14ac:dyDescent="0.2">
      <c r="A359" t="s">
        <v>69</v>
      </c>
      <c r="B359" s="3">
        <v>2.0465116279127991E-10</v>
      </c>
      <c r="D359" t="s">
        <v>9</v>
      </c>
      <c r="E359" t="s">
        <v>14</v>
      </c>
      <c r="F359" s="2" t="s">
        <v>15</v>
      </c>
      <c r="H359" s="3"/>
    </row>
    <row r="360" spans="1:8" x14ac:dyDescent="0.2">
      <c r="A360" t="s">
        <v>70</v>
      </c>
      <c r="B360" s="3">
        <v>3.1855518160413698E-5</v>
      </c>
      <c r="D360" t="s">
        <v>9</v>
      </c>
      <c r="E360" t="s">
        <v>14</v>
      </c>
      <c r="F360" s="2" t="s">
        <v>15</v>
      </c>
      <c r="H360" s="3"/>
    </row>
    <row r="361" spans="1:8" x14ac:dyDescent="0.2">
      <c r="A361" t="s">
        <v>71</v>
      </c>
      <c r="B361" s="3">
        <v>1.8186046511685154E-9</v>
      </c>
      <c r="D361" t="s">
        <v>9</v>
      </c>
      <c r="E361" t="s">
        <v>14</v>
      </c>
      <c r="F361" s="2" t="s">
        <v>15</v>
      </c>
      <c r="H361" s="3"/>
    </row>
    <row r="362" spans="1:8" x14ac:dyDescent="0.2">
      <c r="A362" t="s">
        <v>72</v>
      </c>
      <c r="B362" s="3">
        <v>2.8746541895445575E-7</v>
      </c>
      <c r="D362" t="s">
        <v>9</v>
      </c>
      <c r="E362" t="s">
        <v>14</v>
      </c>
      <c r="F362" s="2" t="s">
        <v>15</v>
      </c>
      <c r="H362" s="3"/>
    </row>
    <row r="363" spans="1:8" x14ac:dyDescent="0.2">
      <c r="A363" t="s">
        <v>73</v>
      </c>
      <c r="B363" s="3">
        <v>1.193329134380803E-9</v>
      </c>
      <c r="D363" t="s">
        <v>9</v>
      </c>
      <c r="E363" t="s">
        <v>14</v>
      </c>
      <c r="F363" s="2" t="s">
        <v>15</v>
      </c>
      <c r="H363" s="3"/>
    </row>
    <row r="364" spans="1:8" x14ac:dyDescent="0.2">
      <c r="A364" t="s">
        <v>74</v>
      </c>
      <c r="B364" s="3">
        <v>1.9888818906326523E-9</v>
      </c>
      <c r="D364" t="s">
        <v>9</v>
      </c>
      <c r="E364" t="s">
        <v>14</v>
      </c>
      <c r="F364" s="2" t="s">
        <v>15</v>
      </c>
      <c r="H364" s="3"/>
    </row>
    <row r="365" spans="1:8" x14ac:dyDescent="0.2">
      <c r="A365" t="s">
        <v>76</v>
      </c>
      <c r="B365" s="3">
        <v>2.3255813953488445E-12</v>
      </c>
      <c r="D365" t="s">
        <v>9</v>
      </c>
      <c r="E365" t="s">
        <v>14</v>
      </c>
      <c r="F365" s="2" t="s">
        <v>15</v>
      </c>
      <c r="H365" s="3"/>
    </row>
    <row r="366" spans="1:8" x14ac:dyDescent="0.2">
      <c r="A366" t="s">
        <v>77</v>
      </c>
      <c r="B366" s="3">
        <v>1.1137738587550121E-8</v>
      </c>
      <c r="D366" t="s">
        <v>9</v>
      </c>
      <c r="E366" t="s">
        <v>14</v>
      </c>
      <c r="F366" s="2" t="s">
        <v>15</v>
      </c>
      <c r="H366" s="3"/>
    </row>
    <row r="367" spans="1:8" x14ac:dyDescent="0.2">
      <c r="A367" t="s">
        <v>78</v>
      </c>
      <c r="B367" s="3">
        <v>3.7893614887488559E-7</v>
      </c>
      <c r="D367" t="s">
        <v>9</v>
      </c>
      <c r="E367" t="s">
        <v>14</v>
      </c>
      <c r="F367" s="2" t="s">
        <v>15</v>
      </c>
      <c r="H367" s="3"/>
    </row>
    <row r="368" spans="1:8" x14ac:dyDescent="0.2">
      <c r="A368" t="s">
        <v>79</v>
      </c>
      <c r="B368" s="3">
        <v>1.9888818906326521E-10</v>
      </c>
      <c r="D368" t="s">
        <v>9</v>
      </c>
      <c r="E368" t="s">
        <v>14</v>
      </c>
      <c r="F368" s="2" t="s">
        <v>15</v>
      </c>
      <c r="H368" s="3"/>
    </row>
    <row r="369" spans="1:12" x14ac:dyDescent="0.2">
      <c r="A369" t="s">
        <v>80</v>
      </c>
      <c r="B369" s="3">
        <v>4.04186046512172E-8</v>
      </c>
      <c r="D369" t="s">
        <v>9</v>
      </c>
      <c r="E369" t="s">
        <v>14</v>
      </c>
      <c r="F369" s="2" t="s">
        <v>15</v>
      </c>
      <c r="H369" s="3"/>
    </row>
    <row r="370" spans="1:12" x14ac:dyDescent="0.2">
      <c r="A370" t="s">
        <v>81</v>
      </c>
      <c r="B370" s="3">
        <v>1.9491042528173333E-8</v>
      </c>
      <c r="D370" t="s">
        <v>9</v>
      </c>
      <c r="E370" t="s">
        <v>14</v>
      </c>
      <c r="F370" s="2" t="s">
        <v>15</v>
      </c>
      <c r="H370" s="3"/>
    </row>
    <row r="371" spans="1:12" x14ac:dyDescent="0.2">
      <c r="A371" t="s">
        <v>82</v>
      </c>
      <c r="B371" s="3">
        <v>7.9555275625427259E-9</v>
      </c>
      <c r="D371" t="s">
        <v>9</v>
      </c>
      <c r="E371" t="s">
        <v>14</v>
      </c>
      <c r="F371" s="2" t="s">
        <v>15</v>
      </c>
      <c r="H371" s="3"/>
    </row>
    <row r="373" spans="1:12" x14ac:dyDescent="0.2">
      <c r="A373" s="1" t="s">
        <v>2</v>
      </c>
      <c r="B373" s="1" t="s">
        <v>136</v>
      </c>
      <c r="C373" s="2"/>
      <c r="D373" s="2"/>
      <c r="E373" s="2"/>
      <c r="F373" s="2"/>
      <c r="G373" s="2"/>
      <c r="H373" s="2"/>
    </row>
    <row r="374" spans="1:12" x14ac:dyDescent="0.2">
      <c r="A374" s="2" t="s">
        <v>3</v>
      </c>
      <c r="B374" s="2" t="s">
        <v>18</v>
      </c>
      <c r="C374" s="2"/>
      <c r="D374" s="2"/>
      <c r="E374" s="2"/>
      <c r="F374" s="2"/>
      <c r="G374" s="2"/>
      <c r="H374" s="2"/>
      <c r="I374" s="2"/>
      <c r="J374" s="2"/>
      <c r="K374" s="2"/>
      <c r="L374" s="2"/>
    </row>
    <row r="375" spans="1:12" x14ac:dyDescent="0.2">
      <c r="A375" s="2" t="s">
        <v>4</v>
      </c>
      <c r="B375" s="2">
        <v>1</v>
      </c>
      <c r="C375" s="2"/>
      <c r="D375" s="2"/>
      <c r="E375" s="2"/>
      <c r="F375" s="2"/>
      <c r="G375" s="2"/>
      <c r="H375" s="2"/>
      <c r="I375" s="2"/>
      <c r="J375" s="2"/>
      <c r="K375" s="2"/>
      <c r="L375" s="2"/>
    </row>
    <row r="376" spans="1:12" x14ac:dyDescent="0.2">
      <c r="A376" s="2" t="s">
        <v>5</v>
      </c>
      <c r="B376" s="2" t="s">
        <v>1</v>
      </c>
      <c r="C376" s="2"/>
      <c r="D376" s="2"/>
      <c r="E376" s="2"/>
      <c r="F376" s="2"/>
      <c r="G376" s="2"/>
      <c r="H376" s="2"/>
      <c r="I376" s="2"/>
      <c r="J376" s="2"/>
    </row>
    <row r="377" spans="1:12" x14ac:dyDescent="0.2">
      <c r="A377" s="2" t="s">
        <v>6</v>
      </c>
      <c r="B377" s="2" t="s">
        <v>7</v>
      </c>
      <c r="C377" s="2"/>
      <c r="D377" s="2"/>
      <c r="E377" s="2"/>
      <c r="F377" s="2"/>
      <c r="G377" s="2"/>
      <c r="H377" s="2"/>
      <c r="I377" s="2"/>
      <c r="J377" s="2"/>
      <c r="K377" s="2"/>
      <c r="L377" s="2"/>
    </row>
    <row r="378" spans="1:12" x14ac:dyDescent="0.2">
      <c r="A378" s="2" t="s">
        <v>8</v>
      </c>
      <c r="B378" s="2" t="s">
        <v>17</v>
      </c>
      <c r="C378" s="2"/>
      <c r="D378" s="2"/>
      <c r="E378" s="2"/>
      <c r="F378" s="2"/>
      <c r="G378" s="2"/>
      <c r="H378" s="2"/>
      <c r="I378" s="2"/>
      <c r="J378" s="2"/>
      <c r="K378" s="2"/>
      <c r="L378" s="2"/>
    </row>
    <row r="379" spans="1:12" x14ac:dyDescent="0.2">
      <c r="A379" s="1" t="s">
        <v>10</v>
      </c>
      <c r="B379" s="2"/>
      <c r="C379" s="2"/>
      <c r="D379" s="2"/>
      <c r="E379" s="2"/>
      <c r="F379" s="2"/>
      <c r="G379" s="2"/>
      <c r="H379" s="2"/>
      <c r="I379" s="2"/>
      <c r="J379" s="2"/>
      <c r="K379" s="2"/>
      <c r="L379" s="2"/>
    </row>
    <row r="380" spans="1:12" x14ac:dyDescent="0.2">
      <c r="A380" s="2" t="s">
        <v>11</v>
      </c>
      <c r="B380" s="2" t="s">
        <v>12</v>
      </c>
      <c r="C380" s="2" t="s">
        <v>3</v>
      </c>
      <c r="D380" s="2" t="s">
        <v>8</v>
      </c>
      <c r="E380" s="2" t="s">
        <v>13</v>
      </c>
      <c r="F380" s="2" t="s">
        <v>6</v>
      </c>
      <c r="G380" s="2" t="s">
        <v>5</v>
      </c>
      <c r="H380" s="2"/>
      <c r="I380" s="2"/>
      <c r="J380" s="2"/>
      <c r="K380" s="2"/>
    </row>
    <row r="381" spans="1:12" x14ac:dyDescent="0.2">
      <c r="A381" s="2" t="str">
        <f>B373</f>
        <v>diesel from coal, burned in heavy-duty vehicle</v>
      </c>
      <c r="B381" s="2">
        <v>1</v>
      </c>
      <c r="C381" s="2" t="str">
        <f>B374</f>
        <v>RER</v>
      </c>
      <c r="D381" s="2" t="str">
        <f>B378</f>
        <v>megajoule</v>
      </c>
      <c r="E381" s="2"/>
      <c r="F381" s="2" t="s">
        <v>19</v>
      </c>
      <c r="G381" s="2" t="str">
        <f>B376</f>
        <v>heat</v>
      </c>
      <c r="H381" s="2"/>
      <c r="I381" s="2"/>
      <c r="J381" s="2"/>
      <c r="K381" s="2"/>
      <c r="L381" s="2"/>
    </row>
    <row r="382" spans="1:12" x14ac:dyDescent="0.2">
      <c r="A382" s="2" t="s">
        <v>137</v>
      </c>
      <c r="B382">
        <f>1/43</f>
        <v>2.3255813953488372E-2</v>
      </c>
      <c r="C382" t="s">
        <v>18</v>
      </c>
      <c r="D382" t="s">
        <v>9</v>
      </c>
      <c r="F382" t="s">
        <v>23</v>
      </c>
      <c r="G382" t="s">
        <v>138</v>
      </c>
    </row>
    <row r="383" spans="1:12" x14ac:dyDescent="0.2">
      <c r="A383" s="2" t="s">
        <v>150</v>
      </c>
      <c r="B383">
        <f>1000/1000000/8.57</f>
        <v>1.1668611435239206E-4</v>
      </c>
      <c r="C383" t="s">
        <v>18</v>
      </c>
      <c r="D383" t="s">
        <v>9</v>
      </c>
      <c r="F383" t="s">
        <v>23</v>
      </c>
      <c r="G383" t="s">
        <v>150</v>
      </c>
    </row>
    <row r="384" spans="1:12" x14ac:dyDescent="0.2">
      <c r="A384" t="s">
        <v>46</v>
      </c>
      <c r="B384" s="3">
        <v>9.0891902402005496E-8</v>
      </c>
      <c r="D384" t="s">
        <v>9</v>
      </c>
      <c r="E384" t="s">
        <v>14</v>
      </c>
      <c r="F384" s="2" t="s">
        <v>15</v>
      </c>
      <c r="H384" s="3"/>
      <c r="J384" s="3"/>
    </row>
    <row r="385" spans="1:9" x14ac:dyDescent="0.2">
      <c r="A385" t="s">
        <v>48</v>
      </c>
      <c r="B385" s="3">
        <v>3.5203209464194309E-8</v>
      </c>
      <c r="D385" t="s">
        <v>9</v>
      </c>
      <c r="E385" t="s">
        <v>14</v>
      </c>
      <c r="F385" s="2" t="s">
        <v>15</v>
      </c>
      <c r="H385" s="3"/>
    </row>
    <row r="386" spans="1:9" x14ac:dyDescent="0.2">
      <c r="A386" t="s">
        <v>49</v>
      </c>
      <c r="B386" s="3">
        <v>2.2775546498939349E-7</v>
      </c>
      <c r="D386" t="s">
        <v>9</v>
      </c>
      <c r="E386" t="s">
        <v>14</v>
      </c>
      <c r="F386" s="2" t="s">
        <v>15</v>
      </c>
      <c r="H386" s="3"/>
    </row>
    <row r="387" spans="1:9" x14ac:dyDescent="0.2">
      <c r="A387" t="s">
        <v>91</v>
      </c>
      <c r="B387" s="3">
        <v>2.3255813953488445E-12</v>
      </c>
      <c r="D387" t="s">
        <v>9</v>
      </c>
      <c r="E387" t="s">
        <v>14</v>
      </c>
      <c r="F387" s="2" t="s">
        <v>15</v>
      </c>
      <c r="H387" s="3"/>
    </row>
    <row r="388" spans="1:9" x14ac:dyDescent="0.2">
      <c r="A388" t="s">
        <v>50</v>
      </c>
      <c r="B388" s="3">
        <v>2.7247681901736397E-8</v>
      </c>
      <c r="D388" t="s">
        <v>9</v>
      </c>
      <c r="E388" t="s">
        <v>14</v>
      </c>
      <c r="F388" s="2" t="s">
        <v>15</v>
      </c>
      <c r="H388" s="3"/>
    </row>
    <row r="389" spans="1:9" x14ac:dyDescent="0.2">
      <c r="A389" t="s">
        <v>51</v>
      </c>
      <c r="B389" s="3">
        <v>1.3922173234392214E-9</v>
      </c>
      <c r="D389" t="s">
        <v>9</v>
      </c>
      <c r="E389" t="s">
        <v>14</v>
      </c>
      <c r="F389" s="2" t="s">
        <v>15</v>
      </c>
      <c r="H389" s="3"/>
    </row>
    <row r="390" spans="1:9" x14ac:dyDescent="0.2">
      <c r="A390" t="s">
        <v>52</v>
      </c>
      <c r="B390" s="3">
        <v>2.9833228359550366E-9</v>
      </c>
      <c r="D390" t="s">
        <v>9</v>
      </c>
      <c r="E390" t="s">
        <v>14</v>
      </c>
      <c r="F390" s="2" t="s">
        <v>15</v>
      </c>
      <c r="H390" s="3"/>
    </row>
    <row r="391" spans="1:9" x14ac:dyDescent="0.2">
      <c r="A391" t="s">
        <v>53</v>
      </c>
      <c r="B391" s="3">
        <v>2.0232558139597954E-10</v>
      </c>
      <c r="D391" t="s">
        <v>9</v>
      </c>
      <c r="E391" t="s">
        <v>14</v>
      </c>
      <c r="F391" s="2" t="s">
        <v>15</v>
      </c>
      <c r="H391" s="3"/>
    </row>
    <row r="392" spans="1:9" x14ac:dyDescent="0.2">
      <c r="A392" t="s">
        <v>54</v>
      </c>
      <c r="B392">
        <v>6.9708852499276011E-2</v>
      </c>
      <c r="D392" t="s">
        <v>9</v>
      </c>
      <c r="E392" t="s">
        <v>14</v>
      </c>
      <c r="F392" s="2" t="s">
        <v>15</v>
      </c>
      <c r="H392" s="3"/>
      <c r="I392" s="3"/>
    </row>
    <row r="393" spans="1:9" x14ac:dyDescent="0.2">
      <c r="A393" t="s">
        <v>55</v>
      </c>
      <c r="B393" s="3">
        <v>6.3521092350262397E-5</v>
      </c>
      <c r="D393" t="s">
        <v>9</v>
      </c>
      <c r="E393" t="s">
        <v>14</v>
      </c>
      <c r="F393" s="2" t="s">
        <v>15</v>
      </c>
      <c r="H393" s="3"/>
    </row>
    <row r="394" spans="1:9" x14ac:dyDescent="0.2">
      <c r="A394" t="s">
        <v>56</v>
      </c>
      <c r="B394" s="3">
        <v>6.9767441860586501E-10</v>
      </c>
      <c r="D394" t="s">
        <v>9</v>
      </c>
      <c r="E394" t="s">
        <v>14</v>
      </c>
      <c r="F394" s="2" t="s">
        <v>15</v>
      </c>
      <c r="H394" s="3"/>
    </row>
    <row r="395" spans="1:9" x14ac:dyDescent="0.2">
      <c r="A395" t="s">
        <v>57</v>
      </c>
      <c r="B395" s="3">
        <v>1.3953488372165768E-12</v>
      </c>
      <c r="D395" t="s">
        <v>9</v>
      </c>
      <c r="E395" t="s">
        <v>14</v>
      </c>
      <c r="F395" s="2" t="s">
        <v>15</v>
      </c>
      <c r="H395" s="3"/>
    </row>
    <row r="396" spans="1:9" x14ac:dyDescent="0.2">
      <c r="A396" t="s">
        <v>58</v>
      </c>
      <c r="B396" s="3">
        <v>4.9302325581458507E-10</v>
      </c>
      <c r="D396" t="s">
        <v>9</v>
      </c>
      <c r="E396" t="s">
        <v>14</v>
      </c>
      <c r="F396" s="2" t="s">
        <v>15</v>
      </c>
      <c r="H396" s="3"/>
    </row>
    <row r="397" spans="1:9" x14ac:dyDescent="0.2">
      <c r="A397" t="s">
        <v>59</v>
      </c>
      <c r="B397" s="3">
        <v>3.7969387682723317E-6</v>
      </c>
      <c r="D397" t="s">
        <v>9</v>
      </c>
      <c r="E397" t="s">
        <v>14</v>
      </c>
      <c r="F397" s="2" t="s">
        <v>15</v>
      </c>
      <c r="H397" s="3"/>
    </row>
    <row r="398" spans="1:9" x14ac:dyDescent="0.2">
      <c r="A398" t="s">
        <v>60</v>
      </c>
      <c r="B398" s="3">
        <v>5.966645671897956E-10</v>
      </c>
      <c r="D398" t="s">
        <v>9</v>
      </c>
      <c r="E398" t="s">
        <v>14</v>
      </c>
      <c r="F398" s="2" t="s">
        <v>15</v>
      </c>
      <c r="H398" s="3"/>
    </row>
    <row r="399" spans="1:9" x14ac:dyDescent="0.2">
      <c r="A399" t="s">
        <v>62</v>
      </c>
      <c r="B399" s="3">
        <v>1.6706607881343357E-7</v>
      </c>
      <c r="D399" t="s">
        <v>9</v>
      </c>
      <c r="E399" t="s">
        <v>14</v>
      </c>
      <c r="F399" s="2" t="s">
        <v>15</v>
      </c>
      <c r="H399" s="3"/>
    </row>
    <row r="400" spans="1:9" x14ac:dyDescent="0.2">
      <c r="A400" t="s">
        <v>63</v>
      </c>
      <c r="B400" s="3">
        <v>5.9666456718979566E-9</v>
      </c>
      <c r="D400" t="s">
        <v>9</v>
      </c>
      <c r="E400" t="s">
        <v>14</v>
      </c>
      <c r="F400" s="2" t="s">
        <v>15</v>
      </c>
      <c r="H400" s="3"/>
    </row>
    <row r="401" spans="1:8" x14ac:dyDescent="0.2">
      <c r="A401" t="s">
        <v>64</v>
      </c>
      <c r="B401" s="3">
        <v>1.2116279069793652E-9</v>
      </c>
      <c r="D401" t="s">
        <v>9</v>
      </c>
      <c r="E401" t="s">
        <v>14</v>
      </c>
      <c r="F401" s="2" t="s">
        <v>15</v>
      </c>
      <c r="H401" s="3"/>
    </row>
    <row r="402" spans="1:8" x14ac:dyDescent="0.2">
      <c r="A402" t="s">
        <v>65</v>
      </c>
      <c r="B402" s="3">
        <v>1.2325581395334337E-10</v>
      </c>
      <c r="D402" t="s">
        <v>9</v>
      </c>
      <c r="E402" t="s">
        <v>14</v>
      </c>
      <c r="F402" s="2" t="s">
        <v>15</v>
      </c>
      <c r="H402" s="3"/>
    </row>
    <row r="403" spans="1:8" x14ac:dyDescent="0.2">
      <c r="A403" t="s">
        <v>66</v>
      </c>
      <c r="B403" s="3">
        <v>4.890693292186907E-8</v>
      </c>
      <c r="D403" t="s">
        <v>9</v>
      </c>
      <c r="E403" t="s">
        <v>14</v>
      </c>
      <c r="F403" s="2" t="s">
        <v>15</v>
      </c>
      <c r="H403" s="3"/>
    </row>
    <row r="404" spans="1:8" x14ac:dyDescent="0.2">
      <c r="A404" t="s">
        <v>68</v>
      </c>
      <c r="B404" s="3">
        <v>1.6155687597619975E-6</v>
      </c>
      <c r="D404" t="s">
        <v>9</v>
      </c>
      <c r="E404" t="s">
        <v>14</v>
      </c>
      <c r="F404" s="2" t="s">
        <v>15</v>
      </c>
      <c r="H404" s="3"/>
    </row>
    <row r="405" spans="1:8" x14ac:dyDescent="0.2">
      <c r="A405" t="s">
        <v>69</v>
      </c>
      <c r="B405" s="3">
        <v>2.0465116279127991E-10</v>
      </c>
      <c r="D405" t="s">
        <v>9</v>
      </c>
      <c r="E405" t="s">
        <v>14</v>
      </c>
      <c r="F405" s="2" t="s">
        <v>15</v>
      </c>
      <c r="H405" s="3"/>
    </row>
    <row r="406" spans="1:8" x14ac:dyDescent="0.2">
      <c r="A406" t="s">
        <v>70</v>
      </c>
      <c r="B406" s="3">
        <v>3.1855518160413698E-5</v>
      </c>
      <c r="D406" t="s">
        <v>9</v>
      </c>
      <c r="E406" t="s">
        <v>14</v>
      </c>
      <c r="F406" s="2" t="s">
        <v>15</v>
      </c>
      <c r="H406" s="3"/>
    </row>
    <row r="407" spans="1:8" x14ac:dyDescent="0.2">
      <c r="A407" t="s">
        <v>71</v>
      </c>
      <c r="B407" s="3">
        <v>1.8186046511685154E-9</v>
      </c>
      <c r="D407" t="s">
        <v>9</v>
      </c>
      <c r="E407" t="s">
        <v>14</v>
      </c>
      <c r="F407" s="2" t="s">
        <v>15</v>
      </c>
      <c r="H407" s="3"/>
    </row>
    <row r="408" spans="1:8" x14ac:dyDescent="0.2">
      <c r="A408" t="s">
        <v>72</v>
      </c>
      <c r="B408" s="3">
        <v>2.8746541895445575E-7</v>
      </c>
      <c r="D408" t="s">
        <v>9</v>
      </c>
      <c r="E408" t="s">
        <v>14</v>
      </c>
      <c r="F408" s="2" t="s">
        <v>15</v>
      </c>
      <c r="H408" s="3"/>
    </row>
    <row r="409" spans="1:8" x14ac:dyDescent="0.2">
      <c r="A409" t="s">
        <v>73</v>
      </c>
      <c r="B409" s="3">
        <v>1.193329134380803E-9</v>
      </c>
      <c r="D409" t="s">
        <v>9</v>
      </c>
      <c r="E409" t="s">
        <v>14</v>
      </c>
      <c r="F409" s="2" t="s">
        <v>15</v>
      </c>
      <c r="H409" s="3"/>
    </row>
    <row r="410" spans="1:8" x14ac:dyDescent="0.2">
      <c r="A410" t="s">
        <v>74</v>
      </c>
      <c r="B410" s="3">
        <v>1.9888818906326523E-9</v>
      </c>
      <c r="D410" t="s">
        <v>9</v>
      </c>
      <c r="E410" t="s">
        <v>14</v>
      </c>
      <c r="F410" s="2" t="s">
        <v>15</v>
      </c>
      <c r="H410" s="3"/>
    </row>
    <row r="411" spans="1:8" x14ac:dyDescent="0.2">
      <c r="A411" t="s">
        <v>76</v>
      </c>
      <c r="B411" s="3">
        <v>2.3255813953488445E-12</v>
      </c>
      <c r="D411" t="s">
        <v>9</v>
      </c>
      <c r="E411" t="s">
        <v>14</v>
      </c>
      <c r="F411" s="2" t="s">
        <v>15</v>
      </c>
      <c r="H411" s="3"/>
    </row>
    <row r="412" spans="1:8" x14ac:dyDescent="0.2">
      <c r="A412" t="s">
        <v>77</v>
      </c>
      <c r="B412" s="3">
        <v>1.1137738587550121E-8</v>
      </c>
      <c r="D412" t="s">
        <v>9</v>
      </c>
      <c r="E412" t="s">
        <v>14</v>
      </c>
      <c r="F412" s="2" t="s">
        <v>15</v>
      </c>
      <c r="H412" s="3"/>
    </row>
    <row r="413" spans="1:8" x14ac:dyDescent="0.2">
      <c r="A413" t="s">
        <v>78</v>
      </c>
      <c r="B413" s="3">
        <v>3.7893614887488559E-7</v>
      </c>
      <c r="D413" t="s">
        <v>9</v>
      </c>
      <c r="E413" t="s">
        <v>14</v>
      </c>
      <c r="F413" s="2" t="s">
        <v>15</v>
      </c>
      <c r="H413" s="3"/>
    </row>
    <row r="414" spans="1:8" x14ac:dyDescent="0.2">
      <c r="A414" t="s">
        <v>79</v>
      </c>
      <c r="B414" s="3">
        <v>1.9888818906326521E-10</v>
      </c>
      <c r="D414" t="s">
        <v>9</v>
      </c>
      <c r="E414" t="s">
        <v>14</v>
      </c>
      <c r="F414" s="2" t="s">
        <v>15</v>
      </c>
      <c r="H414" s="3"/>
    </row>
    <row r="415" spans="1:8" x14ac:dyDescent="0.2">
      <c r="A415" t="s">
        <v>80</v>
      </c>
      <c r="B415" s="3">
        <v>4.04186046512172E-8</v>
      </c>
      <c r="D415" t="s">
        <v>9</v>
      </c>
      <c r="E415" t="s">
        <v>14</v>
      </c>
      <c r="F415" s="2" t="s">
        <v>15</v>
      </c>
      <c r="H415" s="3"/>
    </row>
    <row r="416" spans="1:8" x14ac:dyDescent="0.2">
      <c r="A416" t="s">
        <v>81</v>
      </c>
      <c r="B416" s="3">
        <v>1.9491042528173333E-8</v>
      </c>
      <c r="D416" t="s">
        <v>9</v>
      </c>
      <c r="E416" t="s">
        <v>14</v>
      </c>
      <c r="F416" s="2" t="s">
        <v>15</v>
      </c>
      <c r="H416" s="3"/>
    </row>
    <row r="417" spans="1:8" x14ac:dyDescent="0.2">
      <c r="A417" t="s">
        <v>82</v>
      </c>
      <c r="B417" s="3">
        <v>7.9555275625427259E-9</v>
      </c>
      <c r="D417" t="s">
        <v>9</v>
      </c>
      <c r="E417" t="s">
        <v>14</v>
      </c>
      <c r="F417" s="2" t="s">
        <v>15</v>
      </c>
      <c r="H417" s="3"/>
    </row>
    <row r="419" spans="1:8" x14ac:dyDescent="0.2">
      <c r="A419" s="1" t="s">
        <v>2</v>
      </c>
      <c r="B419" s="1" t="s">
        <v>206</v>
      </c>
    </row>
    <row r="420" spans="1:8" x14ac:dyDescent="0.2">
      <c r="A420" t="s">
        <v>157</v>
      </c>
      <c r="B420" t="s">
        <v>207</v>
      </c>
    </row>
    <row r="421" spans="1:8" x14ac:dyDescent="0.2">
      <c r="A421" t="s">
        <v>208</v>
      </c>
      <c r="B421" t="s">
        <v>209</v>
      </c>
    </row>
    <row r="422" spans="1:8" x14ac:dyDescent="0.2">
      <c r="A422" t="s">
        <v>3</v>
      </c>
      <c r="B422" t="s">
        <v>18</v>
      </c>
    </row>
    <row r="423" spans="1:8" x14ac:dyDescent="0.2">
      <c r="A423" t="s">
        <v>4</v>
      </c>
      <c r="B423">
        <v>1</v>
      </c>
    </row>
    <row r="424" spans="1:8" x14ac:dyDescent="0.2">
      <c r="A424" t="s">
        <v>5</v>
      </c>
      <c r="B424" t="s">
        <v>1</v>
      </c>
    </row>
    <row r="425" spans="1:8" x14ac:dyDescent="0.2">
      <c r="A425" t="s">
        <v>6</v>
      </c>
      <c r="B425" t="s">
        <v>7</v>
      </c>
    </row>
    <row r="426" spans="1:8" x14ac:dyDescent="0.2">
      <c r="A426" t="s">
        <v>8</v>
      </c>
      <c r="B426" t="s">
        <v>17</v>
      </c>
    </row>
    <row r="427" spans="1:8" x14ac:dyDescent="0.2">
      <c r="A427" s="1" t="s">
        <v>10</v>
      </c>
    </row>
    <row r="428" spans="1:8" x14ac:dyDescent="0.2">
      <c r="A428" t="s">
        <v>11</v>
      </c>
      <c r="B428" t="s">
        <v>12</v>
      </c>
      <c r="C428" t="s">
        <v>3</v>
      </c>
      <c r="D428" t="s">
        <v>8</v>
      </c>
      <c r="E428" t="s">
        <v>13</v>
      </c>
      <c r="F428" t="s">
        <v>6</v>
      </c>
      <c r="G428" t="s">
        <v>5</v>
      </c>
    </row>
    <row r="429" spans="1:8" x14ac:dyDescent="0.2">
      <c r="A429" t="s">
        <v>206</v>
      </c>
      <c r="B429">
        <v>1</v>
      </c>
      <c r="C429" t="s">
        <v>18</v>
      </c>
      <c r="D429" t="s">
        <v>17</v>
      </c>
      <c r="F429" t="s">
        <v>19</v>
      </c>
      <c r="G429" t="s">
        <v>1</v>
      </c>
    </row>
    <row r="430" spans="1:8" x14ac:dyDescent="0.2">
      <c r="A430" t="s">
        <v>210</v>
      </c>
      <c r="B430">
        <v>8.4039805756723712E-6</v>
      </c>
      <c r="C430" t="s">
        <v>18</v>
      </c>
      <c r="D430" t="s">
        <v>9</v>
      </c>
      <c r="F430" t="s">
        <v>23</v>
      </c>
      <c r="G430" t="s">
        <v>211</v>
      </c>
    </row>
    <row r="431" spans="1:8" x14ac:dyDescent="0.2">
      <c r="A431" t="s">
        <v>150</v>
      </c>
      <c r="B431">
        <v>1.3427927506200167E-4</v>
      </c>
      <c r="C431" t="s">
        <v>18</v>
      </c>
      <c r="D431" t="s">
        <v>9</v>
      </c>
      <c r="F431" t="s">
        <v>23</v>
      </c>
      <c r="G431" t="s">
        <v>150</v>
      </c>
    </row>
    <row r="432" spans="1:8" x14ac:dyDescent="0.2">
      <c r="A432" s="2" t="s">
        <v>121</v>
      </c>
      <c r="B432">
        <f>1/43</f>
        <v>2.3255813953488372E-2</v>
      </c>
      <c r="C432" t="s">
        <v>27</v>
      </c>
      <c r="D432" t="s">
        <v>9</v>
      </c>
      <c r="F432" t="s">
        <v>23</v>
      </c>
      <c r="G432" t="s">
        <v>45</v>
      </c>
    </row>
    <row r="433" spans="1:8" x14ac:dyDescent="0.2">
      <c r="A433" t="s">
        <v>46</v>
      </c>
      <c r="B433" s="3">
        <v>7.1455665432553858E-7</v>
      </c>
      <c r="D433" t="s">
        <v>9</v>
      </c>
      <c r="E433" t="s">
        <v>14</v>
      </c>
      <c r="F433" s="2" t="s">
        <v>15</v>
      </c>
      <c r="H433" s="3"/>
    </row>
    <row r="434" spans="1:8" x14ac:dyDescent="0.2">
      <c r="A434" t="s">
        <v>47</v>
      </c>
      <c r="B434" s="3">
        <v>3.2468920124586623E-7</v>
      </c>
      <c r="D434" t="s">
        <v>9</v>
      </c>
      <c r="E434" t="s">
        <v>14</v>
      </c>
      <c r="F434" s="2" t="s">
        <v>15</v>
      </c>
      <c r="H434" s="3"/>
    </row>
    <row r="435" spans="1:8" x14ac:dyDescent="0.2">
      <c r="A435" t="s">
        <v>48</v>
      </c>
      <c r="B435" s="3">
        <v>3.9534349472964383E-7</v>
      </c>
      <c r="D435" t="s">
        <v>9</v>
      </c>
      <c r="E435" t="s">
        <v>14</v>
      </c>
      <c r="F435" s="2" t="s">
        <v>15</v>
      </c>
      <c r="H435" s="3"/>
    </row>
    <row r="436" spans="1:8" x14ac:dyDescent="0.2">
      <c r="A436" t="s">
        <v>49</v>
      </c>
      <c r="B436" s="3">
        <v>3.7209280955662761E-7</v>
      </c>
      <c r="D436" t="s">
        <v>9</v>
      </c>
      <c r="E436" t="s">
        <v>14</v>
      </c>
      <c r="F436" s="2" t="s">
        <v>15</v>
      </c>
      <c r="H436" s="3"/>
    </row>
    <row r="437" spans="1:8" x14ac:dyDescent="0.2">
      <c r="A437" t="s">
        <v>50</v>
      </c>
      <c r="B437" s="3">
        <v>9.4995966427857817E-8</v>
      </c>
      <c r="D437" t="s">
        <v>9</v>
      </c>
      <c r="E437" t="s">
        <v>14</v>
      </c>
      <c r="F437" s="2" t="s">
        <v>15</v>
      </c>
      <c r="H437" s="3"/>
    </row>
    <row r="438" spans="1:8" x14ac:dyDescent="0.2">
      <c r="A438" t="s">
        <v>51</v>
      </c>
      <c r="B438" s="3">
        <v>2.186743705223342E-7</v>
      </c>
      <c r="D438" t="s">
        <v>9</v>
      </c>
      <c r="E438" t="s">
        <v>14</v>
      </c>
      <c r="F438" s="2" t="s">
        <v>15</v>
      </c>
      <c r="H438" s="3"/>
    </row>
    <row r="439" spans="1:8" x14ac:dyDescent="0.2">
      <c r="A439" t="s">
        <v>52</v>
      </c>
      <c r="B439" s="3">
        <v>1.2147463123534157E-8</v>
      </c>
      <c r="D439" t="s">
        <v>9</v>
      </c>
      <c r="E439" t="s">
        <v>14</v>
      </c>
      <c r="F439" s="2" t="s">
        <v>15</v>
      </c>
      <c r="H439" s="3"/>
    </row>
    <row r="440" spans="1:8" x14ac:dyDescent="0.2">
      <c r="A440" t="s">
        <v>53</v>
      </c>
      <c r="B440" s="3">
        <v>2.3255800597289225E-10</v>
      </c>
      <c r="D440" t="s">
        <v>9</v>
      </c>
      <c r="E440" t="s">
        <v>14</v>
      </c>
      <c r="F440" s="2" t="s">
        <v>15</v>
      </c>
      <c r="H440" s="3"/>
    </row>
    <row r="441" spans="1:8" x14ac:dyDescent="0.2">
      <c r="A441" t="s">
        <v>54</v>
      </c>
      <c r="B441">
        <f>B432*3.15</f>
        <v>7.3255813953488375E-2</v>
      </c>
      <c r="D441" t="s">
        <v>9</v>
      </c>
      <c r="E441" t="s">
        <v>14</v>
      </c>
      <c r="F441" s="2" t="s">
        <v>15</v>
      </c>
      <c r="H441" s="3"/>
    </row>
    <row r="442" spans="1:8" x14ac:dyDescent="0.2">
      <c r="A442" t="s">
        <v>55</v>
      </c>
      <c r="B442" s="3">
        <v>2.1069404153243686E-5</v>
      </c>
      <c r="D442" t="s">
        <v>9</v>
      </c>
      <c r="E442" t="s">
        <v>14</v>
      </c>
      <c r="F442" s="2" t="s">
        <v>15</v>
      </c>
      <c r="H442" s="3"/>
    </row>
    <row r="443" spans="1:8" x14ac:dyDescent="0.2">
      <c r="A443" t="s">
        <v>56</v>
      </c>
      <c r="B443" s="3">
        <v>1.1627900298644613E-9</v>
      </c>
      <c r="D443" t="s">
        <v>9</v>
      </c>
      <c r="E443" t="s">
        <v>14</v>
      </c>
      <c r="F443" s="2" t="s">
        <v>15</v>
      </c>
      <c r="H443" s="3"/>
    </row>
    <row r="444" spans="1:8" x14ac:dyDescent="0.2">
      <c r="A444" t="s">
        <v>57</v>
      </c>
      <c r="B444" s="3">
        <v>2.3255800597289222E-12</v>
      </c>
      <c r="D444" t="s">
        <v>9</v>
      </c>
      <c r="E444" t="s">
        <v>14</v>
      </c>
      <c r="F444" s="2" t="s">
        <v>15</v>
      </c>
      <c r="H444" s="3"/>
    </row>
    <row r="445" spans="1:8" x14ac:dyDescent="0.2">
      <c r="A445" t="s">
        <v>58</v>
      </c>
      <c r="B445" s="3">
        <v>3.9534861015391682E-8</v>
      </c>
      <c r="D445" t="s">
        <v>9</v>
      </c>
      <c r="E445" t="s">
        <v>14</v>
      </c>
      <c r="F445" s="2" t="s">
        <v>15</v>
      </c>
      <c r="H445" s="3"/>
    </row>
    <row r="446" spans="1:8" x14ac:dyDescent="0.2">
      <c r="A446" t="s">
        <v>156</v>
      </c>
      <c r="B446" s="3">
        <v>7.1789570411210658E-8</v>
      </c>
      <c r="D446" t="s">
        <v>9</v>
      </c>
      <c r="E446" t="s">
        <v>14</v>
      </c>
      <c r="F446" s="2" t="s">
        <v>15</v>
      </c>
      <c r="H446" s="3"/>
    </row>
    <row r="447" spans="1:8" x14ac:dyDescent="0.2">
      <c r="A447" t="s">
        <v>59</v>
      </c>
      <c r="B447" s="3">
        <v>1.1627900298644611E-6</v>
      </c>
      <c r="D447" t="s">
        <v>9</v>
      </c>
      <c r="E447" t="s">
        <v>14</v>
      </c>
      <c r="F447" s="2" t="s">
        <v>15</v>
      </c>
      <c r="H447" s="3"/>
    </row>
    <row r="448" spans="1:8" x14ac:dyDescent="0.2">
      <c r="A448" t="s">
        <v>60</v>
      </c>
      <c r="B448" s="3">
        <v>3.646242366932188E-8</v>
      </c>
      <c r="D448" t="s">
        <v>9</v>
      </c>
      <c r="E448" t="s">
        <v>14</v>
      </c>
      <c r="F448" s="2" t="s">
        <v>15</v>
      </c>
      <c r="H448" s="3"/>
    </row>
    <row r="449" spans="1:8" x14ac:dyDescent="0.2">
      <c r="A449" t="s">
        <v>61</v>
      </c>
      <c r="B449" s="3">
        <v>1.2114072625668476E-6</v>
      </c>
      <c r="D449" t="s">
        <v>9</v>
      </c>
      <c r="E449" t="s">
        <v>14</v>
      </c>
      <c r="F449" s="2" t="s">
        <v>15</v>
      </c>
      <c r="H449" s="3"/>
    </row>
    <row r="450" spans="1:8" x14ac:dyDescent="0.2">
      <c r="A450" t="s">
        <v>62</v>
      </c>
      <c r="B450" s="3">
        <v>1.3252688602888143E-6</v>
      </c>
      <c r="D450" t="s">
        <v>9</v>
      </c>
      <c r="E450" t="s">
        <v>14</v>
      </c>
      <c r="F450" s="2" t="s">
        <v>15</v>
      </c>
      <c r="H450" s="3"/>
    </row>
    <row r="451" spans="1:8" x14ac:dyDescent="0.2">
      <c r="A451" t="s">
        <v>63</v>
      </c>
      <c r="B451" s="3">
        <v>2.2087814338146904E-8</v>
      </c>
      <c r="D451" t="s">
        <v>9</v>
      </c>
      <c r="E451" t="s">
        <v>14</v>
      </c>
      <c r="F451" s="2" t="s">
        <v>15</v>
      </c>
      <c r="H451" s="3"/>
    </row>
    <row r="452" spans="1:8" x14ac:dyDescent="0.2">
      <c r="A452" t="s">
        <v>64</v>
      </c>
      <c r="B452" s="3">
        <v>1.9186035492763611E-15</v>
      </c>
      <c r="D452" t="s">
        <v>9</v>
      </c>
      <c r="E452" t="s">
        <v>14</v>
      </c>
      <c r="F452" s="2" t="s">
        <v>15</v>
      </c>
      <c r="H452" s="3"/>
    </row>
    <row r="453" spans="1:8" x14ac:dyDescent="0.2">
      <c r="A453" t="s">
        <v>65</v>
      </c>
      <c r="B453" s="3">
        <v>4.6511601194578451E-13</v>
      </c>
      <c r="D453" t="s">
        <v>9</v>
      </c>
      <c r="E453" t="s">
        <v>14</v>
      </c>
      <c r="F453" s="2" t="s">
        <v>15</v>
      </c>
      <c r="H453" s="3"/>
    </row>
    <row r="454" spans="1:8" x14ac:dyDescent="0.2">
      <c r="A454" t="s">
        <v>66</v>
      </c>
      <c r="B454" s="3">
        <v>6.6447090752701953E-7</v>
      </c>
      <c r="D454" t="s">
        <v>9</v>
      </c>
      <c r="E454" t="s">
        <v>14</v>
      </c>
      <c r="F454" s="2" t="s">
        <v>15</v>
      </c>
      <c r="H454" s="3"/>
    </row>
    <row r="455" spans="1:8" x14ac:dyDescent="0.2">
      <c r="A455" t="s">
        <v>67</v>
      </c>
      <c r="B455" s="3">
        <v>1.3252688602888143E-7</v>
      </c>
      <c r="D455" t="s">
        <v>9</v>
      </c>
      <c r="E455" t="s">
        <v>14</v>
      </c>
      <c r="F455" s="2" t="s">
        <v>15</v>
      </c>
      <c r="H455" s="3"/>
    </row>
    <row r="456" spans="1:8" x14ac:dyDescent="0.2">
      <c r="A456" t="s">
        <v>68</v>
      </c>
      <c r="B456" s="3">
        <v>5.8566933256401625E-6</v>
      </c>
      <c r="D456" t="s">
        <v>9</v>
      </c>
      <c r="E456" t="s">
        <v>14</v>
      </c>
      <c r="F456" s="2" t="s">
        <v>15</v>
      </c>
      <c r="H456" s="3"/>
    </row>
    <row r="457" spans="1:8" x14ac:dyDescent="0.2">
      <c r="A457" t="s">
        <v>69</v>
      </c>
      <c r="B457" s="3">
        <v>1.6279060418102458E-9</v>
      </c>
      <c r="D457" t="s">
        <v>9</v>
      </c>
      <c r="E457" t="s">
        <v>14</v>
      </c>
      <c r="F457" s="2" t="s">
        <v>15</v>
      </c>
      <c r="H457" s="3"/>
    </row>
    <row r="458" spans="1:8" x14ac:dyDescent="0.2">
      <c r="A458" t="s">
        <v>70</v>
      </c>
      <c r="B458">
        <v>2.2614048584510013E-4</v>
      </c>
      <c r="D458" t="s">
        <v>9</v>
      </c>
      <c r="E458" t="s">
        <v>14</v>
      </c>
      <c r="F458" s="2" t="s">
        <v>15</v>
      </c>
      <c r="H458" s="3"/>
    </row>
    <row r="459" spans="1:8" x14ac:dyDescent="0.2">
      <c r="A459" t="s">
        <v>71</v>
      </c>
      <c r="B459" s="3">
        <v>4.2883696301401334E-9</v>
      </c>
      <c r="D459" t="s">
        <v>9</v>
      </c>
      <c r="E459" t="s">
        <v>14</v>
      </c>
      <c r="F459" s="2" t="s">
        <v>15</v>
      </c>
      <c r="H459" s="3"/>
    </row>
    <row r="460" spans="1:8" x14ac:dyDescent="0.2">
      <c r="A460" t="s">
        <v>72</v>
      </c>
      <c r="B460" s="3">
        <v>6.3929447213629726E-7</v>
      </c>
      <c r="D460" t="s">
        <v>9</v>
      </c>
      <c r="E460" t="s">
        <v>14</v>
      </c>
      <c r="F460" s="2" t="s">
        <v>15</v>
      </c>
      <c r="H460" s="3"/>
    </row>
    <row r="461" spans="1:8" x14ac:dyDescent="0.2">
      <c r="A461" t="s">
        <v>73</v>
      </c>
      <c r="B461" s="3">
        <v>4.417562867629381E-9</v>
      </c>
      <c r="D461" t="s">
        <v>9</v>
      </c>
      <c r="E461" t="s">
        <v>14</v>
      </c>
      <c r="F461" s="2" t="s">
        <v>15</v>
      </c>
      <c r="H461" s="3"/>
    </row>
    <row r="462" spans="1:8" x14ac:dyDescent="0.2">
      <c r="A462" t="s">
        <v>74</v>
      </c>
      <c r="B462" s="3">
        <v>1.2147463123534157E-8</v>
      </c>
      <c r="D462" t="s">
        <v>9</v>
      </c>
      <c r="E462" t="s">
        <v>14</v>
      </c>
      <c r="F462" s="2" t="s">
        <v>15</v>
      </c>
      <c r="H462" s="3"/>
    </row>
    <row r="463" spans="1:8" x14ac:dyDescent="0.2">
      <c r="A463" t="s">
        <v>75</v>
      </c>
      <c r="B463" s="3">
        <v>3.9768082958024133E-7</v>
      </c>
      <c r="D463" t="s">
        <v>9</v>
      </c>
      <c r="E463" t="s">
        <v>14</v>
      </c>
      <c r="F463" s="2" t="s">
        <v>15</v>
      </c>
      <c r="H463" s="3"/>
    </row>
    <row r="464" spans="1:8" x14ac:dyDescent="0.2">
      <c r="A464" t="s">
        <v>76</v>
      </c>
      <c r="B464" s="3">
        <v>2.3255800597289225E-10</v>
      </c>
      <c r="D464" t="s">
        <v>9</v>
      </c>
      <c r="E464" t="s">
        <v>14</v>
      </c>
      <c r="F464" s="2" t="s">
        <v>15</v>
      </c>
      <c r="H464" s="3"/>
    </row>
    <row r="465" spans="1:8" x14ac:dyDescent="0.2">
      <c r="A465" t="s">
        <v>77</v>
      </c>
      <c r="B465" s="3">
        <v>4.0869969387591558E-8</v>
      </c>
      <c r="D465" t="s">
        <v>9</v>
      </c>
      <c r="E465" t="s">
        <v>14</v>
      </c>
      <c r="F465" s="2" t="s">
        <v>15</v>
      </c>
      <c r="H465" s="3"/>
    </row>
    <row r="466" spans="1:8" x14ac:dyDescent="0.2">
      <c r="A466" t="s">
        <v>78</v>
      </c>
      <c r="B466" s="3">
        <v>4.651160119457845E-7</v>
      </c>
      <c r="D466" t="s">
        <v>9</v>
      </c>
      <c r="E466" t="s">
        <v>14</v>
      </c>
      <c r="F466" s="2" t="s">
        <v>15</v>
      </c>
      <c r="H466" s="3"/>
    </row>
    <row r="467" spans="1:8" x14ac:dyDescent="0.2">
      <c r="A467" t="s">
        <v>79</v>
      </c>
      <c r="B467" s="3">
        <v>7.619711612948033E-8</v>
      </c>
      <c r="D467" t="s">
        <v>9</v>
      </c>
      <c r="E467" t="s">
        <v>14</v>
      </c>
      <c r="F467" s="2" t="s">
        <v>15</v>
      </c>
      <c r="H467" s="3"/>
    </row>
    <row r="468" spans="1:8" x14ac:dyDescent="0.2">
      <c r="A468" t="s">
        <v>80</v>
      </c>
      <c r="B468" s="3">
        <v>2.3255800597289226E-8</v>
      </c>
      <c r="D468" t="s">
        <v>9</v>
      </c>
      <c r="E468" t="s">
        <v>14</v>
      </c>
      <c r="F468" s="2" t="s">
        <v>15</v>
      </c>
      <c r="H468" s="3"/>
    </row>
    <row r="469" spans="1:8" x14ac:dyDescent="0.2">
      <c r="A469" t="s">
        <v>81</v>
      </c>
      <c r="B469" s="3">
        <v>6.7382024692940973E-8</v>
      </c>
      <c r="D469" t="s">
        <v>9</v>
      </c>
      <c r="E469" t="s">
        <v>14</v>
      </c>
      <c r="F469" s="2" t="s">
        <v>15</v>
      </c>
      <c r="H469" s="3"/>
    </row>
    <row r="470" spans="1:8" x14ac:dyDescent="0.2">
      <c r="A470" t="s">
        <v>82</v>
      </c>
      <c r="B470" s="3">
        <v>2.9821053643838246E-8</v>
      </c>
      <c r="D470" t="s">
        <v>9</v>
      </c>
      <c r="E470" t="s">
        <v>14</v>
      </c>
      <c r="F470" s="2" t="s">
        <v>15</v>
      </c>
      <c r="H470" s="3"/>
    </row>
    <row r="471" spans="1:8" x14ac:dyDescent="0.2">
      <c r="B471" s="3"/>
    </row>
    <row r="472" spans="1:8" x14ac:dyDescent="0.2">
      <c r="A472" s="1" t="s">
        <v>2</v>
      </c>
      <c r="B472" s="1" t="s">
        <v>281</v>
      </c>
    </row>
    <row r="473" spans="1:8" x14ac:dyDescent="0.2">
      <c r="A473" t="s">
        <v>157</v>
      </c>
      <c r="B473" t="s">
        <v>207</v>
      </c>
    </row>
    <row r="474" spans="1:8" x14ac:dyDescent="0.2">
      <c r="A474" t="s">
        <v>208</v>
      </c>
      <c r="B474" t="s">
        <v>209</v>
      </c>
    </row>
    <row r="475" spans="1:8" x14ac:dyDescent="0.2">
      <c r="A475" t="s">
        <v>3</v>
      </c>
      <c r="B475" t="s">
        <v>18</v>
      </c>
    </row>
    <row r="476" spans="1:8" x14ac:dyDescent="0.2">
      <c r="A476" t="s">
        <v>4</v>
      </c>
      <c r="B476">
        <v>1</v>
      </c>
    </row>
    <row r="477" spans="1:8" x14ac:dyDescent="0.2">
      <c r="A477" t="s">
        <v>5</v>
      </c>
      <c r="B477" t="s">
        <v>1</v>
      </c>
    </row>
    <row r="478" spans="1:8" x14ac:dyDescent="0.2">
      <c r="A478" t="s">
        <v>6</v>
      </c>
      <c r="B478" t="s">
        <v>7</v>
      </c>
    </row>
    <row r="479" spans="1:8" x14ac:dyDescent="0.2">
      <c r="A479" t="s">
        <v>8</v>
      </c>
      <c r="B479" t="s">
        <v>17</v>
      </c>
    </row>
    <row r="480" spans="1:8" x14ac:dyDescent="0.2">
      <c r="A480" s="1" t="s">
        <v>10</v>
      </c>
    </row>
    <row r="481" spans="1:8" x14ac:dyDescent="0.2">
      <c r="A481" t="s">
        <v>11</v>
      </c>
      <c r="B481" t="s">
        <v>12</v>
      </c>
      <c r="C481" t="s">
        <v>3</v>
      </c>
      <c r="D481" t="s">
        <v>8</v>
      </c>
      <c r="E481" t="s">
        <v>13</v>
      </c>
      <c r="F481" t="s">
        <v>6</v>
      </c>
      <c r="G481" t="s">
        <v>5</v>
      </c>
    </row>
    <row r="482" spans="1:8" x14ac:dyDescent="0.2">
      <c r="A482" t="s">
        <v>281</v>
      </c>
      <c r="B482">
        <v>1</v>
      </c>
      <c r="C482" t="s">
        <v>18</v>
      </c>
      <c r="D482" t="s">
        <v>17</v>
      </c>
      <c r="F482" t="s">
        <v>19</v>
      </c>
      <c r="G482" t="s">
        <v>1</v>
      </c>
    </row>
    <row r="483" spans="1:8" x14ac:dyDescent="0.2">
      <c r="A483" t="s">
        <v>210</v>
      </c>
      <c r="B483">
        <v>8.4039805756723712E-6</v>
      </c>
      <c r="C483" t="s">
        <v>18</v>
      </c>
      <c r="D483" t="s">
        <v>9</v>
      </c>
      <c r="F483" t="s">
        <v>23</v>
      </c>
      <c r="G483" t="s">
        <v>211</v>
      </c>
    </row>
    <row r="484" spans="1:8" x14ac:dyDescent="0.2">
      <c r="A484" t="s">
        <v>150</v>
      </c>
      <c r="B484">
        <v>1.3427927506200167E-4</v>
      </c>
      <c r="C484" t="s">
        <v>18</v>
      </c>
      <c r="D484" t="s">
        <v>9</v>
      </c>
      <c r="F484" t="s">
        <v>23</v>
      </c>
      <c r="G484" t="s">
        <v>150</v>
      </c>
    </row>
    <row r="485" spans="1:8" x14ac:dyDescent="0.2">
      <c r="A485" s="2" t="s">
        <v>184</v>
      </c>
      <c r="B485">
        <f>1/43</f>
        <v>2.3255813953488372E-2</v>
      </c>
      <c r="C485" t="s">
        <v>18</v>
      </c>
      <c r="D485" t="s">
        <v>9</v>
      </c>
      <c r="F485" t="s">
        <v>23</v>
      </c>
      <c r="G485" t="s">
        <v>185</v>
      </c>
    </row>
    <row r="486" spans="1:8" x14ac:dyDescent="0.2">
      <c r="A486" t="s">
        <v>46</v>
      </c>
      <c r="B486" s="3">
        <v>7.1455665432553858E-7</v>
      </c>
      <c r="D486" t="s">
        <v>9</v>
      </c>
      <c r="E486" t="s">
        <v>14</v>
      </c>
      <c r="F486" s="2" t="s">
        <v>15</v>
      </c>
      <c r="H486" s="3"/>
    </row>
    <row r="487" spans="1:8" x14ac:dyDescent="0.2">
      <c r="A487" t="s">
        <v>47</v>
      </c>
      <c r="B487" s="3">
        <v>3.2468920124586623E-7</v>
      </c>
      <c r="D487" t="s">
        <v>9</v>
      </c>
      <c r="E487" t="s">
        <v>14</v>
      </c>
      <c r="F487" s="2" t="s">
        <v>15</v>
      </c>
      <c r="H487" s="3"/>
    </row>
    <row r="488" spans="1:8" x14ac:dyDescent="0.2">
      <c r="A488" t="s">
        <v>48</v>
      </c>
      <c r="B488" s="3">
        <v>3.9534349472964383E-7</v>
      </c>
      <c r="D488" t="s">
        <v>9</v>
      </c>
      <c r="E488" t="s">
        <v>14</v>
      </c>
      <c r="F488" s="2" t="s">
        <v>15</v>
      </c>
      <c r="H488" s="3"/>
    </row>
    <row r="489" spans="1:8" x14ac:dyDescent="0.2">
      <c r="A489" t="s">
        <v>49</v>
      </c>
      <c r="B489" s="3">
        <v>3.7209280955662761E-7</v>
      </c>
      <c r="D489" t="s">
        <v>9</v>
      </c>
      <c r="E489" t="s">
        <v>14</v>
      </c>
      <c r="F489" s="2" t="s">
        <v>15</v>
      </c>
      <c r="H489" s="3"/>
    </row>
    <row r="490" spans="1:8" x14ac:dyDescent="0.2">
      <c r="A490" t="s">
        <v>50</v>
      </c>
      <c r="B490" s="3">
        <v>9.4995966427857817E-8</v>
      </c>
      <c r="D490" t="s">
        <v>9</v>
      </c>
      <c r="E490" t="s">
        <v>14</v>
      </c>
      <c r="F490" s="2" t="s">
        <v>15</v>
      </c>
      <c r="H490" s="3"/>
    </row>
    <row r="491" spans="1:8" x14ac:dyDescent="0.2">
      <c r="A491" t="s">
        <v>51</v>
      </c>
      <c r="B491" s="3">
        <v>2.186743705223342E-7</v>
      </c>
      <c r="D491" t="s">
        <v>9</v>
      </c>
      <c r="E491" t="s">
        <v>14</v>
      </c>
      <c r="F491" s="2" t="s">
        <v>15</v>
      </c>
      <c r="H491" s="3"/>
    </row>
    <row r="492" spans="1:8" x14ac:dyDescent="0.2">
      <c r="A492" t="s">
        <v>52</v>
      </c>
      <c r="B492" s="3">
        <v>1.2147463123534157E-8</v>
      </c>
      <c r="D492" t="s">
        <v>9</v>
      </c>
      <c r="E492" t="s">
        <v>14</v>
      </c>
      <c r="F492" s="2" t="s">
        <v>15</v>
      </c>
      <c r="H492" s="3"/>
    </row>
    <row r="493" spans="1:8" x14ac:dyDescent="0.2">
      <c r="A493" t="s">
        <v>53</v>
      </c>
      <c r="B493" s="3">
        <v>2.3255800597289225E-10</v>
      </c>
      <c r="D493" t="s">
        <v>9</v>
      </c>
      <c r="E493" t="s">
        <v>14</v>
      </c>
      <c r="F493" s="2" t="s">
        <v>15</v>
      </c>
      <c r="H493" s="3"/>
    </row>
    <row r="494" spans="1:8" x14ac:dyDescent="0.2">
      <c r="A494" t="s">
        <v>54</v>
      </c>
      <c r="B494">
        <f>B485*3.15</f>
        <v>7.3255813953488375E-2</v>
      </c>
      <c r="D494" t="s">
        <v>9</v>
      </c>
      <c r="E494" t="s">
        <v>14</v>
      </c>
      <c r="F494" s="2" t="s">
        <v>15</v>
      </c>
      <c r="H494" s="3"/>
    </row>
    <row r="495" spans="1:8" x14ac:dyDescent="0.2">
      <c r="A495" t="s">
        <v>55</v>
      </c>
      <c r="B495" s="3">
        <v>2.1069404153243686E-5</v>
      </c>
      <c r="D495" t="s">
        <v>9</v>
      </c>
      <c r="E495" t="s">
        <v>14</v>
      </c>
      <c r="F495" s="2" t="s">
        <v>15</v>
      </c>
      <c r="H495" s="3"/>
    </row>
    <row r="496" spans="1:8" x14ac:dyDescent="0.2">
      <c r="A496" t="s">
        <v>56</v>
      </c>
      <c r="B496" s="3">
        <v>1.1627900298644613E-9</v>
      </c>
      <c r="D496" t="s">
        <v>9</v>
      </c>
      <c r="E496" t="s">
        <v>14</v>
      </c>
      <c r="F496" s="2" t="s">
        <v>15</v>
      </c>
      <c r="H496" s="3"/>
    </row>
    <row r="497" spans="1:8" x14ac:dyDescent="0.2">
      <c r="A497" t="s">
        <v>57</v>
      </c>
      <c r="B497" s="3">
        <v>2.3255800597289222E-12</v>
      </c>
      <c r="D497" t="s">
        <v>9</v>
      </c>
      <c r="E497" t="s">
        <v>14</v>
      </c>
      <c r="F497" s="2" t="s">
        <v>15</v>
      </c>
      <c r="H497" s="3"/>
    </row>
    <row r="498" spans="1:8" x14ac:dyDescent="0.2">
      <c r="A498" t="s">
        <v>58</v>
      </c>
      <c r="B498" s="3">
        <v>3.9534861015391682E-8</v>
      </c>
      <c r="D498" t="s">
        <v>9</v>
      </c>
      <c r="E498" t="s">
        <v>14</v>
      </c>
      <c r="F498" s="2" t="s">
        <v>15</v>
      </c>
      <c r="H498" s="3"/>
    </row>
    <row r="499" spans="1:8" x14ac:dyDescent="0.2">
      <c r="A499" t="s">
        <v>156</v>
      </c>
      <c r="B499" s="3">
        <v>7.1789570411210658E-8</v>
      </c>
      <c r="D499" t="s">
        <v>9</v>
      </c>
      <c r="E499" t="s">
        <v>14</v>
      </c>
      <c r="F499" s="2" t="s">
        <v>15</v>
      </c>
      <c r="H499" s="3"/>
    </row>
    <row r="500" spans="1:8" x14ac:dyDescent="0.2">
      <c r="A500" t="s">
        <v>59</v>
      </c>
      <c r="B500" s="3">
        <v>1.1627900298644611E-6</v>
      </c>
      <c r="D500" t="s">
        <v>9</v>
      </c>
      <c r="E500" t="s">
        <v>14</v>
      </c>
      <c r="F500" s="2" t="s">
        <v>15</v>
      </c>
      <c r="H500" s="3"/>
    </row>
    <row r="501" spans="1:8" x14ac:dyDescent="0.2">
      <c r="A501" t="s">
        <v>60</v>
      </c>
      <c r="B501" s="3">
        <v>3.646242366932188E-8</v>
      </c>
      <c r="D501" t="s">
        <v>9</v>
      </c>
      <c r="E501" t="s">
        <v>14</v>
      </c>
      <c r="F501" s="2" t="s">
        <v>15</v>
      </c>
      <c r="H501" s="3"/>
    </row>
    <row r="502" spans="1:8" x14ac:dyDescent="0.2">
      <c r="A502" t="s">
        <v>61</v>
      </c>
      <c r="B502" s="3">
        <v>1.2114072625668476E-6</v>
      </c>
      <c r="D502" t="s">
        <v>9</v>
      </c>
      <c r="E502" t="s">
        <v>14</v>
      </c>
      <c r="F502" s="2" t="s">
        <v>15</v>
      </c>
      <c r="H502" s="3"/>
    </row>
    <row r="503" spans="1:8" x14ac:dyDescent="0.2">
      <c r="A503" t="s">
        <v>62</v>
      </c>
      <c r="B503" s="3">
        <v>1.3252688602888143E-6</v>
      </c>
      <c r="D503" t="s">
        <v>9</v>
      </c>
      <c r="E503" t="s">
        <v>14</v>
      </c>
      <c r="F503" s="2" t="s">
        <v>15</v>
      </c>
      <c r="H503" s="3"/>
    </row>
    <row r="504" spans="1:8" x14ac:dyDescent="0.2">
      <c r="A504" t="s">
        <v>63</v>
      </c>
      <c r="B504" s="3">
        <v>2.2087814338146904E-8</v>
      </c>
      <c r="D504" t="s">
        <v>9</v>
      </c>
      <c r="E504" t="s">
        <v>14</v>
      </c>
      <c r="F504" s="2" t="s">
        <v>15</v>
      </c>
      <c r="H504" s="3"/>
    </row>
    <row r="505" spans="1:8" x14ac:dyDescent="0.2">
      <c r="A505" t="s">
        <v>64</v>
      </c>
      <c r="B505" s="3">
        <v>1.9186035492763611E-15</v>
      </c>
      <c r="D505" t="s">
        <v>9</v>
      </c>
      <c r="E505" t="s">
        <v>14</v>
      </c>
      <c r="F505" s="2" t="s">
        <v>15</v>
      </c>
      <c r="H505" s="3"/>
    </row>
    <row r="506" spans="1:8" x14ac:dyDescent="0.2">
      <c r="A506" t="s">
        <v>65</v>
      </c>
      <c r="B506" s="3">
        <v>4.6511601194578451E-13</v>
      </c>
      <c r="D506" t="s">
        <v>9</v>
      </c>
      <c r="E506" t="s">
        <v>14</v>
      </c>
      <c r="F506" s="2" t="s">
        <v>15</v>
      </c>
      <c r="H506" s="3"/>
    </row>
    <row r="507" spans="1:8" x14ac:dyDescent="0.2">
      <c r="A507" t="s">
        <v>66</v>
      </c>
      <c r="B507" s="3">
        <v>6.6447090752701953E-7</v>
      </c>
      <c r="D507" t="s">
        <v>9</v>
      </c>
      <c r="E507" t="s">
        <v>14</v>
      </c>
      <c r="F507" s="2" t="s">
        <v>15</v>
      </c>
      <c r="H507" s="3"/>
    </row>
    <row r="508" spans="1:8" x14ac:dyDescent="0.2">
      <c r="A508" t="s">
        <v>67</v>
      </c>
      <c r="B508" s="3">
        <v>1.3252688602888143E-7</v>
      </c>
      <c r="D508" t="s">
        <v>9</v>
      </c>
      <c r="E508" t="s">
        <v>14</v>
      </c>
      <c r="F508" s="2" t="s">
        <v>15</v>
      </c>
      <c r="H508" s="3"/>
    </row>
    <row r="509" spans="1:8" x14ac:dyDescent="0.2">
      <c r="A509" t="s">
        <v>68</v>
      </c>
      <c r="B509" s="3">
        <v>5.8566933256401625E-6</v>
      </c>
      <c r="D509" t="s">
        <v>9</v>
      </c>
      <c r="E509" t="s">
        <v>14</v>
      </c>
      <c r="F509" s="2" t="s">
        <v>15</v>
      </c>
      <c r="H509" s="3"/>
    </row>
    <row r="510" spans="1:8" x14ac:dyDescent="0.2">
      <c r="A510" t="s">
        <v>69</v>
      </c>
      <c r="B510" s="3">
        <v>1.6279060418102458E-9</v>
      </c>
      <c r="D510" t="s">
        <v>9</v>
      </c>
      <c r="E510" t="s">
        <v>14</v>
      </c>
      <c r="F510" s="2" t="s">
        <v>15</v>
      </c>
      <c r="H510" s="3"/>
    </row>
    <row r="511" spans="1:8" x14ac:dyDescent="0.2">
      <c r="A511" t="s">
        <v>70</v>
      </c>
      <c r="B511">
        <v>2.2614048584510013E-4</v>
      </c>
      <c r="D511" t="s">
        <v>9</v>
      </c>
      <c r="E511" t="s">
        <v>14</v>
      </c>
      <c r="F511" s="2" t="s">
        <v>15</v>
      </c>
      <c r="H511" s="3"/>
    </row>
    <row r="512" spans="1:8" x14ac:dyDescent="0.2">
      <c r="A512" t="s">
        <v>71</v>
      </c>
      <c r="B512" s="3">
        <v>4.2883696301401334E-9</v>
      </c>
      <c r="D512" t="s">
        <v>9</v>
      </c>
      <c r="E512" t="s">
        <v>14</v>
      </c>
      <c r="F512" s="2" t="s">
        <v>15</v>
      </c>
      <c r="H512" s="3"/>
    </row>
    <row r="513" spans="1:8" x14ac:dyDescent="0.2">
      <c r="A513" t="s">
        <v>72</v>
      </c>
      <c r="B513" s="3">
        <v>6.3929447213629726E-7</v>
      </c>
      <c r="D513" t="s">
        <v>9</v>
      </c>
      <c r="E513" t="s">
        <v>14</v>
      </c>
      <c r="F513" s="2" t="s">
        <v>15</v>
      </c>
      <c r="H513" s="3"/>
    </row>
    <row r="514" spans="1:8" x14ac:dyDescent="0.2">
      <c r="A514" t="s">
        <v>73</v>
      </c>
      <c r="B514" s="3">
        <v>4.417562867629381E-9</v>
      </c>
      <c r="D514" t="s">
        <v>9</v>
      </c>
      <c r="E514" t="s">
        <v>14</v>
      </c>
      <c r="F514" s="2" t="s">
        <v>15</v>
      </c>
      <c r="H514" s="3"/>
    </row>
    <row r="515" spans="1:8" x14ac:dyDescent="0.2">
      <c r="A515" t="s">
        <v>74</v>
      </c>
      <c r="B515" s="3">
        <v>1.2147463123534157E-8</v>
      </c>
      <c r="D515" t="s">
        <v>9</v>
      </c>
      <c r="E515" t="s">
        <v>14</v>
      </c>
      <c r="F515" s="2" t="s">
        <v>15</v>
      </c>
      <c r="H515" s="3"/>
    </row>
    <row r="516" spans="1:8" x14ac:dyDescent="0.2">
      <c r="A516" t="s">
        <v>75</v>
      </c>
      <c r="B516" s="3">
        <v>3.9768082958024133E-7</v>
      </c>
      <c r="D516" t="s">
        <v>9</v>
      </c>
      <c r="E516" t="s">
        <v>14</v>
      </c>
      <c r="F516" s="2" t="s">
        <v>15</v>
      </c>
      <c r="H516" s="3"/>
    </row>
    <row r="517" spans="1:8" x14ac:dyDescent="0.2">
      <c r="A517" t="s">
        <v>76</v>
      </c>
      <c r="B517" s="3">
        <v>2.3255800597289225E-10</v>
      </c>
      <c r="D517" t="s">
        <v>9</v>
      </c>
      <c r="E517" t="s">
        <v>14</v>
      </c>
      <c r="F517" s="2" t="s">
        <v>15</v>
      </c>
      <c r="H517" s="3"/>
    </row>
    <row r="518" spans="1:8" x14ac:dyDescent="0.2">
      <c r="A518" t="s">
        <v>77</v>
      </c>
      <c r="B518" s="3">
        <v>4.0869969387591558E-8</v>
      </c>
      <c r="D518" t="s">
        <v>9</v>
      </c>
      <c r="E518" t="s">
        <v>14</v>
      </c>
      <c r="F518" s="2" t="s">
        <v>15</v>
      </c>
      <c r="H518" s="3"/>
    </row>
    <row r="519" spans="1:8" x14ac:dyDescent="0.2">
      <c r="A519" t="s">
        <v>78</v>
      </c>
      <c r="B519" s="3">
        <v>4.651160119457845E-7</v>
      </c>
      <c r="D519" t="s">
        <v>9</v>
      </c>
      <c r="E519" t="s">
        <v>14</v>
      </c>
      <c r="F519" s="2" t="s">
        <v>15</v>
      </c>
      <c r="H519" s="3"/>
    </row>
    <row r="520" spans="1:8" x14ac:dyDescent="0.2">
      <c r="A520" t="s">
        <v>79</v>
      </c>
      <c r="B520" s="3">
        <v>7.619711612948033E-8</v>
      </c>
      <c r="D520" t="s">
        <v>9</v>
      </c>
      <c r="E520" t="s">
        <v>14</v>
      </c>
      <c r="F520" s="2" t="s">
        <v>15</v>
      </c>
      <c r="H520" s="3"/>
    </row>
    <row r="521" spans="1:8" x14ac:dyDescent="0.2">
      <c r="A521" t="s">
        <v>80</v>
      </c>
      <c r="B521" s="3">
        <v>2.3255800597289226E-8</v>
      </c>
      <c r="D521" t="s">
        <v>9</v>
      </c>
      <c r="E521" t="s">
        <v>14</v>
      </c>
      <c r="F521" s="2" t="s">
        <v>15</v>
      </c>
      <c r="H521" s="3"/>
    </row>
    <row r="522" spans="1:8" x14ac:dyDescent="0.2">
      <c r="A522" t="s">
        <v>81</v>
      </c>
      <c r="B522" s="3">
        <v>6.7382024692940973E-8</v>
      </c>
      <c r="D522" t="s">
        <v>9</v>
      </c>
      <c r="E522" t="s">
        <v>14</v>
      </c>
      <c r="F522" s="2" t="s">
        <v>15</v>
      </c>
      <c r="H522" s="3"/>
    </row>
    <row r="523" spans="1:8" x14ac:dyDescent="0.2">
      <c r="A523" t="s">
        <v>82</v>
      </c>
      <c r="B523" s="3">
        <v>2.9821053643838246E-8</v>
      </c>
      <c r="D523" t="s">
        <v>9</v>
      </c>
      <c r="E523" t="s">
        <v>14</v>
      </c>
      <c r="F523" s="2" t="s">
        <v>15</v>
      </c>
      <c r="H523" s="3"/>
    </row>
    <row r="524" spans="1:8" x14ac:dyDescent="0.2">
      <c r="B524" s="3"/>
    </row>
    <row r="525" spans="1:8" x14ac:dyDescent="0.2">
      <c r="B525" s="3"/>
    </row>
    <row r="526" spans="1:8" x14ac:dyDescent="0.2">
      <c r="A526" s="1" t="s">
        <v>2</v>
      </c>
      <c r="B526" s="1" t="s">
        <v>212</v>
      </c>
    </row>
    <row r="527" spans="1:8" x14ac:dyDescent="0.2">
      <c r="A527" t="s">
        <v>157</v>
      </c>
      <c r="B527" t="s">
        <v>213</v>
      </c>
    </row>
    <row r="528" spans="1:8" x14ac:dyDescent="0.2">
      <c r="A528" t="s">
        <v>208</v>
      </c>
      <c r="B528" t="s">
        <v>209</v>
      </c>
    </row>
    <row r="529" spans="1:11" x14ac:dyDescent="0.2">
      <c r="A529" t="s">
        <v>3</v>
      </c>
      <c r="B529" t="s">
        <v>18</v>
      </c>
    </row>
    <row r="530" spans="1:11" x14ac:dyDescent="0.2">
      <c r="A530" t="s">
        <v>4</v>
      </c>
      <c r="B530">
        <v>1</v>
      </c>
    </row>
    <row r="531" spans="1:11" x14ac:dyDescent="0.2">
      <c r="A531" t="s">
        <v>5</v>
      </c>
      <c r="B531" t="s">
        <v>1</v>
      </c>
    </row>
    <row r="532" spans="1:11" x14ac:dyDescent="0.2">
      <c r="A532" t="s">
        <v>214</v>
      </c>
      <c r="B532" t="s">
        <v>215</v>
      </c>
    </row>
    <row r="533" spans="1:11" x14ac:dyDescent="0.2">
      <c r="A533" t="s">
        <v>6</v>
      </c>
      <c r="B533" t="s">
        <v>7</v>
      </c>
    </row>
    <row r="534" spans="1:11" x14ac:dyDescent="0.2">
      <c r="A534" t="s">
        <v>8</v>
      </c>
      <c r="B534" t="s">
        <v>17</v>
      </c>
    </row>
    <row r="535" spans="1:11" x14ac:dyDescent="0.2">
      <c r="A535" s="1" t="s">
        <v>10</v>
      </c>
    </row>
    <row r="536" spans="1:11" x14ac:dyDescent="0.2">
      <c r="A536" t="s">
        <v>11</v>
      </c>
      <c r="B536" t="s">
        <v>12</v>
      </c>
      <c r="C536" t="s">
        <v>3</v>
      </c>
      <c r="D536" t="s">
        <v>13</v>
      </c>
      <c r="E536" t="s">
        <v>8</v>
      </c>
      <c r="F536" t="s">
        <v>6</v>
      </c>
      <c r="G536" t="s">
        <v>5</v>
      </c>
      <c r="H536" t="s">
        <v>188</v>
      </c>
      <c r="I536" t="s">
        <v>189</v>
      </c>
      <c r="J536" t="s">
        <v>190</v>
      </c>
      <c r="K536" t="s">
        <v>191</v>
      </c>
    </row>
    <row r="537" spans="1:11" x14ac:dyDescent="0.2">
      <c r="A537" t="s">
        <v>212</v>
      </c>
      <c r="B537">
        <v>1</v>
      </c>
      <c r="C537" t="s">
        <v>18</v>
      </c>
      <c r="E537" t="s">
        <v>17</v>
      </c>
      <c r="F537" t="s">
        <v>19</v>
      </c>
      <c r="G537" t="s">
        <v>1</v>
      </c>
      <c r="H537">
        <v>0</v>
      </c>
    </row>
    <row r="538" spans="1:11" x14ac:dyDescent="0.2">
      <c r="A538" t="s">
        <v>93</v>
      </c>
      <c r="B538">
        <f>1/36</f>
        <v>2.7777777777777776E-2</v>
      </c>
      <c r="C538" t="s">
        <v>18</v>
      </c>
      <c r="E538" t="s">
        <v>95</v>
      </c>
      <c r="F538" t="s">
        <v>23</v>
      </c>
      <c r="G538" t="s">
        <v>94</v>
      </c>
      <c r="H538">
        <v>0</v>
      </c>
    </row>
    <row r="539" spans="1:11" x14ac:dyDescent="0.2">
      <c r="A539" t="s">
        <v>216</v>
      </c>
      <c r="B539">
        <f>232/700000/11.99</f>
        <v>2.7642082687954249E-5</v>
      </c>
      <c r="C539" t="s">
        <v>18</v>
      </c>
      <c r="E539" t="s">
        <v>9</v>
      </c>
      <c r="F539" t="s">
        <v>23</v>
      </c>
      <c r="G539" t="s">
        <v>217</v>
      </c>
      <c r="H539">
        <v>5</v>
      </c>
      <c r="I539">
        <f>B539</f>
        <v>2.7642082687954249E-5</v>
      </c>
      <c r="J539">
        <f>155/700000/11.99</f>
        <v>1.8467770761348742E-5</v>
      </c>
      <c r="K539">
        <f>309/700000/11.99</f>
        <v>3.6816394614559746E-5</v>
      </c>
    </row>
    <row r="540" spans="1:11" x14ac:dyDescent="0.2">
      <c r="A540" t="s">
        <v>150</v>
      </c>
      <c r="B540">
        <v>1.2763976504487801E-4</v>
      </c>
      <c r="C540" t="s">
        <v>18</v>
      </c>
      <c r="E540" t="s">
        <v>9</v>
      </c>
      <c r="F540" t="s">
        <v>23</v>
      </c>
      <c r="G540" t="s">
        <v>150</v>
      </c>
      <c r="H540">
        <v>5</v>
      </c>
      <c r="I540">
        <f>B540</f>
        <v>1.2763976504487801E-4</v>
      </c>
      <c r="J540">
        <f>I540*(700000/1000000)</f>
        <v>8.9347835531414601E-5</v>
      </c>
      <c r="K540">
        <f>I540*(700000/500000)</f>
        <v>1.786956710628292E-4</v>
      </c>
    </row>
    <row r="541" spans="1:11" x14ac:dyDescent="0.2">
      <c r="A541" t="s">
        <v>49</v>
      </c>
      <c r="B541" s="3">
        <v>4.4166666666666577E-6</v>
      </c>
      <c r="D541" t="s">
        <v>14</v>
      </c>
      <c r="E541" t="s">
        <v>9</v>
      </c>
      <c r="F541" s="2" t="s">
        <v>15</v>
      </c>
      <c r="H541" s="12">
        <v>0</v>
      </c>
    </row>
    <row r="542" spans="1:11" x14ac:dyDescent="0.2">
      <c r="A542" t="s">
        <v>51</v>
      </c>
      <c r="B542" s="3">
        <v>7.5082705379565517E-7</v>
      </c>
      <c r="D542" t="s">
        <v>14</v>
      </c>
      <c r="E542" t="s">
        <v>9</v>
      </c>
      <c r="F542" s="2" t="s">
        <v>15</v>
      </c>
      <c r="H542" s="12">
        <v>0</v>
      </c>
    </row>
    <row r="543" spans="1:11" x14ac:dyDescent="0.2">
      <c r="A543" t="s">
        <v>54</v>
      </c>
      <c r="B543">
        <v>5.5944444444444442E-2</v>
      </c>
      <c r="D543" t="s">
        <v>14</v>
      </c>
      <c r="E543" t="s">
        <v>9</v>
      </c>
      <c r="F543" s="2" t="s">
        <v>15</v>
      </c>
      <c r="H543" s="12">
        <v>0</v>
      </c>
    </row>
    <row r="544" spans="1:11" x14ac:dyDescent="0.2">
      <c r="A544" t="s">
        <v>55</v>
      </c>
      <c r="B544">
        <v>2.6360440412565261E-4</v>
      </c>
      <c r="D544" t="s">
        <v>14</v>
      </c>
      <c r="E544" t="s">
        <v>9</v>
      </c>
      <c r="F544" s="2" t="s">
        <v>15</v>
      </c>
      <c r="H544" s="12">
        <v>0</v>
      </c>
    </row>
    <row r="545" spans="1:8" x14ac:dyDescent="0.2">
      <c r="A545" t="s">
        <v>59</v>
      </c>
      <c r="B545" s="3">
        <v>9.6666666666666532E-7</v>
      </c>
      <c r="D545" t="s">
        <v>14</v>
      </c>
      <c r="E545" t="s">
        <v>9</v>
      </c>
      <c r="F545" s="2" t="s">
        <v>15</v>
      </c>
      <c r="H545" s="12">
        <v>0</v>
      </c>
    </row>
    <row r="546" spans="1:8" x14ac:dyDescent="0.2">
      <c r="A546" t="s">
        <v>65</v>
      </c>
      <c r="B546" s="3">
        <v>2.7750000000000002E-10</v>
      </c>
      <c r="D546" t="s">
        <v>14</v>
      </c>
      <c r="E546" t="s">
        <v>9</v>
      </c>
      <c r="F546" s="2" t="s">
        <v>15</v>
      </c>
      <c r="H546" s="12">
        <v>0</v>
      </c>
    </row>
    <row r="547" spans="1:8" x14ac:dyDescent="0.2">
      <c r="A547" t="s">
        <v>66</v>
      </c>
      <c r="B547" s="3">
        <v>1.606690212560312E-5</v>
      </c>
      <c r="D547" t="s">
        <v>14</v>
      </c>
      <c r="E547" t="s">
        <v>9</v>
      </c>
      <c r="F547" s="2" t="s">
        <v>15</v>
      </c>
      <c r="H547" s="12">
        <v>0</v>
      </c>
    </row>
    <row r="548" spans="1:8" x14ac:dyDescent="0.2">
      <c r="A548" t="s">
        <v>68</v>
      </c>
      <c r="B548" s="3">
        <v>6.8382126269474045E-6</v>
      </c>
      <c r="D548" t="s">
        <v>14</v>
      </c>
      <c r="E548" t="s">
        <v>9</v>
      </c>
      <c r="F548" s="2" t="s">
        <v>15</v>
      </c>
      <c r="H548" s="12">
        <v>0</v>
      </c>
    </row>
    <row r="549" spans="1:8" x14ac:dyDescent="0.2">
      <c r="A549" t="s">
        <v>70</v>
      </c>
      <c r="B549" s="3">
        <v>2.9605693862641999E-6</v>
      </c>
      <c r="D549" t="s">
        <v>14</v>
      </c>
      <c r="E549" t="s">
        <v>9</v>
      </c>
      <c r="F549" s="2" t="s">
        <v>15</v>
      </c>
      <c r="H549" s="12">
        <v>0</v>
      </c>
    </row>
    <row r="550" spans="1:8" x14ac:dyDescent="0.2">
      <c r="A550" t="s">
        <v>72</v>
      </c>
      <c r="B550" s="3">
        <v>1.4636237937232238E-7</v>
      </c>
      <c r="D550" t="s">
        <v>14</v>
      </c>
      <c r="E550" t="s">
        <v>9</v>
      </c>
      <c r="F550" s="2" t="s">
        <v>15</v>
      </c>
      <c r="H550" s="12">
        <v>0</v>
      </c>
    </row>
    <row r="551" spans="1:8" x14ac:dyDescent="0.2">
      <c r="A551" t="s">
        <v>78</v>
      </c>
      <c r="B551" s="3">
        <v>5.6430000000000142E-7</v>
      </c>
      <c r="D551" t="s">
        <v>14</v>
      </c>
      <c r="E551" t="s">
        <v>9</v>
      </c>
      <c r="F551" s="2" t="s">
        <v>15</v>
      </c>
      <c r="H551" s="12">
        <v>0</v>
      </c>
    </row>
    <row r="552" spans="1:8" x14ac:dyDescent="0.2">
      <c r="A552" t="s">
        <v>79</v>
      </c>
      <c r="B552" s="3">
        <v>2.2336471011856279E-6</v>
      </c>
      <c r="D552" t="s">
        <v>14</v>
      </c>
      <c r="E552" t="s">
        <v>9</v>
      </c>
      <c r="F552" s="2" t="s">
        <v>15</v>
      </c>
      <c r="H552" s="12">
        <v>0</v>
      </c>
    </row>
    <row r="553" spans="1:8" x14ac:dyDescent="0.2">
      <c r="B553" s="3"/>
    </row>
    <row r="554" spans="1:8" x14ac:dyDescent="0.2">
      <c r="A554" s="1" t="s">
        <v>2</v>
      </c>
      <c r="B554" s="1" t="s">
        <v>295</v>
      </c>
    </row>
    <row r="555" spans="1:8" x14ac:dyDescent="0.2">
      <c r="A555" t="s">
        <v>157</v>
      </c>
      <c r="B555" t="s">
        <v>213</v>
      </c>
    </row>
    <row r="556" spans="1:8" x14ac:dyDescent="0.2">
      <c r="A556" t="s">
        <v>208</v>
      </c>
      <c r="B556" t="s">
        <v>209</v>
      </c>
    </row>
    <row r="557" spans="1:8" x14ac:dyDescent="0.2">
      <c r="A557" t="s">
        <v>3</v>
      </c>
      <c r="B557" t="s">
        <v>18</v>
      </c>
    </row>
    <row r="558" spans="1:8" x14ac:dyDescent="0.2">
      <c r="A558" t="s">
        <v>4</v>
      </c>
      <c r="B558">
        <v>1</v>
      </c>
    </row>
    <row r="559" spans="1:8" x14ac:dyDescent="0.2">
      <c r="A559" t="s">
        <v>5</v>
      </c>
      <c r="B559" t="s">
        <v>1</v>
      </c>
    </row>
    <row r="560" spans="1:8" x14ac:dyDescent="0.2">
      <c r="A560" t="s">
        <v>214</v>
      </c>
      <c r="B560" t="s">
        <v>215</v>
      </c>
    </row>
    <row r="561" spans="1:11" x14ac:dyDescent="0.2">
      <c r="A561" t="s">
        <v>6</v>
      </c>
      <c r="B561" t="s">
        <v>7</v>
      </c>
    </row>
    <row r="562" spans="1:11" x14ac:dyDescent="0.2">
      <c r="A562" t="s">
        <v>8</v>
      </c>
      <c r="B562" t="s">
        <v>17</v>
      </c>
    </row>
    <row r="563" spans="1:11" x14ac:dyDescent="0.2">
      <c r="A563" s="1" t="s">
        <v>10</v>
      </c>
    </row>
    <row r="564" spans="1:11" x14ac:dyDescent="0.2">
      <c r="A564" t="s">
        <v>11</v>
      </c>
      <c r="B564" t="s">
        <v>12</v>
      </c>
      <c r="C564" t="s">
        <v>3</v>
      </c>
      <c r="D564" t="s">
        <v>13</v>
      </c>
      <c r="E564" t="s">
        <v>8</v>
      </c>
      <c r="F564" t="s">
        <v>6</v>
      </c>
      <c r="G564" t="s">
        <v>5</v>
      </c>
      <c r="H564" t="s">
        <v>188</v>
      </c>
      <c r="I564" t="s">
        <v>189</v>
      </c>
      <c r="J564" t="s">
        <v>190</v>
      </c>
      <c r="K564" t="s">
        <v>191</v>
      </c>
    </row>
    <row r="565" spans="1:11" x14ac:dyDescent="0.2">
      <c r="A565" t="s">
        <v>295</v>
      </c>
      <c r="B565">
        <v>1</v>
      </c>
      <c r="C565" t="s">
        <v>18</v>
      </c>
      <c r="E565" t="s">
        <v>17</v>
      </c>
      <c r="F565" t="s">
        <v>19</v>
      </c>
      <c r="G565" t="s">
        <v>1</v>
      </c>
      <c r="H565">
        <v>0</v>
      </c>
    </row>
    <row r="566" spans="1:11" x14ac:dyDescent="0.2">
      <c r="A566" t="s">
        <v>292</v>
      </c>
      <c r="B566">
        <f>1/47.5</f>
        <v>2.1052631578947368E-2</v>
      </c>
      <c r="C566" t="s">
        <v>18</v>
      </c>
      <c r="E566" t="s">
        <v>296</v>
      </c>
      <c r="F566" t="s">
        <v>23</v>
      </c>
      <c r="G566" t="s">
        <v>293</v>
      </c>
      <c r="H566">
        <v>0</v>
      </c>
    </row>
    <row r="567" spans="1:11" x14ac:dyDescent="0.2">
      <c r="A567" t="s">
        <v>216</v>
      </c>
      <c r="B567">
        <f>232/700000/11.99</f>
        <v>2.7642082687954249E-5</v>
      </c>
      <c r="C567" t="s">
        <v>18</v>
      </c>
      <c r="E567" t="s">
        <v>9</v>
      </c>
      <c r="F567" t="s">
        <v>23</v>
      </c>
      <c r="G567" t="s">
        <v>217</v>
      </c>
      <c r="H567">
        <v>5</v>
      </c>
      <c r="I567">
        <f>B567</f>
        <v>2.7642082687954249E-5</v>
      </c>
      <c r="J567">
        <f>155/700000/11.99</f>
        <v>1.8467770761348742E-5</v>
      </c>
      <c r="K567">
        <f>309/700000/11.99</f>
        <v>3.6816394614559746E-5</v>
      </c>
    </row>
    <row r="568" spans="1:11" x14ac:dyDescent="0.2">
      <c r="A568" t="s">
        <v>150</v>
      </c>
      <c r="B568">
        <v>1.2763976504487801E-4</v>
      </c>
      <c r="C568" t="s">
        <v>18</v>
      </c>
      <c r="E568" t="s">
        <v>9</v>
      </c>
      <c r="F568" t="s">
        <v>23</v>
      </c>
      <c r="G568" t="s">
        <v>150</v>
      </c>
      <c r="H568">
        <v>5</v>
      </c>
      <c r="I568">
        <f>B568</f>
        <v>1.2763976504487801E-4</v>
      </c>
      <c r="J568">
        <f>I568*(700000/1000000)</f>
        <v>8.9347835531414601E-5</v>
      </c>
      <c r="K568">
        <f>I568*(700000/500000)</f>
        <v>1.786956710628292E-4</v>
      </c>
    </row>
    <row r="569" spans="1:11" x14ac:dyDescent="0.2">
      <c r="A569" t="s">
        <v>49</v>
      </c>
      <c r="B569" s="3">
        <v>4.4166666666666577E-6</v>
      </c>
      <c r="D569" t="s">
        <v>14</v>
      </c>
      <c r="E569" t="s">
        <v>9</v>
      </c>
      <c r="F569" s="2" t="s">
        <v>15</v>
      </c>
      <c r="H569" s="12">
        <v>0</v>
      </c>
    </row>
    <row r="570" spans="1:11" x14ac:dyDescent="0.2">
      <c r="A570" t="s">
        <v>51</v>
      </c>
      <c r="B570" s="3">
        <v>7.5082705379565517E-7</v>
      </c>
      <c r="D570" t="s">
        <v>14</v>
      </c>
      <c r="E570" t="s">
        <v>9</v>
      </c>
      <c r="F570" s="2" t="s">
        <v>15</v>
      </c>
      <c r="H570" s="12">
        <v>0</v>
      </c>
    </row>
    <row r="571" spans="1:11" x14ac:dyDescent="0.2">
      <c r="A571" t="s">
        <v>54</v>
      </c>
      <c r="B571">
        <v>5.5944444444444442E-2</v>
      </c>
      <c r="D571" t="s">
        <v>14</v>
      </c>
      <c r="E571" t="s">
        <v>9</v>
      </c>
      <c r="F571" s="2" t="s">
        <v>15</v>
      </c>
      <c r="H571" s="12">
        <v>0</v>
      </c>
    </row>
    <row r="572" spans="1:11" x14ac:dyDescent="0.2">
      <c r="A572" t="s">
        <v>55</v>
      </c>
      <c r="B572">
        <v>2.6360440412565261E-4</v>
      </c>
      <c r="D572" t="s">
        <v>14</v>
      </c>
      <c r="E572" t="s">
        <v>9</v>
      </c>
      <c r="F572" s="2" t="s">
        <v>15</v>
      </c>
      <c r="H572" s="12">
        <v>0</v>
      </c>
    </row>
    <row r="573" spans="1:11" x14ac:dyDescent="0.2">
      <c r="A573" t="s">
        <v>59</v>
      </c>
      <c r="B573" s="3">
        <v>9.6666666666666532E-7</v>
      </c>
      <c r="D573" t="s">
        <v>14</v>
      </c>
      <c r="E573" t="s">
        <v>9</v>
      </c>
      <c r="F573" s="2" t="s">
        <v>15</v>
      </c>
      <c r="H573" s="12">
        <v>0</v>
      </c>
    </row>
    <row r="574" spans="1:11" x14ac:dyDescent="0.2">
      <c r="A574" t="s">
        <v>65</v>
      </c>
      <c r="B574" s="3">
        <v>2.7750000000000002E-10</v>
      </c>
      <c r="D574" t="s">
        <v>14</v>
      </c>
      <c r="E574" t="s">
        <v>9</v>
      </c>
      <c r="F574" s="2" t="s">
        <v>15</v>
      </c>
      <c r="H574" s="12">
        <v>0</v>
      </c>
    </row>
    <row r="575" spans="1:11" x14ac:dyDescent="0.2">
      <c r="A575" t="s">
        <v>66</v>
      </c>
      <c r="B575" s="3">
        <v>1.606690212560312E-5</v>
      </c>
      <c r="D575" t="s">
        <v>14</v>
      </c>
      <c r="E575" t="s">
        <v>9</v>
      </c>
      <c r="F575" s="2" t="s">
        <v>15</v>
      </c>
      <c r="H575" s="12">
        <v>0</v>
      </c>
    </row>
    <row r="576" spans="1:11" x14ac:dyDescent="0.2">
      <c r="A576" t="s">
        <v>68</v>
      </c>
      <c r="B576" s="3">
        <v>6.8382126269474045E-6</v>
      </c>
      <c r="D576" t="s">
        <v>14</v>
      </c>
      <c r="E576" t="s">
        <v>9</v>
      </c>
      <c r="F576" s="2" t="s">
        <v>15</v>
      </c>
      <c r="H576" s="12">
        <v>0</v>
      </c>
    </row>
    <row r="577" spans="1:11" x14ac:dyDescent="0.2">
      <c r="A577" t="s">
        <v>70</v>
      </c>
      <c r="B577" s="3">
        <v>2.9605693862641999E-6</v>
      </c>
      <c r="D577" t="s">
        <v>14</v>
      </c>
      <c r="E577" t="s">
        <v>9</v>
      </c>
      <c r="F577" s="2" t="s">
        <v>15</v>
      </c>
      <c r="H577" s="12">
        <v>0</v>
      </c>
    </row>
    <row r="578" spans="1:11" x14ac:dyDescent="0.2">
      <c r="A578" t="s">
        <v>72</v>
      </c>
      <c r="B578" s="3">
        <v>1.4636237937232238E-7</v>
      </c>
      <c r="D578" t="s">
        <v>14</v>
      </c>
      <c r="E578" t="s">
        <v>9</v>
      </c>
      <c r="F578" s="2" t="s">
        <v>15</v>
      </c>
      <c r="H578" s="12">
        <v>0</v>
      </c>
    </row>
    <row r="579" spans="1:11" x14ac:dyDescent="0.2">
      <c r="A579" t="s">
        <v>78</v>
      </c>
      <c r="B579" s="3">
        <v>5.6430000000000142E-7</v>
      </c>
      <c r="D579" t="s">
        <v>14</v>
      </c>
      <c r="E579" t="s">
        <v>9</v>
      </c>
      <c r="F579" s="2" t="s">
        <v>15</v>
      </c>
      <c r="H579" s="12">
        <v>0</v>
      </c>
    </row>
    <row r="580" spans="1:11" x14ac:dyDescent="0.2">
      <c r="A580" t="s">
        <v>79</v>
      </c>
      <c r="B580" s="3">
        <v>2.2336471011856279E-6</v>
      </c>
      <c r="D580" t="s">
        <v>14</v>
      </c>
      <c r="E580" t="s">
        <v>9</v>
      </c>
      <c r="F580" s="2" t="s">
        <v>15</v>
      </c>
      <c r="H580" s="12">
        <v>0</v>
      </c>
    </row>
    <row r="581" spans="1:11" x14ac:dyDescent="0.2">
      <c r="B581" s="3"/>
    </row>
    <row r="582" spans="1:11" x14ac:dyDescent="0.2">
      <c r="A582" s="1" t="s">
        <v>2</v>
      </c>
      <c r="B582" s="1" t="s">
        <v>278</v>
      </c>
    </row>
    <row r="583" spans="1:11" x14ac:dyDescent="0.2">
      <c r="A583" t="s">
        <v>157</v>
      </c>
      <c r="B583" t="s">
        <v>213</v>
      </c>
    </row>
    <row r="584" spans="1:11" x14ac:dyDescent="0.2">
      <c r="A584" t="s">
        <v>208</v>
      </c>
      <c r="B584" t="s">
        <v>209</v>
      </c>
    </row>
    <row r="585" spans="1:11" x14ac:dyDescent="0.2">
      <c r="A585" t="s">
        <v>3</v>
      </c>
      <c r="B585" t="s">
        <v>18</v>
      </c>
    </row>
    <row r="586" spans="1:11" x14ac:dyDescent="0.2">
      <c r="A586" t="s">
        <v>4</v>
      </c>
      <c r="B586">
        <v>1</v>
      </c>
    </row>
    <row r="587" spans="1:11" x14ac:dyDescent="0.2">
      <c r="A587" t="s">
        <v>5</v>
      </c>
      <c r="B587" t="s">
        <v>1</v>
      </c>
    </row>
    <row r="588" spans="1:11" x14ac:dyDescent="0.2">
      <c r="A588" t="s">
        <v>214</v>
      </c>
      <c r="B588" t="s">
        <v>215</v>
      </c>
    </row>
    <row r="589" spans="1:11" x14ac:dyDescent="0.2">
      <c r="A589" t="s">
        <v>6</v>
      </c>
      <c r="B589" t="s">
        <v>7</v>
      </c>
    </row>
    <row r="590" spans="1:11" x14ac:dyDescent="0.2">
      <c r="A590" t="s">
        <v>8</v>
      </c>
      <c r="B590" t="s">
        <v>17</v>
      </c>
    </row>
    <row r="591" spans="1:11" x14ac:dyDescent="0.2">
      <c r="A591" s="1" t="s">
        <v>10</v>
      </c>
    </row>
    <row r="592" spans="1:11" x14ac:dyDescent="0.2">
      <c r="A592" t="s">
        <v>11</v>
      </c>
      <c r="B592" t="s">
        <v>12</v>
      </c>
      <c r="C592" t="s">
        <v>3</v>
      </c>
      <c r="D592" t="s">
        <v>13</v>
      </c>
      <c r="E592" t="s">
        <v>8</v>
      </c>
      <c r="F592" t="s">
        <v>6</v>
      </c>
      <c r="G592" t="s">
        <v>5</v>
      </c>
      <c r="H592" t="s">
        <v>188</v>
      </c>
      <c r="I592" t="s">
        <v>189</v>
      </c>
      <c r="J592" t="s">
        <v>190</v>
      </c>
      <c r="K592" t="s">
        <v>191</v>
      </c>
    </row>
    <row r="593" spans="1:11" x14ac:dyDescent="0.2">
      <c r="A593" t="s">
        <v>278</v>
      </c>
      <c r="B593">
        <v>1</v>
      </c>
      <c r="C593" t="s">
        <v>18</v>
      </c>
      <c r="E593" t="s">
        <v>17</v>
      </c>
      <c r="F593" t="s">
        <v>19</v>
      </c>
      <c r="G593" t="s">
        <v>1</v>
      </c>
      <c r="H593">
        <v>0</v>
      </c>
    </row>
    <row r="594" spans="1:11" x14ac:dyDescent="0.2">
      <c r="A594" t="s">
        <v>279</v>
      </c>
      <c r="B594">
        <f>1/47.5</f>
        <v>2.1052631578947368E-2</v>
      </c>
      <c r="C594" t="s">
        <v>18</v>
      </c>
      <c r="E594" t="s">
        <v>9</v>
      </c>
      <c r="F594" t="s">
        <v>23</v>
      </c>
      <c r="G594" t="s">
        <v>280</v>
      </c>
      <c r="H594">
        <v>0</v>
      </c>
    </row>
    <row r="595" spans="1:11" x14ac:dyDescent="0.2">
      <c r="A595" t="s">
        <v>216</v>
      </c>
      <c r="B595">
        <f>232/700000/11.99</f>
        <v>2.7642082687954249E-5</v>
      </c>
      <c r="C595" t="s">
        <v>18</v>
      </c>
      <c r="E595" t="s">
        <v>9</v>
      </c>
      <c r="F595" t="s">
        <v>23</v>
      </c>
      <c r="G595" t="s">
        <v>217</v>
      </c>
      <c r="H595">
        <v>5</v>
      </c>
      <c r="I595">
        <f>B595</f>
        <v>2.7642082687954249E-5</v>
      </c>
      <c r="J595">
        <f>155/700000/11.99</f>
        <v>1.8467770761348742E-5</v>
      </c>
      <c r="K595">
        <f>309/700000/11.99</f>
        <v>3.6816394614559746E-5</v>
      </c>
    </row>
    <row r="596" spans="1:11" x14ac:dyDescent="0.2">
      <c r="A596" t="s">
        <v>150</v>
      </c>
      <c r="B596">
        <v>1.2763976504487801E-4</v>
      </c>
      <c r="C596" t="s">
        <v>18</v>
      </c>
      <c r="E596" t="s">
        <v>9</v>
      </c>
      <c r="F596" t="s">
        <v>23</v>
      </c>
      <c r="G596" t="s">
        <v>150</v>
      </c>
      <c r="H596">
        <v>5</v>
      </c>
      <c r="I596">
        <f>B596</f>
        <v>1.2763976504487801E-4</v>
      </c>
      <c r="J596">
        <f>I596*(700000/1000000)</f>
        <v>8.9347835531414601E-5</v>
      </c>
      <c r="K596">
        <f>I596*(700000/500000)</f>
        <v>1.786956710628292E-4</v>
      </c>
    </row>
    <row r="597" spans="1:11" x14ac:dyDescent="0.2">
      <c r="A597" t="s">
        <v>49</v>
      </c>
      <c r="B597" s="3">
        <v>4.4166666666666577E-6</v>
      </c>
      <c r="D597" t="s">
        <v>14</v>
      </c>
      <c r="E597" t="s">
        <v>9</v>
      </c>
      <c r="F597" s="2" t="s">
        <v>15</v>
      </c>
      <c r="H597" s="12">
        <v>0</v>
      </c>
    </row>
    <row r="598" spans="1:11" x14ac:dyDescent="0.2">
      <c r="A598" t="s">
        <v>51</v>
      </c>
      <c r="B598" s="3">
        <v>7.5082705379565517E-7</v>
      </c>
      <c r="D598" t="s">
        <v>14</v>
      </c>
      <c r="E598" t="s">
        <v>9</v>
      </c>
      <c r="F598" s="2" t="s">
        <v>15</v>
      </c>
      <c r="H598" s="12">
        <v>0</v>
      </c>
    </row>
    <row r="599" spans="1:11" x14ac:dyDescent="0.2">
      <c r="A599" t="s">
        <v>54</v>
      </c>
      <c r="B599">
        <v>5.5944444444444442E-2</v>
      </c>
      <c r="D599" t="s">
        <v>14</v>
      </c>
      <c r="E599" t="s">
        <v>9</v>
      </c>
      <c r="F599" s="2" t="s">
        <v>15</v>
      </c>
      <c r="H599" s="12">
        <v>0</v>
      </c>
    </row>
    <row r="600" spans="1:11" x14ac:dyDescent="0.2">
      <c r="A600" t="s">
        <v>55</v>
      </c>
      <c r="B600">
        <v>2.6360440412565261E-4</v>
      </c>
      <c r="D600" t="s">
        <v>14</v>
      </c>
      <c r="E600" t="s">
        <v>9</v>
      </c>
      <c r="F600" s="2" t="s">
        <v>15</v>
      </c>
      <c r="H600" s="12">
        <v>0</v>
      </c>
    </row>
    <row r="601" spans="1:11" x14ac:dyDescent="0.2">
      <c r="A601" t="s">
        <v>59</v>
      </c>
      <c r="B601" s="3">
        <v>9.6666666666666532E-7</v>
      </c>
      <c r="D601" t="s">
        <v>14</v>
      </c>
      <c r="E601" t="s">
        <v>9</v>
      </c>
      <c r="F601" s="2" t="s">
        <v>15</v>
      </c>
      <c r="H601" s="12">
        <v>0</v>
      </c>
    </row>
    <row r="602" spans="1:11" x14ac:dyDescent="0.2">
      <c r="A602" t="s">
        <v>65</v>
      </c>
      <c r="B602" s="3">
        <v>2.7750000000000002E-10</v>
      </c>
      <c r="D602" t="s">
        <v>14</v>
      </c>
      <c r="E602" t="s">
        <v>9</v>
      </c>
      <c r="F602" s="2" t="s">
        <v>15</v>
      </c>
      <c r="H602" s="12">
        <v>0</v>
      </c>
    </row>
    <row r="603" spans="1:11" x14ac:dyDescent="0.2">
      <c r="A603" t="s">
        <v>66</v>
      </c>
      <c r="B603" s="3">
        <v>1.606690212560312E-5</v>
      </c>
      <c r="D603" t="s">
        <v>14</v>
      </c>
      <c r="E603" t="s">
        <v>9</v>
      </c>
      <c r="F603" s="2" t="s">
        <v>15</v>
      </c>
      <c r="H603" s="12">
        <v>0</v>
      </c>
    </row>
    <row r="604" spans="1:11" x14ac:dyDescent="0.2">
      <c r="A604" t="s">
        <v>68</v>
      </c>
      <c r="B604" s="3">
        <v>6.8382126269474045E-6</v>
      </c>
      <c r="D604" t="s">
        <v>14</v>
      </c>
      <c r="E604" t="s">
        <v>9</v>
      </c>
      <c r="F604" s="2" t="s">
        <v>15</v>
      </c>
      <c r="H604" s="12">
        <v>0</v>
      </c>
    </row>
    <row r="605" spans="1:11" x14ac:dyDescent="0.2">
      <c r="A605" t="s">
        <v>70</v>
      </c>
      <c r="B605" s="3">
        <v>2.9605693862641999E-6</v>
      </c>
      <c r="D605" t="s">
        <v>14</v>
      </c>
      <c r="E605" t="s">
        <v>9</v>
      </c>
      <c r="F605" s="2" t="s">
        <v>15</v>
      </c>
      <c r="H605" s="12">
        <v>0</v>
      </c>
    </row>
    <row r="606" spans="1:11" x14ac:dyDescent="0.2">
      <c r="A606" t="s">
        <v>72</v>
      </c>
      <c r="B606" s="3">
        <v>1.4636237937232238E-7</v>
      </c>
      <c r="D606" t="s">
        <v>14</v>
      </c>
      <c r="E606" t="s">
        <v>9</v>
      </c>
      <c r="F606" s="2" t="s">
        <v>15</v>
      </c>
      <c r="H606" s="12">
        <v>0</v>
      </c>
    </row>
    <row r="607" spans="1:11" x14ac:dyDescent="0.2">
      <c r="A607" t="s">
        <v>78</v>
      </c>
      <c r="B607" s="3">
        <v>5.6430000000000142E-7</v>
      </c>
      <c r="D607" t="s">
        <v>14</v>
      </c>
      <c r="E607" t="s">
        <v>9</v>
      </c>
      <c r="F607" s="2" t="s">
        <v>15</v>
      </c>
      <c r="H607" s="12">
        <v>0</v>
      </c>
    </row>
    <row r="608" spans="1:11" x14ac:dyDescent="0.2">
      <c r="A608" t="s">
        <v>79</v>
      </c>
      <c r="B608" s="3">
        <v>2.2336471011856279E-6</v>
      </c>
      <c r="D608" t="s">
        <v>14</v>
      </c>
      <c r="E608" t="s">
        <v>9</v>
      </c>
      <c r="F608" s="2" t="s">
        <v>15</v>
      </c>
      <c r="H608" s="12">
        <v>0</v>
      </c>
    </row>
    <row r="609" spans="1:10" x14ac:dyDescent="0.2">
      <c r="B609" s="3"/>
    </row>
    <row r="610" spans="1:10" x14ac:dyDescent="0.2">
      <c r="B610" s="3"/>
    </row>
    <row r="611" spans="1:10" x14ac:dyDescent="0.2">
      <c r="A611" s="1" t="s">
        <v>2</v>
      </c>
      <c r="B611" s="1" t="s">
        <v>218</v>
      </c>
    </row>
    <row r="612" spans="1:10" x14ac:dyDescent="0.2">
      <c r="A612" t="s">
        <v>157</v>
      </c>
      <c r="B612" t="s">
        <v>219</v>
      </c>
    </row>
    <row r="613" spans="1:10" x14ac:dyDescent="0.2">
      <c r="A613" t="s">
        <v>208</v>
      </c>
      <c r="B613" t="s">
        <v>209</v>
      </c>
    </row>
    <row r="614" spans="1:10" x14ac:dyDescent="0.2">
      <c r="A614" t="s">
        <v>3</v>
      </c>
      <c r="B614" t="s">
        <v>18</v>
      </c>
    </row>
    <row r="615" spans="1:10" x14ac:dyDescent="0.2">
      <c r="A615" t="s">
        <v>4</v>
      </c>
      <c r="B615">
        <v>1</v>
      </c>
    </row>
    <row r="616" spans="1:10" x14ac:dyDescent="0.2">
      <c r="A616" t="s">
        <v>5</v>
      </c>
      <c r="B616" t="s">
        <v>147</v>
      </c>
    </row>
    <row r="617" spans="1:10" x14ac:dyDescent="0.2">
      <c r="A617" t="s">
        <v>214</v>
      </c>
      <c r="B617" t="s">
        <v>215</v>
      </c>
    </row>
    <row r="618" spans="1:10" x14ac:dyDescent="0.2">
      <c r="A618" t="s">
        <v>6</v>
      </c>
      <c r="B618" t="s">
        <v>7</v>
      </c>
    </row>
    <row r="619" spans="1:10" x14ac:dyDescent="0.2">
      <c r="A619" t="s">
        <v>8</v>
      </c>
      <c r="B619" s="3" t="s">
        <v>17</v>
      </c>
    </row>
    <row r="620" spans="1:10" x14ac:dyDescent="0.2">
      <c r="A620" s="1" t="s">
        <v>10</v>
      </c>
    </row>
    <row r="621" spans="1:10" x14ac:dyDescent="0.2">
      <c r="A621" t="s">
        <v>11</v>
      </c>
      <c r="B621" t="s">
        <v>12</v>
      </c>
      <c r="C621" t="s">
        <v>3</v>
      </c>
      <c r="D621" t="s">
        <v>8</v>
      </c>
      <c r="E621" t="s">
        <v>6</v>
      </c>
      <c r="F621" t="s">
        <v>5</v>
      </c>
      <c r="G621" t="s">
        <v>188</v>
      </c>
      <c r="H621" t="s">
        <v>189</v>
      </c>
      <c r="I621" t="s">
        <v>190</v>
      </c>
      <c r="J621" t="s">
        <v>191</v>
      </c>
    </row>
    <row r="622" spans="1:10" x14ac:dyDescent="0.2">
      <c r="A622" t="s">
        <v>218</v>
      </c>
      <c r="B622">
        <v>1</v>
      </c>
      <c r="C622" t="s">
        <v>18</v>
      </c>
      <c r="D622" t="s">
        <v>17</v>
      </c>
      <c r="E622" t="s">
        <v>19</v>
      </c>
      <c r="F622" t="s">
        <v>147</v>
      </c>
      <c r="G622">
        <v>0</v>
      </c>
    </row>
    <row r="623" spans="1:10" x14ac:dyDescent="0.2">
      <c r="A623" t="s">
        <v>145</v>
      </c>
      <c r="B623">
        <f>1/3.6</f>
        <v>0.27777777777777779</v>
      </c>
      <c r="C623" t="s">
        <v>22</v>
      </c>
      <c r="D623" t="s">
        <v>146</v>
      </c>
      <c r="E623" t="s">
        <v>23</v>
      </c>
      <c r="F623" t="s">
        <v>147</v>
      </c>
      <c r="G623">
        <v>0</v>
      </c>
    </row>
    <row r="624" spans="1:10" x14ac:dyDescent="0.2">
      <c r="A624" t="s">
        <v>192</v>
      </c>
      <c r="B624">
        <v>5.8548009367681507E-6</v>
      </c>
      <c r="C624" t="s">
        <v>115</v>
      </c>
      <c r="D624" t="s">
        <v>9</v>
      </c>
      <c r="E624" t="s">
        <v>23</v>
      </c>
      <c r="F624" t="s">
        <v>193</v>
      </c>
      <c r="G624">
        <v>5</v>
      </c>
      <c r="H624">
        <f t="shared" ref="H624:H629" si="0">B624</f>
        <v>5.8548009367681507E-6</v>
      </c>
      <c r="I624">
        <f>H624*(700000/1000000)</f>
        <v>4.0983606557377053E-6</v>
      </c>
      <c r="J624">
        <f>H624*(700000/500000)</f>
        <v>8.1967213114754105E-6</v>
      </c>
    </row>
    <row r="625" spans="1:10" x14ac:dyDescent="0.2">
      <c r="A625" t="s">
        <v>151</v>
      </c>
      <c r="B625">
        <v>2.0319944081098179E-5</v>
      </c>
      <c r="C625" t="s">
        <v>115</v>
      </c>
      <c r="D625" t="s">
        <v>9</v>
      </c>
      <c r="E625" t="s">
        <v>23</v>
      </c>
      <c r="F625" t="s">
        <v>152</v>
      </c>
      <c r="G625">
        <v>5</v>
      </c>
      <c r="H625">
        <f t="shared" si="0"/>
        <v>2.0319944081098179E-5</v>
      </c>
      <c r="I625">
        <f>H625*(700000/1000000)</f>
        <v>1.4223960856768724E-5</v>
      </c>
      <c r="J625">
        <f>H625*(700000/500000)</f>
        <v>2.8447921713537448E-5</v>
      </c>
    </row>
    <row r="626" spans="1:10" x14ac:dyDescent="0.2">
      <c r="A626" t="s">
        <v>194</v>
      </c>
      <c r="B626">
        <v>2.9685693565181665E-6</v>
      </c>
      <c r="C626" t="s">
        <v>115</v>
      </c>
      <c r="D626" t="s">
        <v>9</v>
      </c>
      <c r="E626" t="s">
        <v>23</v>
      </c>
      <c r="F626" t="s">
        <v>195</v>
      </c>
      <c r="G626">
        <v>5</v>
      </c>
      <c r="H626">
        <f t="shared" si="0"/>
        <v>2.9685693565181665E-6</v>
      </c>
      <c r="I626">
        <f>H626*(700000/1000000)</f>
        <v>2.0779985495627166E-6</v>
      </c>
      <c r="J626">
        <f>H626*(700000/500000)</f>
        <v>4.1559970991254331E-6</v>
      </c>
    </row>
    <row r="627" spans="1:10" x14ac:dyDescent="0.2">
      <c r="A627" t="s">
        <v>196</v>
      </c>
      <c r="B627">
        <v>8.4309133489461356E-6</v>
      </c>
      <c r="C627" t="s">
        <v>115</v>
      </c>
      <c r="D627" t="s">
        <v>9</v>
      </c>
      <c r="E627" t="s">
        <v>23</v>
      </c>
      <c r="F627" t="s">
        <v>197</v>
      </c>
      <c r="G627">
        <v>5</v>
      </c>
      <c r="H627">
        <f t="shared" si="0"/>
        <v>8.4309133489461356E-6</v>
      </c>
      <c r="I627">
        <f>H627*(700000/1000000)</f>
        <v>5.9016393442622947E-6</v>
      </c>
      <c r="J627">
        <f>H627*(700000/500000)</f>
        <v>1.1803278688524589E-5</v>
      </c>
    </row>
    <row r="628" spans="1:10" x14ac:dyDescent="0.2">
      <c r="A628" t="s">
        <v>198</v>
      </c>
      <c r="B628">
        <f>399/700000/6.1</f>
        <v>9.3442622950819676E-5</v>
      </c>
      <c r="C628" s="2" t="s">
        <v>115</v>
      </c>
      <c r="D628" t="s">
        <v>146</v>
      </c>
      <c r="E628" t="s">
        <v>23</v>
      </c>
      <c r="F628" t="s">
        <v>199</v>
      </c>
      <c r="G628">
        <v>5</v>
      </c>
      <c r="H628">
        <f t="shared" si="0"/>
        <v>9.3442622950819676E-5</v>
      </c>
      <c r="I628">
        <f>(266)/1000000/6.1</f>
        <v>4.3606557377049187E-5</v>
      </c>
      <c r="J628">
        <f>533/500000/6.1</f>
        <v>1.7475409836065578E-4</v>
      </c>
    </row>
    <row r="629" spans="1:10" x14ac:dyDescent="0.2">
      <c r="A629" t="s">
        <v>220</v>
      </c>
      <c r="B629">
        <f>4.16666666666667E-08*10/6.1</f>
        <v>6.8306010928961812E-8</v>
      </c>
      <c r="C629" t="s">
        <v>18</v>
      </c>
      <c r="D629" t="s">
        <v>8</v>
      </c>
      <c r="E629" t="s">
        <v>23</v>
      </c>
      <c r="F629" t="s">
        <v>220</v>
      </c>
      <c r="G629">
        <v>5</v>
      </c>
      <c r="H629">
        <f t="shared" si="0"/>
        <v>6.8306010928961812E-8</v>
      </c>
      <c r="I629">
        <f>B629/2</f>
        <v>3.4153005464480906E-8</v>
      </c>
      <c r="J629">
        <f>B629*2</f>
        <v>1.3661202185792362E-7</v>
      </c>
    </row>
    <row r="630" spans="1:10" x14ac:dyDescent="0.2">
      <c r="B630" s="3"/>
    </row>
    <row r="631" spans="1:10" x14ac:dyDescent="0.2">
      <c r="A631" s="1" t="s">
        <v>2</v>
      </c>
      <c r="B631" s="1" t="s">
        <v>220</v>
      </c>
    </row>
    <row r="632" spans="1:10" x14ac:dyDescent="0.2">
      <c r="A632" t="s">
        <v>157</v>
      </c>
      <c r="B632" t="s">
        <v>221</v>
      </c>
    </row>
    <row r="633" spans="1:10" x14ac:dyDescent="0.2">
      <c r="A633" t="s">
        <v>208</v>
      </c>
      <c r="B633" t="s">
        <v>222</v>
      </c>
    </row>
    <row r="634" spans="1:10" x14ac:dyDescent="0.2">
      <c r="A634" t="s">
        <v>3</v>
      </c>
      <c r="B634" t="s">
        <v>18</v>
      </c>
    </row>
    <row r="635" spans="1:10" x14ac:dyDescent="0.2">
      <c r="A635" t="s">
        <v>4</v>
      </c>
      <c r="B635">
        <v>1</v>
      </c>
    </row>
    <row r="636" spans="1:10" x14ac:dyDescent="0.2">
      <c r="A636" t="s">
        <v>5</v>
      </c>
      <c r="B636" t="s">
        <v>220</v>
      </c>
    </row>
    <row r="637" spans="1:10" x14ac:dyDescent="0.2">
      <c r="A637" t="s">
        <v>214</v>
      </c>
      <c r="B637" t="s">
        <v>223</v>
      </c>
    </row>
    <row r="638" spans="1:10" x14ac:dyDescent="0.2">
      <c r="A638" t="s">
        <v>224</v>
      </c>
      <c r="B638" t="s">
        <v>221</v>
      </c>
    </row>
    <row r="639" spans="1:10" x14ac:dyDescent="0.2">
      <c r="A639" t="s">
        <v>6</v>
      </c>
      <c r="B639" t="s">
        <v>7</v>
      </c>
    </row>
    <row r="640" spans="1:10" x14ac:dyDescent="0.2">
      <c r="A640" t="s">
        <v>8</v>
      </c>
      <c r="B640" t="s">
        <v>8</v>
      </c>
    </row>
    <row r="641" spans="1:8" x14ac:dyDescent="0.2">
      <c r="A641" s="1" t="s">
        <v>10</v>
      </c>
    </row>
    <row r="642" spans="1:8" x14ac:dyDescent="0.2">
      <c r="A642" t="s">
        <v>11</v>
      </c>
      <c r="B642" t="s">
        <v>12</v>
      </c>
      <c r="C642" t="s">
        <v>0</v>
      </c>
      <c r="D642" t="s">
        <v>3</v>
      </c>
      <c r="E642" t="s">
        <v>8</v>
      </c>
      <c r="F642" t="s">
        <v>6</v>
      </c>
      <c r="G642" t="s">
        <v>5</v>
      </c>
      <c r="H642" t="s">
        <v>225</v>
      </c>
    </row>
    <row r="643" spans="1:8" x14ac:dyDescent="0.2">
      <c r="A643" t="s">
        <v>220</v>
      </c>
      <c r="B643">
        <v>1</v>
      </c>
      <c r="C643" t="s">
        <v>226</v>
      </c>
      <c r="D643" t="s">
        <v>18</v>
      </c>
      <c r="E643" t="s">
        <v>8</v>
      </c>
      <c r="F643" t="s">
        <v>19</v>
      </c>
      <c r="G643" t="s">
        <v>220</v>
      </c>
      <c r="H643" t="s">
        <v>227</v>
      </c>
    </row>
    <row r="644" spans="1:8" x14ac:dyDescent="0.2">
      <c r="A644" t="s">
        <v>228</v>
      </c>
      <c r="B644">
        <v>4.3</v>
      </c>
      <c r="C644" t="s">
        <v>226</v>
      </c>
      <c r="D644" t="s">
        <v>18</v>
      </c>
      <c r="E644" t="s">
        <v>8</v>
      </c>
      <c r="F644" t="s">
        <v>23</v>
      </c>
      <c r="G644" t="s">
        <v>228</v>
      </c>
      <c r="H644" t="s">
        <v>227</v>
      </c>
    </row>
    <row r="645" spans="1:8" x14ac:dyDescent="0.2">
      <c r="A645" t="s">
        <v>229</v>
      </c>
      <c r="B645">
        <v>1</v>
      </c>
      <c r="C645" t="s">
        <v>226</v>
      </c>
      <c r="D645" t="s">
        <v>18</v>
      </c>
      <c r="E645" t="s">
        <v>8</v>
      </c>
      <c r="F645" t="s">
        <v>23</v>
      </c>
      <c r="G645" t="s">
        <v>229</v>
      </c>
      <c r="H645" t="s">
        <v>227</v>
      </c>
    </row>
    <row r="646" spans="1:8" x14ac:dyDescent="0.2">
      <c r="A646" t="s">
        <v>230</v>
      </c>
      <c r="B646">
        <v>1</v>
      </c>
      <c r="C646" t="s">
        <v>226</v>
      </c>
      <c r="D646" t="s">
        <v>18</v>
      </c>
      <c r="E646" t="s">
        <v>8</v>
      </c>
      <c r="F646" t="s">
        <v>23</v>
      </c>
      <c r="G646" t="s">
        <v>230</v>
      </c>
      <c r="H646" t="s">
        <v>227</v>
      </c>
    </row>
    <row r="648" spans="1:8" x14ac:dyDescent="0.2">
      <c r="A648" s="1" t="s">
        <v>2</v>
      </c>
      <c r="B648" s="1" t="s">
        <v>231</v>
      </c>
    </row>
    <row r="649" spans="1:8" x14ac:dyDescent="0.2">
      <c r="A649" t="s">
        <v>157</v>
      </c>
      <c r="B649" t="s">
        <v>232</v>
      </c>
    </row>
    <row r="650" spans="1:8" x14ac:dyDescent="0.2">
      <c r="A650" t="s">
        <v>208</v>
      </c>
      <c r="B650" t="s">
        <v>209</v>
      </c>
    </row>
    <row r="651" spans="1:8" x14ac:dyDescent="0.2">
      <c r="A651" t="s">
        <v>3</v>
      </c>
      <c r="B651" t="s">
        <v>18</v>
      </c>
    </row>
    <row r="652" spans="1:8" x14ac:dyDescent="0.2">
      <c r="A652" t="s">
        <v>4</v>
      </c>
      <c r="B652">
        <v>1</v>
      </c>
    </row>
    <row r="653" spans="1:8" x14ac:dyDescent="0.2">
      <c r="A653" t="s">
        <v>5</v>
      </c>
      <c r="B653" t="s">
        <v>1</v>
      </c>
    </row>
    <row r="654" spans="1:8" x14ac:dyDescent="0.2">
      <c r="A654" t="s">
        <v>214</v>
      </c>
      <c r="B654" t="s">
        <v>215</v>
      </c>
    </row>
    <row r="655" spans="1:8" x14ac:dyDescent="0.2">
      <c r="A655" t="s">
        <v>6</v>
      </c>
      <c r="B655" t="s">
        <v>7</v>
      </c>
    </row>
    <row r="656" spans="1:8" x14ac:dyDescent="0.2">
      <c r="A656" t="s">
        <v>8</v>
      </c>
      <c r="B656" t="s">
        <v>17</v>
      </c>
    </row>
    <row r="657" spans="1:10" x14ac:dyDescent="0.2">
      <c r="A657" s="1" t="s">
        <v>10</v>
      </c>
    </row>
    <row r="658" spans="1:10" x14ac:dyDescent="0.2">
      <c r="A658" t="s">
        <v>11</v>
      </c>
      <c r="B658" t="s">
        <v>12</v>
      </c>
      <c r="C658" t="s">
        <v>3</v>
      </c>
      <c r="D658" t="s">
        <v>8</v>
      </c>
      <c r="E658" t="s">
        <v>6</v>
      </c>
      <c r="F658" t="s">
        <v>5</v>
      </c>
      <c r="G658" t="s">
        <v>188</v>
      </c>
      <c r="H658" t="s">
        <v>189</v>
      </c>
      <c r="I658" t="s">
        <v>190</v>
      </c>
      <c r="J658" t="s">
        <v>191</v>
      </c>
    </row>
    <row r="659" spans="1:10" x14ac:dyDescent="0.2">
      <c r="A659" t="s">
        <v>233</v>
      </c>
      <c r="B659">
        <v>1</v>
      </c>
      <c r="C659" t="s">
        <v>18</v>
      </c>
      <c r="D659" t="s">
        <v>17</v>
      </c>
      <c r="E659" t="s">
        <v>19</v>
      </c>
      <c r="F659" t="s">
        <v>1</v>
      </c>
      <c r="G659">
        <v>0</v>
      </c>
    </row>
    <row r="660" spans="1:10" x14ac:dyDescent="0.2">
      <c r="A660" s="2" t="s">
        <v>164</v>
      </c>
      <c r="B660" s="14">
        <f>1/120</f>
        <v>8.3333333333333332E-3</v>
      </c>
      <c r="C660" s="4" t="s">
        <v>18</v>
      </c>
      <c r="D660" s="4" t="s">
        <v>9</v>
      </c>
      <c r="E660" s="4" t="s">
        <v>23</v>
      </c>
      <c r="F660" s="2" t="s">
        <v>165</v>
      </c>
      <c r="G660" s="2">
        <v>0</v>
      </c>
    </row>
    <row r="661" spans="1:10" x14ac:dyDescent="0.2">
      <c r="A661" t="s">
        <v>203</v>
      </c>
      <c r="B661">
        <f>266/700000/6.3</f>
        <v>6.0317460317460322E-5</v>
      </c>
      <c r="C661" t="s">
        <v>18</v>
      </c>
      <c r="D661" t="s">
        <v>9</v>
      </c>
      <c r="E661" t="s">
        <v>23</v>
      </c>
      <c r="F661" t="s">
        <v>204</v>
      </c>
      <c r="G661">
        <v>5</v>
      </c>
      <c r="H661">
        <f>B661</f>
        <v>6.0317460317460322E-5</v>
      </c>
      <c r="I661">
        <f>205/700000/6.3</f>
        <v>4.6485260770975065E-5</v>
      </c>
      <c r="J661">
        <f>288/700000/6.3</f>
        <v>6.53061224489796E-5</v>
      </c>
    </row>
    <row r="662" spans="1:10" x14ac:dyDescent="0.2">
      <c r="A662" t="s">
        <v>114</v>
      </c>
      <c r="B662">
        <f>164/700000/6.3</f>
        <v>3.7188208616780044E-5</v>
      </c>
      <c r="C662" t="s">
        <v>115</v>
      </c>
      <c r="D662" t="s">
        <v>8</v>
      </c>
      <c r="E662" t="s">
        <v>23</v>
      </c>
      <c r="F662" t="s">
        <v>116</v>
      </c>
      <c r="G662">
        <v>5</v>
      </c>
      <c r="H662">
        <f>B662</f>
        <v>3.7188208616780044E-5</v>
      </c>
      <c r="I662">
        <f>96/1000000/6.3</f>
        <v>1.5238095238095239E-5</v>
      </c>
      <c r="J662">
        <f>232/500000/6.3</f>
        <v>7.3650793650793659E-5</v>
      </c>
    </row>
    <row r="663" spans="1:10" x14ac:dyDescent="0.2">
      <c r="A663" t="s">
        <v>192</v>
      </c>
      <c r="B663">
        <v>5.6689342403628128E-6</v>
      </c>
      <c r="C663" t="s">
        <v>115</v>
      </c>
      <c r="D663" t="s">
        <v>9</v>
      </c>
      <c r="E663" t="s">
        <v>23</v>
      </c>
      <c r="F663" t="s">
        <v>193</v>
      </c>
      <c r="G663">
        <v>5</v>
      </c>
      <c r="H663">
        <f t="shared" ref="H663:H666" si="1">B663</f>
        <v>5.6689342403628128E-6</v>
      </c>
      <c r="I663">
        <f>B663*(700000/1000000)</f>
        <v>3.9682539682539689E-6</v>
      </c>
      <c r="J663">
        <f>B663*(700000/500000)</f>
        <v>7.9365079365079379E-6</v>
      </c>
    </row>
    <row r="664" spans="1:10" x14ac:dyDescent="0.2">
      <c r="A664" t="s">
        <v>151</v>
      </c>
      <c r="B664">
        <v>2.4040391954934648E-5</v>
      </c>
      <c r="C664" t="s">
        <v>115</v>
      </c>
      <c r="D664" t="s">
        <v>9</v>
      </c>
      <c r="E664" t="s">
        <v>23</v>
      </c>
      <c r="F664" t="s">
        <v>152</v>
      </c>
      <c r="G664">
        <v>5</v>
      </c>
      <c r="H664">
        <f t="shared" si="1"/>
        <v>2.4040391954934648E-5</v>
      </c>
      <c r="I664">
        <f>B664*(700000/1000000)</f>
        <v>1.6828274368454252E-5</v>
      </c>
      <c r="J664">
        <f>B664*(700000/500000)</f>
        <v>3.3656548736908503E-5</v>
      </c>
    </row>
    <row r="665" spans="1:10" x14ac:dyDescent="0.2">
      <c r="A665" t="s">
        <v>194</v>
      </c>
      <c r="B665">
        <v>3.1830926606374987E-6</v>
      </c>
      <c r="C665" t="s">
        <v>115</v>
      </c>
      <c r="D665" t="s">
        <v>9</v>
      </c>
      <c r="E665" t="s">
        <v>23</v>
      </c>
      <c r="F665" t="s">
        <v>195</v>
      </c>
      <c r="G665">
        <v>5</v>
      </c>
      <c r="H665">
        <f t="shared" si="1"/>
        <v>3.1830926606374987E-6</v>
      </c>
      <c r="I665">
        <f>B665*(700000/1000000)</f>
        <v>2.2281648624462491E-6</v>
      </c>
      <c r="J665">
        <f>B665*(700000/500000)</f>
        <v>4.4563297248924981E-6</v>
      </c>
    </row>
    <row r="666" spans="1:10" x14ac:dyDescent="0.2">
      <c r="A666" t="s">
        <v>196</v>
      </c>
      <c r="B666">
        <v>8.16326530612245E-6</v>
      </c>
      <c r="C666" t="s">
        <v>115</v>
      </c>
      <c r="D666" t="s">
        <v>9</v>
      </c>
      <c r="E666" t="s">
        <v>23</v>
      </c>
      <c r="F666" t="s">
        <v>197</v>
      </c>
      <c r="G666">
        <v>5</v>
      </c>
      <c r="H666">
        <f t="shared" si="1"/>
        <v>8.16326530612245E-6</v>
      </c>
      <c r="I666">
        <f>B666*(700000/1000000)</f>
        <v>5.7142857142857145E-6</v>
      </c>
      <c r="J666">
        <f>B666*(700000/500000)</f>
        <v>1.1428571428571429E-5</v>
      </c>
    </row>
    <row r="667" spans="1:10" x14ac:dyDescent="0.2">
      <c r="A667" t="s">
        <v>198</v>
      </c>
      <c r="B667">
        <f>80/700000/6.3</f>
        <v>1.8140589569160997E-5</v>
      </c>
      <c r="C667" s="2" t="s">
        <v>115</v>
      </c>
      <c r="D667" t="s">
        <v>146</v>
      </c>
      <c r="E667" t="s">
        <v>23</v>
      </c>
      <c r="F667" t="s">
        <v>199</v>
      </c>
      <c r="G667">
        <v>5</v>
      </c>
      <c r="H667">
        <f>B667</f>
        <v>1.8140589569160997E-5</v>
      </c>
      <c r="I667">
        <f>47/1000000/6.3</f>
        <v>7.4603174603174601E-6</v>
      </c>
      <c r="J667">
        <f>98/500000/6.3</f>
        <v>3.111111111111111E-5</v>
      </c>
    </row>
    <row r="669" spans="1:10" x14ac:dyDescent="0.2">
      <c r="A669" s="1" t="s">
        <v>2</v>
      </c>
      <c r="B669" s="1" t="s">
        <v>234</v>
      </c>
    </row>
    <row r="670" spans="1:10" x14ac:dyDescent="0.2">
      <c r="A670" t="s">
        <v>157</v>
      </c>
      <c r="B670" t="s">
        <v>235</v>
      </c>
    </row>
    <row r="671" spans="1:10" x14ac:dyDescent="0.2">
      <c r="A671" t="s">
        <v>208</v>
      </c>
      <c r="B671" t="s">
        <v>209</v>
      </c>
    </row>
    <row r="672" spans="1:10" x14ac:dyDescent="0.2">
      <c r="A672" t="s">
        <v>3</v>
      </c>
      <c r="B672" t="s">
        <v>18</v>
      </c>
    </row>
    <row r="673" spans="1:10" x14ac:dyDescent="0.2">
      <c r="A673" t="s">
        <v>4</v>
      </c>
      <c r="B673">
        <v>1</v>
      </c>
    </row>
    <row r="674" spans="1:10" x14ac:dyDescent="0.2">
      <c r="A674" t="s">
        <v>5</v>
      </c>
      <c r="B674" t="s">
        <v>147</v>
      </c>
    </row>
    <row r="675" spans="1:10" x14ac:dyDescent="0.2">
      <c r="A675" t="s">
        <v>214</v>
      </c>
      <c r="B675" t="s">
        <v>215</v>
      </c>
    </row>
    <row r="676" spans="1:10" x14ac:dyDescent="0.2">
      <c r="A676" t="s">
        <v>6</v>
      </c>
      <c r="B676" t="s">
        <v>7</v>
      </c>
    </row>
    <row r="677" spans="1:10" x14ac:dyDescent="0.2">
      <c r="A677" t="s">
        <v>8</v>
      </c>
      <c r="B677" t="s">
        <v>17</v>
      </c>
    </row>
    <row r="678" spans="1:10" x14ac:dyDescent="0.2">
      <c r="A678" s="1" t="s">
        <v>10</v>
      </c>
    </row>
    <row r="679" spans="1:10" x14ac:dyDescent="0.2">
      <c r="A679" s="20" t="s">
        <v>11</v>
      </c>
      <c r="B679" s="20" t="s">
        <v>12</v>
      </c>
      <c r="C679" s="20" t="s">
        <v>3</v>
      </c>
      <c r="D679" s="20" t="s">
        <v>8</v>
      </c>
      <c r="E679" s="20" t="s">
        <v>6</v>
      </c>
      <c r="F679" s="20" t="s">
        <v>5</v>
      </c>
      <c r="G679" s="20" t="s">
        <v>188</v>
      </c>
      <c r="H679" s="20" t="s">
        <v>189</v>
      </c>
      <c r="I679" s="20" t="s">
        <v>190</v>
      </c>
      <c r="J679" s="20" t="s">
        <v>191</v>
      </c>
    </row>
    <row r="680" spans="1:10" x14ac:dyDescent="0.2">
      <c r="A680" t="s">
        <v>234</v>
      </c>
      <c r="B680">
        <v>1</v>
      </c>
      <c r="C680" t="s">
        <v>18</v>
      </c>
      <c r="D680" t="s">
        <v>17</v>
      </c>
      <c r="E680" t="s">
        <v>19</v>
      </c>
      <c r="F680" t="s">
        <v>147</v>
      </c>
      <c r="G680">
        <v>0</v>
      </c>
    </row>
    <row r="681" spans="1:10" x14ac:dyDescent="0.2">
      <c r="A681" t="s">
        <v>145</v>
      </c>
      <c r="B681">
        <f>1/3.6</f>
        <v>0.27777777777777779</v>
      </c>
      <c r="C681" t="s">
        <v>18</v>
      </c>
      <c r="D681" t="s">
        <v>146</v>
      </c>
      <c r="E681" t="s">
        <v>23</v>
      </c>
      <c r="F681" t="s">
        <v>147</v>
      </c>
      <c r="G681">
        <v>0</v>
      </c>
    </row>
    <row r="682" spans="1:10" x14ac:dyDescent="0.2">
      <c r="A682" t="s">
        <v>192</v>
      </c>
      <c r="B682">
        <v>4.3859649122807014E-6</v>
      </c>
      <c r="C682" t="s">
        <v>115</v>
      </c>
      <c r="D682" t="s">
        <v>9</v>
      </c>
      <c r="E682" t="s">
        <v>23</v>
      </c>
      <c r="F682" t="s">
        <v>193</v>
      </c>
      <c r="G682">
        <v>5</v>
      </c>
      <c r="H682">
        <f t="shared" ref="H682:H684" si="2">B682</f>
        <v>4.3859649122807014E-6</v>
      </c>
      <c r="I682">
        <f t="shared" ref="I682:I684" si="3">B682*(1000000/1250000)</f>
        <v>3.5087719298245615E-6</v>
      </c>
      <c r="J682">
        <f t="shared" ref="J682:J684" si="4">B682*(1000000/750000)</f>
        <v>5.8479532163742686E-6</v>
      </c>
    </row>
    <row r="683" spans="1:10" x14ac:dyDescent="0.2">
      <c r="A683" t="s">
        <v>151</v>
      </c>
      <c r="B683">
        <v>1.529271460518488E-5</v>
      </c>
      <c r="C683" t="s">
        <v>115</v>
      </c>
      <c r="D683" t="s">
        <v>9</v>
      </c>
      <c r="E683" t="s">
        <v>23</v>
      </c>
      <c r="F683" t="s">
        <v>152</v>
      </c>
      <c r="G683">
        <v>5</v>
      </c>
      <c r="H683">
        <f t="shared" si="2"/>
        <v>1.529271460518488E-5</v>
      </c>
      <c r="I683">
        <f t="shared" si="3"/>
        <v>1.2234171684147905E-5</v>
      </c>
      <c r="J683">
        <f t="shared" si="4"/>
        <v>2.0390286140246506E-5</v>
      </c>
    </row>
    <row r="684" spans="1:10" x14ac:dyDescent="0.2">
      <c r="A684" t="s">
        <v>194</v>
      </c>
      <c r="B684">
        <v>2.2293376104859981E-6</v>
      </c>
      <c r="C684" t="s">
        <v>115</v>
      </c>
      <c r="D684" t="s">
        <v>9</v>
      </c>
      <c r="E684" t="s">
        <v>23</v>
      </c>
      <c r="F684" t="s">
        <v>195</v>
      </c>
      <c r="G684">
        <v>5</v>
      </c>
      <c r="H684">
        <f t="shared" si="2"/>
        <v>2.2293376104859981E-6</v>
      </c>
      <c r="I684">
        <f t="shared" si="3"/>
        <v>1.7834700883887986E-6</v>
      </c>
      <c r="J684">
        <f t="shared" si="4"/>
        <v>2.9724501473146639E-6</v>
      </c>
    </row>
    <row r="685" spans="1:10" x14ac:dyDescent="0.2">
      <c r="A685" t="s">
        <v>196</v>
      </c>
      <c r="B685">
        <v>6.3157894736842103E-6</v>
      </c>
      <c r="C685" t="s">
        <v>115</v>
      </c>
      <c r="D685" t="s">
        <v>9</v>
      </c>
      <c r="E685" t="s">
        <v>23</v>
      </c>
      <c r="F685" t="s">
        <v>197</v>
      </c>
      <c r="G685">
        <v>5</v>
      </c>
      <c r="H685">
        <f>B685</f>
        <v>6.3157894736842103E-6</v>
      </c>
      <c r="I685">
        <f>B685*(1000000/1250000)</f>
        <v>5.0526315789473688E-6</v>
      </c>
      <c r="J685">
        <f>B685*(1000000/750000)</f>
        <v>8.4210526315789465E-6</v>
      </c>
    </row>
    <row r="686" spans="1:10" x14ac:dyDescent="0.2">
      <c r="A686" t="s">
        <v>236</v>
      </c>
      <c r="B686">
        <f>66/1000000/5.7</f>
        <v>1.1578947368421053E-5</v>
      </c>
      <c r="C686" s="2" t="s">
        <v>115</v>
      </c>
      <c r="D686" t="s">
        <v>146</v>
      </c>
      <c r="E686" t="s">
        <v>23</v>
      </c>
      <c r="F686" t="s">
        <v>199</v>
      </c>
      <c r="G686">
        <v>5</v>
      </c>
      <c r="H686">
        <f>B686</f>
        <v>1.1578947368421053E-5</v>
      </c>
      <c r="I686">
        <f>33/1250000/5.7</f>
        <v>4.631578947368421E-6</v>
      </c>
      <c r="J686">
        <f>88/750000/5.7</f>
        <v>2.0584795321637427E-5</v>
      </c>
    </row>
    <row r="687" spans="1:10" x14ac:dyDescent="0.2">
      <c r="B687" s="3"/>
    </row>
    <row r="688" spans="1:10" x14ac:dyDescent="0.2">
      <c r="A688" s="1" t="s">
        <v>2</v>
      </c>
      <c r="B688" s="1" t="s">
        <v>237</v>
      </c>
    </row>
    <row r="689" spans="1:6" x14ac:dyDescent="0.2">
      <c r="A689" t="s">
        <v>3</v>
      </c>
      <c r="B689" t="s">
        <v>18</v>
      </c>
    </row>
    <row r="690" spans="1:6" x14ac:dyDescent="0.2">
      <c r="A690" t="s">
        <v>5</v>
      </c>
      <c r="B690" t="s">
        <v>147</v>
      </c>
    </row>
    <row r="691" spans="1:6" x14ac:dyDescent="0.2">
      <c r="A691" t="s">
        <v>6</v>
      </c>
      <c r="B691" t="s">
        <v>7</v>
      </c>
    </row>
    <row r="692" spans="1:6" x14ac:dyDescent="0.2">
      <c r="A692" t="s">
        <v>8</v>
      </c>
      <c r="B692" t="s">
        <v>17</v>
      </c>
    </row>
    <row r="693" spans="1:6" x14ac:dyDescent="0.2">
      <c r="A693" s="1" t="s">
        <v>10</v>
      </c>
    </row>
    <row r="694" spans="1:6" x14ac:dyDescent="0.2">
      <c r="A694" t="s">
        <v>11</v>
      </c>
      <c r="B694" t="s">
        <v>12</v>
      </c>
      <c r="C694" t="s">
        <v>3</v>
      </c>
      <c r="D694" t="s">
        <v>8</v>
      </c>
      <c r="E694" t="s">
        <v>6</v>
      </c>
      <c r="F694" t="s">
        <v>5</v>
      </c>
    </row>
    <row r="695" spans="1:6" x14ac:dyDescent="0.2">
      <c r="A695" t="s">
        <v>234</v>
      </c>
      <c r="B695">
        <v>1</v>
      </c>
      <c r="C695" t="s">
        <v>18</v>
      </c>
      <c r="D695" t="s">
        <v>17</v>
      </c>
      <c r="E695" t="s">
        <v>19</v>
      </c>
      <c r="F695" t="s">
        <v>147</v>
      </c>
    </row>
    <row r="696" spans="1:6" x14ac:dyDescent="0.2">
      <c r="A696" t="s">
        <v>238</v>
      </c>
      <c r="B696" s="16">
        <f>1/(0.089775*3.6)</f>
        <v>3.0941551409387671</v>
      </c>
      <c r="C696" t="s">
        <v>22</v>
      </c>
      <c r="D696" t="s">
        <v>239</v>
      </c>
      <c r="E696" t="s">
        <v>23</v>
      </c>
      <c r="F696" t="s">
        <v>238</v>
      </c>
    </row>
    <row r="698" spans="1:6" x14ac:dyDescent="0.2">
      <c r="A698" s="20" t="s">
        <v>2</v>
      </c>
      <c r="B698" s="20" t="s">
        <v>240</v>
      </c>
    </row>
    <row r="699" spans="1:6" x14ac:dyDescent="0.2">
      <c r="A699" t="s">
        <v>3</v>
      </c>
      <c r="B699" t="s">
        <v>18</v>
      </c>
    </row>
    <row r="700" spans="1:6" x14ac:dyDescent="0.2">
      <c r="A700" t="s">
        <v>5</v>
      </c>
      <c r="B700" s="3" t="s">
        <v>147</v>
      </c>
    </row>
    <row r="701" spans="1:6" x14ac:dyDescent="0.2">
      <c r="A701" t="s">
        <v>6</v>
      </c>
      <c r="B701" s="3" t="s">
        <v>7</v>
      </c>
    </row>
    <row r="702" spans="1:6" x14ac:dyDescent="0.2">
      <c r="A702" t="s">
        <v>8</v>
      </c>
      <c r="B702" s="3" t="s">
        <v>17</v>
      </c>
    </row>
    <row r="703" spans="1:6" x14ac:dyDescent="0.2">
      <c r="A703" t="s">
        <v>214</v>
      </c>
      <c r="B703" s="3" t="s">
        <v>241</v>
      </c>
    </row>
    <row r="704" spans="1:6" x14ac:dyDescent="0.2">
      <c r="A704" t="s">
        <v>157</v>
      </c>
      <c r="B704" s="3" t="s">
        <v>242</v>
      </c>
    </row>
    <row r="705" spans="1:12" x14ac:dyDescent="0.2">
      <c r="A705" t="s">
        <v>10</v>
      </c>
      <c r="B705" s="3"/>
    </row>
    <row r="706" spans="1:12" x14ac:dyDescent="0.2">
      <c r="A706" s="20" t="s">
        <v>11</v>
      </c>
      <c r="B706" s="21" t="s">
        <v>12</v>
      </c>
      <c r="C706" s="20" t="s">
        <v>3</v>
      </c>
      <c r="D706" s="20" t="s">
        <v>8</v>
      </c>
      <c r="E706" s="20" t="s">
        <v>13</v>
      </c>
      <c r="F706" s="20" t="s">
        <v>6</v>
      </c>
      <c r="G706" s="20" t="s">
        <v>157</v>
      </c>
      <c r="H706" s="20" t="s">
        <v>5</v>
      </c>
      <c r="I706" s="20" t="s">
        <v>188</v>
      </c>
      <c r="J706" s="20" t="s">
        <v>189</v>
      </c>
      <c r="K706" s="20" t="s">
        <v>190</v>
      </c>
      <c r="L706" s="20" t="s">
        <v>191</v>
      </c>
    </row>
    <row r="707" spans="1:12" x14ac:dyDescent="0.2">
      <c r="A707" t="s">
        <v>240</v>
      </c>
      <c r="B707" s="3">
        <v>1</v>
      </c>
      <c r="C707" t="s">
        <v>18</v>
      </c>
      <c r="D707" t="s">
        <v>17</v>
      </c>
      <c r="F707" t="s">
        <v>19</v>
      </c>
      <c r="G707" t="s">
        <v>221</v>
      </c>
      <c r="H707" t="s">
        <v>147</v>
      </c>
      <c r="I707">
        <v>0</v>
      </c>
    </row>
    <row r="708" spans="1:12" x14ac:dyDescent="0.2">
      <c r="A708" t="s">
        <v>145</v>
      </c>
      <c r="B708">
        <f>1/3.6</f>
        <v>0.27777777777777779</v>
      </c>
      <c r="C708" t="s">
        <v>18</v>
      </c>
      <c r="D708" t="s">
        <v>146</v>
      </c>
      <c r="F708" t="s">
        <v>23</v>
      </c>
      <c r="H708" t="s">
        <v>147</v>
      </c>
      <c r="I708">
        <v>0</v>
      </c>
    </row>
    <row r="709" spans="1:12" x14ac:dyDescent="0.2">
      <c r="A709" t="s">
        <v>243</v>
      </c>
      <c r="B709" s="3">
        <v>9.5816828884557961E-5</v>
      </c>
      <c r="C709" t="s">
        <v>115</v>
      </c>
      <c r="D709" t="s">
        <v>8</v>
      </c>
      <c r="F709" t="s">
        <v>23</v>
      </c>
      <c r="G709" t="s">
        <v>244</v>
      </c>
      <c r="H709" t="s">
        <v>243</v>
      </c>
      <c r="I709">
        <v>0</v>
      </c>
    </row>
    <row r="710" spans="1:12" x14ac:dyDescent="0.2">
      <c r="A710" t="s">
        <v>198</v>
      </c>
      <c r="B710">
        <f>8.1/38500/(0.0753*3.6)</f>
        <v>7.7611631396491947E-4</v>
      </c>
      <c r="C710" s="2" t="s">
        <v>115</v>
      </c>
      <c r="D710" t="s">
        <v>146</v>
      </c>
      <c r="F710" t="s">
        <v>23</v>
      </c>
      <c r="H710" t="s">
        <v>199</v>
      </c>
      <c r="I710">
        <v>5</v>
      </c>
      <c r="J710">
        <f>B710</f>
        <v>7.7611631396491947E-4</v>
      </c>
      <c r="K710">
        <f>2.4/42000/(0.0753*3.6)</f>
        <v>2.1079702354602749E-4</v>
      </c>
      <c r="L710">
        <f>16.5/35000/(0.0753*3.6)</f>
        <v>1.7390754442547268E-3</v>
      </c>
    </row>
    <row r="711" spans="1:12" x14ac:dyDescent="0.2">
      <c r="B711" s="3"/>
    </row>
    <row r="712" spans="1:12" x14ac:dyDescent="0.2">
      <c r="A712" s="20" t="s">
        <v>2</v>
      </c>
      <c r="B712" s="20" t="s">
        <v>245</v>
      </c>
    </row>
    <row r="713" spans="1:12" x14ac:dyDescent="0.2">
      <c r="A713" t="s">
        <v>3</v>
      </c>
      <c r="B713" t="s">
        <v>18</v>
      </c>
    </row>
    <row r="714" spans="1:12" x14ac:dyDescent="0.2">
      <c r="A714" t="s">
        <v>5</v>
      </c>
      <c r="B714" s="3" t="s">
        <v>1</v>
      </c>
    </row>
    <row r="715" spans="1:12" x14ac:dyDescent="0.2">
      <c r="A715" t="s">
        <v>6</v>
      </c>
      <c r="B715" s="3" t="s">
        <v>7</v>
      </c>
    </row>
    <row r="716" spans="1:12" x14ac:dyDescent="0.2">
      <c r="A716" t="s">
        <v>8</v>
      </c>
      <c r="B716" s="3" t="s">
        <v>17</v>
      </c>
    </row>
    <row r="717" spans="1:12" x14ac:dyDescent="0.2">
      <c r="A717" t="s">
        <v>214</v>
      </c>
      <c r="B717" s="3" t="s">
        <v>241</v>
      </c>
    </row>
    <row r="718" spans="1:12" x14ac:dyDescent="0.2">
      <c r="A718" t="s">
        <v>157</v>
      </c>
      <c r="B718" s="3" t="s">
        <v>242</v>
      </c>
    </row>
    <row r="719" spans="1:12" x14ac:dyDescent="0.2">
      <c r="A719" t="s">
        <v>10</v>
      </c>
      <c r="B719" s="3"/>
    </row>
    <row r="720" spans="1:12" x14ac:dyDescent="0.2">
      <c r="A720" s="20" t="s">
        <v>11</v>
      </c>
      <c r="B720" s="21" t="s">
        <v>12</v>
      </c>
      <c r="C720" s="20" t="s">
        <v>3</v>
      </c>
      <c r="D720" s="20" t="s">
        <v>8</v>
      </c>
      <c r="E720" s="20" t="s">
        <v>13</v>
      </c>
      <c r="F720" s="20" t="s">
        <v>6</v>
      </c>
      <c r="G720" s="20" t="s">
        <v>157</v>
      </c>
      <c r="H720" s="20" t="s">
        <v>5</v>
      </c>
      <c r="I720" s="20" t="s">
        <v>188</v>
      </c>
      <c r="J720" s="20" t="s">
        <v>189</v>
      </c>
      <c r="K720" s="20" t="s">
        <v>190</v>
      </c>
      <c r="L720" s="20" t="s">
        <v>191</v>
      </c>
    </row>
    <row r="721" spans="1:15" x14ac:dyDescent="0.2">
      <c r="A721" t="s">
        <v>245</v>
      </c>
      <c r="B721" s="3">
        <v>1</v>
      </c>
      <c r="C721" t="s">
        <v>18</v>
      </c>
      <c r="D721" t="s">
        <v>17</v>
      </c>
      <c r="F721" t="s">
        <v>19</v>
      </c>
      <c r="G721" t="s">
        <v>221</v>
      </c>
      <c r="H721" s="3" t="s">
        <v>1</v>
      </c>
      <c r="I721">
        <v>0</v>
      </c>
    </row>
    <row r="722" spans="1:15" s="4" customFormat="1" x14ac:dyDescent="0.2">
      <c r="A722" s="4" t="s">
        <v>114</v>
      </c>
      <c r="B722" s="22">
        <f>B417/10</f>
        <v>7.9555275625427255E-10</v>
      </c>
      <c r="C722" s="4" t="s">
        <v>115</v>
      </c>
      <c r="D722" s="4" t="s">
        <v>8</v>
      </c>
      <c r="F722" s="4" t="s">
        <v>23</v>
      </c>
      <c r="G722" t="s">
        <v>246</v>
      </c>
      <c r="H722" s="4" t="s">
        <v>116</v>
      </c>
      <c r="I722" s="4">
        <v>5</v>
      </c>
      <c r="J722" s="23">
        <f>B722</f>
        <v>7.9555275625427255E-10</v>
      </c>
      <c r="K722" s="7">
        <f>B417/15</f>
        <v>5.3036850416951507E-10</v>
      </c>
      <c r="L722" s="7">
        <f>B417/5</f>
        <v>1.5911055125085451E-9</v>
      </c>
      <c r="O722" s="6"/>
    </row>
    <row r="723" spans="1:15" x14ac:dyDescent="0.2">
      <c r="A723" t="s">
        <v>203</v>
      </c>
      <c r="B723" s="24">
        <f>B416/10</f>
        <v>1.9491042528173333E-9</v>
      </c>
      <c r="C723" t="s">
        <v>18</v>
      </c>
      <c r="D723" t="s">
        <v>9</v>
      </c>
      <c r="F723" t="s">
        <v>23</v>
      </c>
      <c r="G723" t="s">
        <v>246</v>
      </c>
      <c r="H723" t="s">
        <v>204</v>
      </c>
      <c r="I723">
        <v>5</v>
      </c>
      <c r="J723" s="23">
        <f>B723</f>
        <v>1.9491042528173333E-9</v>
      </c>
      <c r="K723" s="3">
        <f>B416/15</f>
        <v>1.2994028352115556E-9</v>
      </c>
      <c r="L723" s="3">
        <f>B416/5</f>
        <v>3.8982085056346665E-9</v>
      </c>
    </row>
    <row r="724" spans="1:15" x14ac:dyDescent="0.2">
      <c r="A724" s="2" t="s">
        <v>164</v>
      </c>
      <c r="B724" s="22">
        <f>1/120</f>
        <v>8.3333333333333332E-3</v>
      </c>
      <c r="C724" s="4" t="s">
        <v>18</v>
      </c>
      <c r="D724" s="4" t="s">
        <v>9</v>
      </c>
      <c r="F724" s="4" t="s">
        <v>23</v>
      </c>
      <c r="H724" s="2" t="s">
        <v>165</v>
      </c>
      <c r="I724">
        <v>0</v>
      </c>
    </row>
    <row r="725" spans="1:15" x14ac:dyDescent="0.2">
      <c r="A725" t="s">
        <v>198</v>
      </c>
      <c r="B725">
        <f>(8.1/5)/38500/(0.0753*3.6)</f>
        <v>1.5522326279298387E-4</v>
      </c>
      <c r="C725" s="2" t="s">
        <v>115</v>
      </c>
      <c r="D725" t="s">
        <v>146</v>
      </c>
      <c r="F725" t="s">
        <v>23</v>
      </c>
      <c r="H725" t="s">
        <v>199</v>
      </c>
      <c r="I725">
        <v>5</v>
      </c>
      <c r="J725" s="23">
        <f>B725</f>
        <v>1.5522326279298387E-4</v>
      </c>
      <c r="K725">
        <f>(2.4/5)/42000/(0.0753*3.6)</f>
        <v>4.2159404709205494E-5</v>
      </c>
      <c r="L725">
        <f>(16.5/5)/35000/(0.0753*3.6)</f>
        <v>3.4781508885094539E-4</v>
      </c>
    </row>
    <row r="726" spans="1:15" x14ac:dyDescent="0.2">
      <c r="B726" s="3"/>
    </row>
    <row r="727" spans="1:15" x14ac:dyDescent="0.2">
      <c r="A727" s="1" t="s">
        <v>2</v>
      </c>
      <c r="B727" s="1" t="s">
        <v>247</v>
      </c>
      <c r="C727" s="2"/>
      <c r="D727" s="2"/>
      <c r="E727" s="2"/>
      <c r="F727" s="2"/>
      <c r="G727" s="2"/>
      <c r="H727" s="2"/>
    </row>
    <row r="728" spans="1:15" x14ac:dyDescent="0.2">
      <c r="A728" s="2" t="s">
        <v>3</v>
      </c>
      <c r="B728" s="2" t="s">
        <v>18</v>
      </c>
      <c r="C728" s="2"/>
      <c r="D728" s="2"/>
      <c r="E728" s="2"/>
      <c r="F728" s="2"/>
      <c r="G728" s="2"/>
      <c r="H728" s="2"/>
      <c r="I728" s="2"/>
      <c r="J728" s="2"/>
      <c r="K728" s="2"/>
      <c r="L728" s="2"/>
    </row>
    <row r="729" spans="1:15" x14ac:dyDescent="0.2">
      <c r="A729" s="2" t="s">
        <v>4</v>
      </c>
      <c r="B729" s="2">
        <v>1</v>
      </c>
      <c r="C729" s="2"/>
      <c r="D729" s="2"/>
      <c r="E729" s="2"/>
      <c r="F729" s="2"/>
      <c r="G729" s="2"/>
      <c r="H729" s="2"/>
      <c r="I729" s="2"/>
      <c r="J729" s="2"/>
      <c r="K729" s="2"/>
      <c r="L729" s="2"/>
    </row>
    <row r="730" spans="1:15" x14ac:dyDescent="0.2">
      <c r="A730" s="2" t="s">
        <v>5</v>
      </c>
      <c r="B730" s="2" t="s">
        <v>1</v>
      </c>
      <c r="C730" s="2"/>
      <c r="D730" s="2"/>
      <c r="E730" s="2"/>
      <c r="F730" s="2"/>
      <c r="G730" s="2"/>
      <c r="H730" s="2"/>
      <c r="I730" s="2"/>
      <c r="J730" s="2"/>
    </row>
    <row r="731" spans="1:15" x14ac:dyDescent="0.2">
      <c r="A731" s="2" t="s">
        <v>6</v>
      </c>
      <c r="B731" s="2" t="s">
        <v>7</v>
      </c>
      <c r="C731" s="2"/>
      <c r="D731" s="2"/>
      <c r="E731" s="2"/>
      <c r="F731" s="2"/>
      <c r="G731" s="2"/>
      <c r="H731" s="2"/>
      <c r="I731" s="2"/>
      <c r="J731" s="2"/>
      <c r="K731" s="2"/>
      <c r="L731" s="2"/>
    </row>
    <row r="732" spans="1:15" x14ac:dyDescent="0.2">
      <c r="A732" s="2" t="s">
        <v>8</v>
      </c>
      <c r="B732" s="2" t="s">
        <v>17</v>
      </c>
      <c r="C732" s="2"/>
      <c r="D732" s="2"/>
      <c r="E732" s="2"/>
      <c r="F732" s="2"/>
      <c r="G732" s="2"/>
      <c r="H732" s="2"/>
      <c r="I732" s="2"/>
      <c r="J732" s="2"/>
      <c r="K732" s="2"/>
      <c r="L732" s="2"/>
    </row>
    <row r="733" spans="1:15" x14ac:dyDescent="0.2">
      <c r="A733" s="1" t="s">
        <v>10</v>
      </c>
      <c r="B733" s="2"/>
      <c r="C733" s="2"/>
      <c r="D733" s="2"/>
      <c r="E733" s="2"/>
      <c r="F733" s="2"/>
      <c r="G733" s="2"/>
      <c r="H733" s="2"/>
      <c r="I733" s="2"/>
      <c r="J733" s="2"/>
      <c r="K733" s="2"/>
      <c r="L733" s="2"/>
    </row>
    <row r="734" spans="1:15" x14ac:dyDescent="0.2">
      <c r="A734" s="2" t="s">
        <v>11</v>
      </c>
      <c r="B734" s="2" t="s">
        <v>12</v>
      </c>
      <c r="C734" s="2" t="s">
        <v>3</v>
      </c>
      <c r="D734" s="2" t="s">
        <v>8</v>
      </c>
      <c r="E734" s="2" t="s">
        <v>13</v>
      </c>
      <c r="F734" s="2" t="s">
        <v>6</v>
      </c>
      <c r="G734" s="2" t="s">
        <v>5</v>
      </c>
      <c r="H734" s="2"/>
      <c r="I734" s="2"/>
      <c r="J734" s="2"/>
      <c r="K734" s="2"/>
    </row>
    <row r="735" spans="1:15" x14ac:dyDescent="0.2">
      <c r="A735" s="2" t="str">
        <f>B727</f>
        <v>petrol, burned in motorcycle</v>
      </c>
      <c r="B735" s="2">
        <v>1</v>
      </c>
      <c r="C735" s="2" t="s">
        <v>18</v>
      </c>
      <c r="D735" s="2" t="str">
        <f>B732</f>
        <v>megajoule</v>
      </c>
      <c r="E735" s="2"/>
      <c r="F735" s="2" t="s">
        <v>19</v>
      </c>
      <c r="G735" s="2" t="str">
        <f>B730</f>
        <v>heat</v>
      </c>
      <c r="H735" s="2"/>
      <c r="I735" s="2"/>
      <c r="J735" s="2"/>
      <c r="K735" s="2"/>
      <c r="L735" s="2"/>
    </row>
    <row r="736" spans="1:15" x14ac:dyDescent="0.2">
      <c r="A736" t="s">
        <v>248</v>
      </c>
      <c r="B736">
        <f>1/42.6</f>
        <v>2.3474178403755867E-2</v>
      </c>
      <c r="C736" t="s">
        <v>27</v>
      </c>
      <c r="D736" t="s">
        <v>9</v>
      </c>
      <c r="F736" t="s">
        <v>23</v>
      </c>
      <c r="G736" t="s">
        <v>83</v>
      </c>
    </row>
    <row r="737" spans="1:9" x14ac:dyDescent="0.2">
      <c r="A737" t="s">
        <v>54</v>
      </c>
      <c r="B737" s="3">
        <v>7.2824413145539904E-2</v>
      </c>
      <c r="D737" t="s">
        <v>9</v>
      </c>
      <c r="E737" t="s">
        <v>14</v>
      </c>
      <c r="F737" t="s">
        <v>15</v>
      </c>
      <c r="H737" s="3"/>
      <c r="I737" s="3"/>
    </row>
    <row r="738" spans="1:9" x14ac:dyDescent="0.2">
      <c r="A738" t="s">
        <v>249</v>
      </c>
      <c r="B738" s="3">
        <v>8.8450704225352119E-4</v>
      </c>
      <c r="D738" t="s">
        <v>9</v>
      </c>
      <c r="E738" t="s">
        <v>14</v>
      </c>
      <c r="F738" t="s">
        <v>15</v>
      </c>
      <c r="H738" s="3"/>
    </row>
    <row r="739" spans="1:9" x14ac:dyDescent="0.2">
      <c r="A739" t="s">
        <v>78</v>
      </c>
      <c r="B739" s="3">
        <v>3.7558685446009391E-7</v>
      </c>
      <c r="D739" t="s">
        <v>9</v>
      </c>
      <c r="E739" t="s">
        <v>14</v>
      </c>
      <c r="F739" t="s">
        <v>15</v>
      </c>
      <c r="H739" s="3"/>
    </row>
    <row r="740" spans="1:9" x14ac:dyDescent="0.2">
      <c r="A740" t="s">
        <v>51</v>
      </c>
      <c r="B740" s="3">
        <v>7.6234099132856199E-7</v>
      </c>
      <c r="D740" t="s">
        <v>9</v>
      </c>
      <c r="E740" t="s">
        <v>14</v>
      </c>
      <c r="F740" t="s">
        <v>15</v>
      </c>
      <c r="H740" s="3"/>
    </row>
    <row r="741" spans="1:9" x14ac:dyDescent="0.2">
      <c r="A741" t="s">
        <v>66</v>
      </c>
      <c r="B741" s="3">
        <v>1.8797075715851682E-5</v>
      </c>
      <c r="D741" t="s">
        <v>9</v>
      </c>
      <c r="E741" t="s">
        <v>14</v>
      </c>
      <c r="F741" t="s">
        <v>15</v>
      </c>
      <c r="H741" s="3"/>
    </row>
    <row r="742" spans="1:9" x14ac:dyDescent="0.2">
      <c r="A742" t="s">
        <v>55</v>
      </c>
      <c r="B742" s="3">
        <v>8.3455151885463482E-5</v>
      </c>
      <c r="D742" t="s">
        <v>9</v>
      </c>
      <c r="E742" t="s">
        <v>14</v>
      </c>
      <c r="F742" t="s">
        <v>15</v>
      </c>
      <c r="H742" s="3"/>
    </row>
    <row r="743" spans="1:9" x14ac:dyDescent="0.2">
      <c r="A743" t="s">
        <v>59</v>
      </c>
      <c r="B743" s="3">
        <v>5.6532558543914833E-7</v>
      </c>
      <c r="D743" t="s">
        <v>9</v>
      </c>
      <c r="E743" t="s">
        <v>14</v>
      </c>
      <c r="F743" t="s">
        <v>15</v>
      </c>
      <c r="H743" s="3"/>
    </row>
    <row r="744" spans="1:9" x14ac:dyDescent="0.2">
      <c r="A744" t="s">
        <v>49</v>
      </c>
      <c r="B744" s="3">
        <v>5.6532558543914833E-7</v>
      </c>
      <c r="D744" t="s">
        <v>9</v>
      </c>
      <c r="E744" t="s">
        <v>14</v>
      </c>
      <c r="F744" t="s">
        <v>15</v>
      </c>
      <c r="H744" s="3"/>
    </row>
    <row r="745" spans="1:9" x14ac:dyDescent="0.2">
      <c r="A745" t="s">
        <v>70</v>
      </c>
      <c r="B745" s="3">
        <v>6.1620141012972449E-6</v>
      </c>
      <c r="D745" t="s">
        <v>9</v>
      </c>
      <c r="E745" t="s">
        <v>14</v>
      </c>
      <c r="F745" t="s">
        <v>15</v>
      </c>
      <c r="H745" s="3"/>
    </row>
    <row r="746" spans="1:9" x14ac:dyDescent="0.2">
      <c r="A746" t="s">
        <v>250</v>
      </c>
      <c r="B746" s="3">
        <v>1.4133139635978708E-6</v>
      </c>
      <c r="D746" t="s">
        <v>9</v>
      </c>
      <c r="E746" t="s">
        <v>14</v>
      </c>
      <c r="F746" t="s">
        <v>15</v>
      </c>
      <c r="H746" s="3"/>
    </row>
    <row r="747" spans="1:9" x14ac:dyDescent="0.2">
      <c r="A747" t="s">
        <v>251</v>
      </c>
      <c r="B747" s="3">
        <v>6.1476482081469075E-6</v>
      </c>
      <c r="D747" t="s">
        <v>9</v>
      </c>
      <c r="E747" t="s">
        <v>14</v>
      </c>
      <c r="F747" t="s">
        <v>15</v>
      </c>
      <c r="H747" s="3"/>
    </row>
    <row r="748" spans="1:9" x14ac:dyDescent="0.2">
      <c r="A748" t="s">
        <v>60</v>
      </c>
      <c r="B748" s="3">
        <v>4.3348801467702544E-7</v>
      </c>
      <c r="D748" t="s">
        <v>9</v>
      </c>
      <c r="E748" t="s">
        <v>14</v>
      </c>
      <c r="F748" t="s">
        <v>15</v>
      </c>
      <c r="H748" s="3"/>
    </row>
    <row r="749" spans="1:9" x14ac:dyDescent="0.2">
      <c r="A749" t="s">
        <v>74</v>
      </c>
      <c r="B749" s="3">
        <v>8.8328278852685434E-8</v>
      </c>
      <c r="D749" t="s">
        <v>9</v>
      </c>
      <c r="E749" t="s">
        <v>14</v>
      </c>
      <c r="F749" t="s">
        <v>15</v>
      </c>
      <c r="H749" s="3"/>
    </row>
    <row r="750" spans="1:9" x14ac:dyDescent="0.2">
      <c r="A750" t="s">
        <v>52</v>
      </c>
      <c r="B750" s="3">
        <v>7.1206181721241788E-7</v>
      </c>
      <c r="D750" t="s">
        <v>9</v>
      </c>
      <c r="E750" t="s">
        <v>14</v>
      </c>
      <c r="F750" t="s">
        <v>15</v>
      </c>
      <c r="H750" s="3"/>
    </row>
    <row r="751" spans="1:9" x14ac:dyDescent="0.2">
      <c r="A751" t="s">
        <v>73</v>
      </c>
      <c r="B751" s="3">
        <v>2.9216276851272876E-7</v>
      </c>
      <c r="D751" t="s">
        <v>9</v>
      </c>
      <c r="E751" t="s">
        <v>14</v>
      </c>
      <c r="F751" t="s">
        <v>15</v>
      </c>
      <c r="H751" s="3"/>
    </row>
    <row r="752" spans="1:9" x14ac:dyDescent="0.2">
      <c r="A752" t="s">
        <v>86</v>
      </c>
      <c r="B752" s="3">
        <v>2.1878235223511317E-7</v>
      </c>
      <c r="D752" t="s">
        <v>9</v>
      </c>
      <c r="E752" t="s">
        <v>14</v>
      </c>
      <c r="F752" t="s">
        <v>15</v>
      </c>
      <c r="H752" s="3"/>
    </row>
    <row r="753" spans="1:8" x14ac:dyDescent="0.2">
      <c r="A753" t="s">
        <v>252</v>
      </c>
      <c r="B753" s="3">
        <v>1.5491421214163292E-7</v>
      </c>
      <c r="D753" t="s">
        <v>9</v>
      </c>
      <c r="E753" t="s">
        <v>14</v>
      </c>
      <c r="F753" t="s">
        <v>15</v>
      </c>
      <c r="H753" s="3"/>
    </row>
    <row r="754" spans="1:8" x14ac:dyDescent="0.2">
      <c r="A754" t="s">
        <v>63</v>
      </c>
      <c r="B754" s="3">
        <v>1.0055834823228804E-7</v>
      </c>
      <c r="D754" t="s">
        <v>9</v>
      </c>
      <c r="E754" t="s">
        <v>14</v>
      </c>
      <c r="F754" t="s">
        <v>15</v>
      </c>
      <c r="H754" s="3"/>
    </row>
    <row r="755" spans="1:8" x14ac:dyDescent="0.2">
      <c r="A755" t="s">
        <v>253</v>
      </c>
      <c r="B755" s="3">
        <v>9.9199451634554413E-7</v>
      </c>
      <c r="D755" t="s">
        <v>9</v>
      </c>
      <c r="E755" t="s">
        <v>14</v>
      </c>
      <c r="F755" t="s">
        <v>15</v>
      </c>
      <c r="H755" s="3"/>
    </row>
    <row r="756" spans="1:8" x14ac:dyDescent="0.2">
      <c r="A756" t="s">
        <v>87</v>
      </c>
      <c r="B756" s="3">
        <v>5.1909850033424364E-7</v>
      </c>
      <c r="D756" t="s">
        <v>9</v>
      </c>
      <c r="E756" t="s">
        <v>14</v>
      </c>
      <c r="F756" t="s">
        <v>15</v>
      </c>
      <c r="H756" s="3"/>
    </row>
    <row r="757" spans="1:8" x14ac:dyDescent="0.2">
      <c r="A757" t="s">
        <v>84</v>
      </c>
      <c r="B757" s="3">
        <v>1.4947862575069847E-8</v>
      </c>
      <c r="D757" t="s">
        <v>9</v>
      </c>
      <c r="E757" t="s">
        <v>14</v>
      </c>
      <c r="F757" t="s">
        <v>15</v>
      </c>
      <c r="H757" s="3"/>
    </row>
    <row r="758" spans="1:8" x14ac:dyDescent="0.2">
      <c r="A758" t="s">
        <v>79</v>
      </c>
      <c r="B758" s="3">
        <v>1.4920684643115172E-6</v>
      </c>
      <c r="D758" t="s">
        <v>9</v>
      </c>
      <c r="E758" t="s">
        <v>14</v>
      </c>
      <c r="F758" t="s">
        <v>15</v>
      </c>
      <c r="H758" s="3"/>
    </row>
    <row r="759" spans="1:8" x14ac:dyDescent="0.2">
      <c r="A759" t="s">
        <v>81</v>
      </c>
      <c r="B759" s="3">
        <v>7.3788085256935697E-7</v>
      </c>
      <c r="D759" t="s">
        <v>9</v>
      </c>
      <c r="E759" t="s">
        <v>14</v>
      </c>
      <c r="F759" t="s">
        <v>15</v>
      </c>
      <c r="H759" s="3"/>
    </row>
    <row r="760" spans="1:8" x14ac:dyDescent="0.2">
      <c r="A760" t="s">
        <v>82</v>
      </c>
      <c r="B760" s="3">
        <v>3.0711063108779858E-7</v>
      </c>
      <c r="D760" t="s">
        <v>9</v>
      </c>
      <c r="E760" t="s">
        <v>14</v>
      </c>
      <c r="F760" t="s">
        <v>15</v>
      </c>
      <c r="H760" s="3"/>
    </row>
    <row r="761" spans="1:8" x14ac:dyDescent="0.2">
      <c r="A761" t="s">
        <v>62</v>
      </c>
      <c r="B761" s="3">
        <v>2.3101242161471579E-7</v>
      </c>
      <c r="D761" t="s">
        <v>9</v>
      </c>
      <c r="E761" t="s">
        <v>14</v>
      </c>
      <c r="F761" t="s">
        <v>15</v>
      </c>
      <c r="H761" s="3"/>
    </row>
    <row r="762" spans="1:8" x14ac:dyDescent="0.2">
      <c r="A762" t="s">
        <v>46</v>
      </c>
      <c r="B762" s="3">
        <v>1.0191724483002165E-7</v>
      </c>
      <c r="D762" t="s">
        <v>9</v>
      </c>
      <c r="E762" t="s">
        <v>14</v>
      </c>
      <c r="F762" t="s">
        <v>15</v>
      </c>
      <c r="H762" s="3"/>
    </row>
    <row r="763" spans="1:8" x14ac:dyDescent="0.2">
      <c r="A763" t="s">
        <v>50</v>
      </c>
      <c r="B763" s="3">
        <v>2.9895725150139694E-8</v>
      </c>
      <c r="D763" t="s">
        <v>9</v>
      </c>
      <c r="E763" t="s">
        <v>14</v>
      </c>
      <c r="F763" t="s">
        <v>15</v>
      </c>
      <c r="H763" s="3"/>
    </row>
    <row r="764" spans="1:8" x14ac:dyDescent="0.2">
      <c r="A764" t="s">
        <v>47</v>
      </c>
      <c r="B764" s="3">
        <v>8.2892692461750966E-8</v>
      </c>
      <c r="D764" t="s">
        <v>9</v>
      </c>
      <c r="E764" t="s">
        <v>14</v>
      </c>
      <c r="F764" t="s">
        <v>15</v>
      </c>
      <c r="H764" s="3"/>
    </row>
    <row r="765" spans="1:8" x14ac:dyDescent="0.2">
      <c r="A765" t="s">
        <v>67</v>
      </c>
      <c r="B765" s="3">
        <v>0</v>
      </c>
      <c r="D765" t="s">
        <v>9</v>
      </c>
      <c r="E765" t="s">
        <v>14</v>
      </c>
      <c r="F765" t="s">
        <v>15</v>
      </c>
      <c r="H765" s="3"/>
    </row>
    <row r="766" spans="1:8" x14ac:dyDescent="0.2">
      <c r="A766" t="s">
        <v>48</v>
      </c>
      <c r="B766" s="3">
        <v>2.5819035356938819E-8</v>
      </c>
      <c r="D766" t="s">
        <v>9</v>
      </c>
      <c r="E766" t="s">
        <v>14</v>
      </c>
      <c r="F766" t="s">
        <v>15</v>
      </c>
      <c r="H766" s="3"/>
    </row>
    <row r="767" spans="1:8" x14ac:dyDescent="0.2">
      <c r="A767" t="s">
        <v>77</v>
      </c>
      <c r="B767" s="3">
        <v>1.3724855637109585E-7</v>
      </c>
      <c r="D767" t="s">
        <v>9</v>
      </c>
      <c r="E767" t="s">
        <v>14</v>
      </c>
      <c r="F767" t="s">
        <v>15</v>
      </c>
      <c r="H767" s="3"/>
    </row>
    <row r="768" spans="1:8" x14ac:dyDescent="0.2">
      <c r="A768" t="s">
        <v>71</v>
      </c>
      <c r="B768" s="3">
        <v>8.1882352941176476E-10</v>
      </c>
      <c r="D768" t="s">
        <v>9</v>
      </c>
      <c r="E768" t="s">
        <v>14</v>
      </c>
      <c r="F768" t="s">
        <v>15</v>
      </c>
      <c r="H768" s="3"/>
    </row>
    <row r="769" spans="1:12" x14ac:dyDescent="0.2">
      <c r="A769" t="s">
        <v>254</v>
      </c>
      <c r="B769" s="3">
        <v>7.0588235294117658E-12</v>
      </c>
      <c r="D769" t="s">
        <v>9</v>
      </c>
      <c r="E769" t="s">
        <v>14</v>
      </c>
      <c r="F769" t="s">
        <v>15</v>
      </c>
      <c r="H769" s="3"/>
    </row>
    <row r="770" spans="1:12" x14ac:dyDescent="0.2">
      <c r="A770" t="s">
        <v>255</v>
      </c>
      <c r="B770" s="3">
        <v>4.7058823529411767E-12</v>
      </c>
      <c r="D770" t="s">
        <v>9</v>
      </c>
      <c r="E770" t="s">
        <v>14</v>
      </c>
      <c r="F770" t="s">
        <v>15</v>
      </c>
      <c r="H770" s="3"/>
    </row>
    <row r="771" spans="1:12" x14ac:dyDescent="0.2">
      <c r="A771" t="s">
        <v>256</v>
      </c>
      <c r="B771" s="3">
        <v>5.082352941176471E-8</v>
      </c>
      <c r="D771" t="s">
        <v>9</v>
      </c>
      <c r="E771" t="s">
        <v>14</v>
      </c>
      <c r="F771" t="s">
        <v>15</v>
      </c>
      <c r="H771" s="3"/>
    </row>
    <row r="772" spans="1:12" x14ac:dyDescent="0.2">
      <c r="A772" t="s">
        <v>257</v>
      </c>
      <c r="B772" s="3">
        <v>9.8823529411764698E-10</v>
      </c>
      <c r="D772" t="s">
        <v>9</v>
      </c>
      <c r="E772" t="s">
        <v>14</v>
      </c>
      <c r="F772" t="s">
        <v>15</v>
      </c>
      <c r="H772" s="3"/>
    </row>
    <row r="773" spans="1:12" x14ac:dyDescent="0.2">
      <c r="A773" t="s">
        <v>258</v>
      </c>
      <c r="B773" s="3">
        <v>3.0588235294117649E-10</v>
      </c>
      <c r="D773" t="s">
        <v>9</v>
      </c>
      <c r="E773" t="s">
        <v>14</v>
      </c>
      <c r="F773" t="s">
        <v>15</v>
      </c>
      <c r="H773" s="3"/>
    </row>
    <row r="774" spans="1:12" x14ac:dyDescent="0.2">
      <c r="A774" t="s">
        <v>259</v>
      </c>
      <c r="B774" s="3">
        <v>3.7647058823529416E-10</v>
      </c>
      <c r="D774" t="s">
        <v>9</v>
      </c>
      <c r="E774" t="s">
        <v>14</v>
      </c>
      <c r="F774" t="s">
        <v>15</v>
      </c>
      <c r="H774" s="3"/>
    </row>
    <row r="775" spans="1:12" x14ac:dyDescent="0.2">
      <c r="A775" t="s">
        <v>57</v>
      </c>
      <c r="B775" s="3">
        <v>7.5294117647058818E-13</v>
      </c>
      <c r="D775" t="s">
        <v>9</v>
      </c>
      <c r="E775" t="s">
        <v>14</v>
      </c>
      <c r="F775" t="s">
        <v>15</v>
      </c>
      <c r="H775" s="3"/>
    </row>
    <row r="776" spans="1:12" x14ac:dyDescent="0.2">
      <c r="A776" t="s">
        <v>260</v>
      </c>
      <c r="B776" s="3">
        <v>2.0470588235294119E-10</v>
      </c>
      <c r="D776" t="s">
        <v>9</v>
      </c>
      <c r="E776" t="s">
        <v>14</v>
      </c>
      <c r="F776" t="s">
        <v>15</v>
      </c>
      <c r="H776" s="3"/>
    </row>
    <row r="777" spans="1:12" x14ac:dyDescent="0.2">
      <c r="A777" t="s">
        <v>261</v>
      </c>
      <c r="B777" s="3">
        <v>2.5411764705882359E-10</v>
      </c>
      <c r="D777" t="s">
        <v>9</v>
      </c>
      <c r="E777" t="s">
        <v>14</v>
      </c>
      <c r="F777" t="s">
        <v>15</v>
      </c>
      <c r="H777" s="3"/>
    </row>
    <row r="778" spans="1:12" x14ac:dyDescent="0.2">
      <c r="B778" s="3"/>
    </row>
    <row r="779" spans="1:12" x14ac:dyDescent="0.2">
      <c r="A779" s="1" t="s">
        <v>2</v>
      </c>
      <c r="B779" s="1" t="s">
        <v>283</v>
      </c>
      <c r="C779" s="2"/>
      <c r="D779" s="2"/>
      <c r="E779" s="2"/>
      <c r="F779" s="2"/>
      <c r="G779" s="2"/>
      <c r="H779" s="2"/>
    </row>
    <row r="780" spans="1:12" x14ac:dyDescent="0.2">
      <c r="A780" s="2" t="s">
        <v>3</v>
      </c>
      <c r="B780" s="2" t="s">
        <v>18</v>
      </c>
      <c r="C780" s="2"/>
      <c r="D780" s="2"/>
      <c r="E780" s="2"/>
      <c r="F780" s="2"/>
      <c r="G780" s="2"/>
      <c r="H780" s="2"/>
      <c r="I780" s="2"/>
      <c r="J780" s="2"/>
      <c r="K780" s="2"/>
      <c r="L780" s="2"/>
    </row>
    <row r="781" spans="1:12" x14ac:dyDescent="0.2">
      <c r="A781" s="2" t="s">
        <v>4</v>
      </c>
      <c r="B781" s="2">
        <v>1</v>
      </c>
      <c r="C781" s="2"/>
      <c r="D781" s="2"/>
      <c r="E781" s="2"/>
      <c r="F781" s="2"/>
      <c r="G781" s="2"/>
      <c r="H781" s="2"/>
      <c r="I781" s="2"/>
      <c r="J781" s="2"/>
      <c r="K781" s="2"/>
      <c r="L781" s="2"/>
    </row>
    <row r="782" spans="1:12" x14ac:dyDescent="0.2">
      <c r="A782" s="2" t="s">
        <v>5</v>
      </c>
      <c r="B782" s="2" t="s">
        <v>1</v>
      </c>
      <c r="C782" s="2"/>
      <c r="D782" s="2"/>
      <c r="E782" s="2"/>
      <c r="F782" s="2"/>
      <c r="G782" s="2"/>
      <c r="H782" s="2"/>
      <c r="I782" s="2"/>
      <c r="J782" s="2"/>
    </row>
    <row r="783" spans="1:12" x14ac:dyDescent="0.2">
      <c r="A783" s="2" t="s">
        <v>6</v>
      </c>
      <c r="B783" s="2" t="s">
        <v>7</v>
      </c>
      <c r="C783" s="2"/>
      <c r="D783" s="2"/>
      <c r="E783" s="2"/>
      <c r="F783" s="2"/>
      <c r="G783" s="2"/>
      <c r="H783" s="2"/>
      <c r="I783" s="2"/>
      <c r="J783" s="2"/>
      <c r="K783" s="2"/>
      <c r="L783" s="2"/>
    </row>
    <row r="784" spans="1:12" x14ac:dyDescent="0.2">
      <c r="A784" s="2" t="s">
        <v>8</v>
      </c>
      <c r="B784" s="2" t="s">
        <v>17</v>
      </c>
      <c r="C784" s="2"/>
      <c r="D784" s="2"/>
      <c r="E784" s="2"/>
      <c r="F784" s="2"/>
      <c r="G784" s="2"/>
      <c r="H784" s="2"/>
      <c r="I784" s="2"/>
      <c r="J784" s="2"/>
      <c r="K784" s="2"/>
      <c r="L784" s="2"/>
    </row>
    <row r="785" spans="1:12" x14ac:dyDescent="0.2">
      <c r="A785" s="1" t="s">
        <v>10</v>
      </c>
      <c r="B785" s="2"/>
      <c r="C785" s="2"/>
      <c r="D785" s="2"/>
      <c r="E785" s="2"/>
      <c r="F785" s="2"/>
      <c r="G785" s="2"/>
      <c r="H785" s="2"/>
      <c r="I785" s="2"/>
      <c r="J785" s="2"/>
      <c r="K785" s="2"/>
      <c r="L785" s="2"/>
    </row>
    <row r="786" spans="1:12" x14ac:dyDescent="0.2">
      <c r="A786" s="2" t="s">
        <v>11</v>
      </c>
      <c r="B786" s="2" t="s">
        <v>12</v>
      </c>
      <c r="C786" s="2" t="s">
        <v>3</v>
      </c>
      <c r="D786" s="2" t="s">
        <v>8</v>
      </c>
      <c r="E786" s="2" t="s">
        <v>13</v>
      </c>
      <c r="F786" s="2" t="s">
        <v>6</v>
      </c>
      <c r="G786" s="2" t="s">
        <v>5</v>
      </c>
      <c r="H786" s="2"/>
      <c r="I786" s="2"/>
      <c r="J786" s="2"/>
      <c r="K786" s="2"/>
    </row>
    <row r="787" spans="1:12" x14ac:dyDescent="0.2">
      <c r="A787" s="2" t="str">
        <f>B779</f>
        <v>bioethanol, burned in motorcycle</v>
      </c>
      <c r="B787" s="2">
        <v>1</v>
      </c>
      <c r="C787" s="2" t="s">
        <v>18</v>
      </c>
      <c r="D787" s="2" t="str">
        <f>B784</f>
        <v>megajoule</v>
      </c>
      <c r="E787" s="2"/>
      <c r="F787" s="2" t="s">
        <v>19</v>
      </c>
      <c r="G787" s="2" t="str">
        <f>B782</f>
        <v>heat</v>
      </c>
      <c r="H787" s="2"/>
      <c r="I787" s="2"/>
      <c r="J787" s="2"/>
      <c r="K787" s="2"/>
      <c r="L787" s="2"/>
    </row>
    <row r="788" spans="1:12" x14ac:dyDescent="0.2">
      <c r="A788" t="s">
        <v>284</v>
      </c>
      <c r="B788">
        <f>1/28</f>
        <v>3.5714285714285712E-2</v>
      </c>
      <c r="C788" t="s">
        <v>22</v>
      </c>
      <c r="D788" t="s">
        <v>9</v>
      </c>
      <c r="F788" t="s">
        <v>23</v>
      </c>
      <c r="G788" t="s">
        <v>285</v>
      </c>
    </row>
    <row r="789" spans="1:12" x14ac:dyDescent="0.2">
      <c r="A789" t="s">
        <v>124</v>
      </c>
      <c r="B789" s="3">
        <f>B788*2.68</f>
        <v>9.571428571428571E-2</v>
      </c>
      <c r="D789" t="s">
        <v>9</v>
      </c>
      <c r="E789" t="s">
        <v>14</v>
      </c>
      <c r="F789" t="s">
        <v>15</v>
      </c>
      <c r="H789" s="3"/>
      <c r="I789" s="3"/>
    </row>
    <row r="790" spans="1:12" x14ac:dyDescent="0.2">
      <c r="A790" t="s">
        <v>249</v>
      </c>
      <c r="B790" s="3">
        <v>8.8450704225352119E-4</v>
      </c>
      <c r="D790" t="s">
        <v>9</v>
      </c>
      <c r="E790" t="s">
        <v>14</v>
      </c>
      <c r="F790" t="s">
        <v>15</v>
      </c>
      <c r="H790" s="3"/>
    </row>
    <row r="791" spans="1:12" x14ac:dyDescent="0.2">
      <c r="A791" t="s">
        <v>78</v>
      </c>
      <c r="B791" s="3">
        <v>3.7558685446009391E-7</v>
      </c>
      <c r="D791" t="s">
        <v>9</v>
      </c>
      <c r="E791" t="s">
        <v>14</v>
      </c>
      <c r="F791" t="s">
        <v>15</v>
      </c>
      <c r="H791" s="3"/>
    </row>
    <row r="792" spans="1:12" x14ac:dyDescent="0.2">
      <c r="A792" t="s">
        <v>51</v>
      </c>
      <c r="B792" s="3">
        <v>7.6234099132856199E-7</v>
      </c>
      <c r="D792" t="s">
        <v>9</v>
      </c>
      <c r="E792" t="s">
        <v>14</v>
      </c>
      <c r="F792" t="s">
        <v>15</v>
      </c>
      <c r="H792" s="3"/>
    </row>
    <row r="793" spans="1:12" x14ac:dyDescent="0.2">
      <c r="A793" t="s">
        <v>66</v>
      </c>
      <c r="B793" s="3">
        <v>1.8797075715851682E-5</v>
      </c>
      <c r="D793" t="s">
        <v>9</v>
      </c>
      <c r="E793" t="s">
        <v>14</v>
      </c>
      <c r="F793" t="s">
        <v>15</v>
      </c>
      <c r="H793" s="3"/>
    </row>
    <row r="794" spans="1:12" x14ac:dyDescent="0.2">
      <c r="A794" t="s">
        <v>125</v>
      </c>
      <c r="B794" s="3">
        <v>8.3455151885463482E-5</v>
      </c>
      <c r="D794" t="s">
        <v>9</v>
      </c>
      <c r="E794" t="s">
        <v>14</v>
      </c>
      <c r="F794" t="s">
        <v>15</v>
      </c>
      <c r="H794" s="3"/>
    </row>
    <row r="795" spans="1:12" x14ac:dyDescent="0.2">
      <c r="A795" t="s">
        <v>59</v>
      </c>
      <c r="B795" s="3">
        <v>5.6532558543914833E-7</v>
      </c>
      <c r="D795" t="s">
        <v>9</v>
      </c>
      <c r="E795" t="s">
        <v>14</v>
      </c>
      <c r="F795" t="s">
        <v>15</v>
      </c>
      <c r="H795" s="3"/>
    </row>
    <row r="796" spans="1:12" x14ac:dyDescent="0.2">
      <c r="A796" t="s">
        <v>49</v>
      </c>
      <c r="B796" s="3">
        <v>5.6532558543914833E-7</v>
      </c>
      <c r="D796" t="s">
        <v>9</v>
      </c>
      <c r="E796" t="s">
        <v>14</v>
      </c>
      <c r="F796" t="s">
        <v>15</v>
      </c>
      <c r="H796" s="3"/>
    </row>
    <row r="797" spans="1:12" x14ac:dyDescent="0.2">
      <c r="A797" t="s">
        <v>70</v>
      </c>
      <c r="B797" s="3">
        <v>6.1620141012972449E-6</v>
      </c>
      <c r="D797" t="s">
        <v>9</v>
      </c>
      <c r="E797" t="s">
        <v>14</v>
      </c>
      <c r="F797" t="s">
        <v>15</v>
      </c>
      <c r="H797" s="3"/>
    </row>
    <row r="798" spans="1:12" x14ac:dyDescent="0.2">
      <c r="A798" t="s">
        <v>250</v>
      </c>
      <c r="B798" s="3">
        <v>1.4133139635978708E-6</v>
      </c>
      <c r="D798" t="s">
        <v>9</v>
      </c>
      <c r="E798" t="s">
        <v>14</v>
      </c>
      <c r="F798" t="s">
        <v>15</v>
      </c>
      <c r="H798" s="3"/>
    </row>
    <row r="799" spans="1:12" x14ac:dyDescent="0.2">
      <c r="A799" t="s">
        <v>251</v>
      </c>
      <c r="B799" s="3">
        <v>6.1476482081469075E-6</v>
      </c>
      <c r="D799" t="s">
        <v>9</v>
      </c>
      <c r="E799" t="s">
        <v>14</v>
      </c>
      <c r="F799" t="s">
        <v>15</v>
      </c>
      <c r="H799" s="3"/>
    </row>
    <row r="800" spans="1:12" x14ac:dyDescent="0.2">
      <c r="A800" t="s">
        <v>60</v>
      </c>
      <c r="B800" s="3">
        <v>4.3348801467702544E-7</v>
      </c>
      <c r="D800" t="s">
        <v>9</v>
      </c>
      <c r="E800" t="s">
        <v>14</v>
      </c>
      <c r="F800" t="s">
        <v>15</v>
      </c>
      <c r="H800" s="3"/>
    </row>
    <row r="801" spans="1:8" x14ac:dyDescent="0.2">
      <c r="A801" t="s">
        <v>74</v>
      </c>
      <c r="B801" s="3">
        <v>8.8328278852685434E-8</v>
      </c>
      <c r="D801" t="s">
        <v>9</v>
      </c>
      <c r="E801" t="s">
        <v>14</v>
      </c>
      <c r="F801" t="s">
        <v>15</v>
      </c>
      <c r="H801" s="3"/>
    </row>
    <row r="802" spans="1:8" x14ac:dyDescent="0.2">
      <c r="A802" t="s">
        <v>52</v>
      </c>
      <c r="B802" s="3">
        <v>7.1206181721241788E-7</v>
      </c>
      <c r="D802" t="s">
        <v>9</v>
      </c>
      <c r="E802" t="s">
        <v>14</v>
      </c>
      <c r="F802" t="s">
        <v>15</v>
      </c>
      <c r="H802" s="3"/>
    </row>
    <row r="803" spans="1:8" x14ac:dyDescent="0.2">
      <c r="A803" t="s">
        <v>73</v>
      </c>
      <c r="B803" s="3">
        <v>2.9216276851272876E-7</v>
      </c>
      <c r="D803" t="s">
        <v>9</v>
      </c>
      <c r="E803" t="s">
        <v>14</v>
      </c>
      <c r="F803" t="s">
        <v>15</v>
      </c>
      <c r="H803" s="3"/>
    </row>
    <row r="804" spans="1:8" x14ac:dyDescent="0.2">
      <c r="A804" t="s">
        <v>86</v>
      </c>
      <c r="B804" s="3">
        <v>2.1878235223511317E-7</v>
      </c>
      <c r="D804" t="s">
        <v>9</v>
      </c>
      <c r="E804" t="s">
        <v>14</v>
      </c>
      <c r="F804" t="s">
        <v>15</v>
      </c>
      <c r="H804" s="3"/>
    </row>
    <row r="805" spans="1:8" x14ac:dyDescent="0.2">
      <c r="A805" t="s">
        <v>252</v>
      </c>
      <c r="B805" s="3">
        <v>1.5491421214163292E-7</v>
      </c>
      <c r="D805" t="s">
        <v>9</v>
      </c>
      <c r="E805" t="s">
        <v>14</v>
      </c>
      <c r="F805" t="s">
        <v>15</v>
      </c>
      <c r="H805" s="3"/>
    </row>
    <row r="806" spans="1:8" x14ac:dyDescent="0.2">
      <c r="A806" t="s">
        <v>63</v>
      </c>
      <c r="B806" s="3">
        <v>1.0055834823228804E-7</v>
      </c>
      <c r="D806" t="s">
        <v>9</v>
      </c>
      <c r="E806" t="s">
        <v>14</v>
      </c>
      <c r="F806" t="s">
        <v>15</v>
      </c>
      <c r="H806" s="3"/>
    </row>
    <row r="807" spans="1:8" x14ac:dyDescent="0.2">
      <c r="A807" t="s">
        <v>253</v>
      </c>
      <c r="B807" s="3">
        <v>9.9199451634554413E-7</v>
      </c>
      <c r="D807" t="s">
        <v>9</v>
      </c>
      <c r="E807" t="s">
        <v>14</v>
      </c>
      <c r="F807" t="s">
        <v>15</v>
      </c>
      <c r="H807" s="3"/>
    </row>
    <row r="808" spans="1:8" x14ac:dyDescent="0.2">
      <c r="A808" t="s">
        <v>87</v>
      </c>
      <c r="B808" s="3">
        <v>5.1909850033424364E-7</v>
      </c>
      <c r="D808" t="s">
        <v>9</v>
      </c>
      <c r="E808" t="s">
        <v>14</v>
      </c>
      <c r="F808" t="s">
        <v>15</v>
      </c>
      <c r="H808" s="3"/>
    </row>
    <row r="809" spans="1:8" x14ac:dyDescent="0.2">
      <c r="A809" t="s">
        <v>84</v>
      </c>
      <c r="B809" s="3">
        <v>1.4947862575069847E-8</v>
      </c>
      <c r="D809" t="s">
        <v>9</v>
      </c>
      <c r="E809" t="s">
        <v>14</v>
      </c>
      <c r="F809" t="s">
        <v>15</v>
      </c>
      <c r="H809" s="3"/>
    </row>
    <row r="810" spans="1:8" x14ac:dyDescent="0.2">
      <c r="A810" t="s">
        <v>79</v>
      </c>
      <c r="B810" s="3">
        <v>1.4920684643115172E-6</v>
      </c>
      <c r="D810" t="s">
        <v>9</v>
      </c>
      <c r="E810" t="s">
        <v>14</v>
      </c>
      <c r="F810" t="s">
        <v>15</v>
      </c>
      <c r="H810" s="3"/>
    </row>
    <row r="811" spans="1:8" x14ac:dyDescent="0.2">
      <c r="A811" t="s">
        <v>81</v>
      </c>
      <c r="B811" s="3">
        <v>7.3788085256935697E-7</v>
      </c>
      <c r="D811" t="s">
        <v>9</v>
      </c>
      <c r="E811" t="s">
        <v>14</v>
      </c>
      <c r="F811" t="s">
        <v>15</v>
      </c>
      <c r="H811" s="3"/>
    </row>
    <row r="812" spans="1:8" x14ac:dyDescent="0.2">
      <c r="A812" t="s">
        <v>82</v>
      </c>
      <c r="B812" s="3">
        <v>3.0711063108779858E-7</v>
      </c>
      <c r="D812" t="s">
        <v>9</v>
      </c>
      <c r="E812" t="s">
        <v>14</v>
      </c>
      <c r="F812" t="s">
        <v>15</v>
      </c>
      <c r="H812" s="3"/>
    </row>
    <row r="813" spans="1:8" x14ac:dyDescent="0.2">
      <c r="A813" t="s">
        <v>62</v>
      </c>
      <c r="B813" s="3">
        <v>2.3101242161471579E-7</v>
      </c>
      <c r="D813" t="s">
        <v>9</v>
      </c>
      <c r="E813" t="s">
        <v>14</v>
      </c>
      <c r="F813" t="s">
        <v>15</v>
      </c>
      <c r="H813" s="3"/>
    </row>
    <row r="814" spans="1:8" x14ac:dyDescent="0.2">
      <c r="A814" t="s">
        <v>46</v>
      </c>
      <c r="B814" s="3">
        <v>1.0191724483002165E-7</v>
      </c>
      <c r="D814" t="s">
        <v>9</v>
      </c>
      <c r="E814" t="s">
        <v>14</v>
      </c>
      <c r="F814" t="s">
        <v>15</v>
      </c>
      <c r="H814" s="3"/>
    </row>
    <row r="815" spans="1:8" x14ac:dyDescent="0.2">
      <c r="A815" t="s">
        <v>50</v>
      </c>
      <c r="B815" s="3">
        <v>2.9895725150139694E-8</v>
      </c>
      <c r="D815" t="s">
        <v>9</v>
      </c>
      <c r="E815" t="s">
        <v>14</v>
      </c>
      <c r="F815" t="s">
        <v>15</v>
      </c>
      <c r="H815" s="3"/>
    </row>
    <row r="816" spans="1:8" x14ac:dyDescent="0.2">
      <c r="A816" t="s">
        <v>47</v>
      </c>
      <c r="B816" s="3">
        <v>8.2892692461750966E-8</v>
      </c>
      <c r="D816" t="s">
        <v>9</v>
      </c>
      <c r="E816" t="s">
        <v>14</v>
      </c>
      <c r="F816" t="s">
        <v>15</v>
      </c>
      <c r="H816" s="3"/>
    </row>
    <row r="817" spans="1:8" x14ac:dyDescent="0.2">
      <c r="A817" t="s">
        <v>67</v>
      </c>
      <c r="B817" s="3">
        <v>0</v>
      </c>
      <c r="D817" t="s">
        <v>9</v>
      </c>
      <c r="E817" t="s">
        <v>14</v>
      </c>
      <c r="F817" t="s">
        <v>15</v>
      </c>
      <c r="H817" s="3"/>
    </row>
    <row r="818" spans="1:8" x14ac:dyDescent="0.2">
      <c r="A818" t="s">
        <v>48</v>
      </c>
      <c r="B818" s="3">
        <v>2.5819035356938819E-8</v>
      </c>
      <c r="D818" t="s">
        <v>9</v>
      </c>
      <c r="E818" t="s">
        <v>14</v>
      </c>
      <c r="F818" t="s">
        <v>15</v>
      </c>
      <c r="H818" s="3"/>
    </row>
    <row r="819" spans="1:8" x14ac:dyDescent="0.2">
      <c r="A819" t="s">
        <v>77</v>
      </c>
      <c r="B819" s="3">
        <v>1.3724855637109585E-7</v>
      </c>
      <c r="D819" t="s">
        <v>9</v>
      </c>
      <c r="E819" t="s">
        <v>14</v>
      </c>
      <c r="F819" t="s">
        <v>15</v>
      </c>
      <c r="H819" s="3"/>
    </row>
    <row r="820" spans="1:8" x14ac:dyDescent="0.2">
      <c r="A820" t="s">
        <v>71</v>
      </c>
      <c r="B820" s="3">
        <v>8.1882352941176476E-10</v>
      </c>
      <c r="D820" t="s">
        <v>9</v>
      </c>
      <c r="E820" t="s">
        <v>14</v>
      </c>
      <c r="F820" t="s">
        <v>15</v>
      </c>
      <c r="H820" s="3"/>
    </row>
    <row r="821" spans="1:8" x14ac:dyDescent="0.2">
      <c r="A821" t="s">
        <v>254</v>
      </c>
      <c r="B821" s="3">
        <v>7.0588235294117658E-12</v>
      </c>
      <c r="D821" t="s">
        <v>9</v>
      </c>
      <c r="E821" t="s">
        <v>14</v>
      </c>
      <c r="F821" t="s">
        <v>15</v>
      </c>
      <c r="H821" s="3"/>
    </row>
    <row r="822" spans="1:8" x14ac:dyDescent="0.2">
      <c r="A822" t="s">
        <v>255</v>
      </c>
      <c r="B822" s="3">
        <v>4.7058823529411767E-12</v>
      </c>
      <c r="D822" t="s">
        <v>9</v>
      </c>
      <c r="E822" t="s">
        <v>14</v>
      </c>
      <c r="F822" t="s">
        <v>15</v>
      </c>
      <c r="H822" s="3"/>
    </row>
    <row r="823" spans="1:8" x14ac:dyDescent="0.2">
      <c r="A823" t="s">
        <v>256</v>
      </c>
      <c r="B823" s="3">
        <v>5.082352941176471E-8</v>
      </c>
      <c r="D823" t="s">
        <v>9</v>
      </c>
      <c r="E823" t="s">
        <v>14</v>
      </c>
      <c r="F823" t="s">
        <v>15</v>
      </c>
      <c r="H823" s="3"/>
    </row>
    <row r="824" spans="1:8" x14ac:dyDescent="0.2">
      <c r="A824" t="s">
        <v>257</v>
      </c>
      <c r="B824" s="3">
        <v>9.8823529411764698E-10</v>
      </c>
      <c r="D824" t="s">
        <v>9</v>
      </c>
      <c r="E824" t="s">
        <v>14</v>
      </c>
      <c r="F824" t="s">
        <v>15</v>
      </c>
      <c r="H824" s="3"/>
    </row>
    <row r="825" spans="1:8" x14ac:dyDescent="0.2">
      <c r="A825" t="s">
        <v>258</v>
      </c>
      <c r="B825" s="3">
        <v>3.0588235294117649E-10</v>
      </c>
      <c r="D825" t="s">
        <v>9</v>
      </c>
      <c r="E825" t="s">
        <v>14</v>
      </c>
      <c r="F825" t="s">
        <v>15</v>
      </c>
      <c r="H825" s="3"/>
    </row>
    <row r="826" spans="1:8" x14ac:dyDescent="0.2">
      <c r="A826" t="s">
        <v>259</v>
      </c>
      <c r="B826" s="3">
        <v>3.7647058823529416E-10</v>
      </c>
      <c r="D826" t="s">
        <v>9</v>
      </c>
      <c r="E826" t="s">
        <v>14</v>
      </c>
      <c r="F826" t="s">
        <v>15</v>
      </c>
      <c r="H826" s="3"/>
    </row>
    <row r="827" spans="1:8" x14ac:dyDescent="0.2">
      <c r="A827" t="s">
        <v>57</v>
      </c>
      <c r="B827" s="3">
        <v>7.5294117647058818E-13</v>
      </c>
      <c r="D827" t="s">
        <v>9</v>
      </c>
      <c r="E827" t="s">
        <v>14</v>
      </c>
      <c r="F827" t="s">
        <v>15</v>
      </c>
      <c r="H827" s="3"/>
    </row>
    <row r="828" spans="1:8" x14ac:dyDescent="0.2">
      <c r="A828" t="s">
        <v>260</v>
      </c>
      <c r="B828" s="3">
        <v>2.0470588235294119E-10</v>
      </c>
      <c r="D828" t="s">
        <v>9</v>
      </c>
      <c r="E828" t="s">
        <v>14</v>
      </c>
      <c r="F828" t="s">
        <v>15</v>
      </c>
      <c r="H828" s="3"/>
    </row>
    <row r="829" spans="1:8" x14ac:dyDescent="0.2">
      <c r="A829" t="s">
        <v>261</v>
      </c>
      <c r="B829" s="3">
        <v>2.5411764705882359E-10</v>
      </c>
      <c r="D829" t="s">
        <v>9</v>
      </c>
      <c r="E829" t="s">
        <v>14</v>
      </c>
      <c r="F829" t="s">
        <v>15</v>
      </c>
      <c r="H829" s="3"/>
    </row>
    <row r="830" spans="1:8" x14ac:dyDescent="0.2">
      <c r="B830" s="3"/>
    </row>
    <row r="831" spans="1:8" x14ac:dyDescent="0.2">
      <c r="A831" s="1" t="s">
        <v>2</v>
      </c>
      <c r="B831" s="1" t="s">
        <v>262</v>
      </c>
    </row>
    <row r="832" spans="1:8" x14ac:dyDescent="0.2">
      <c r="A832" t="s">
        <v>3</v>
      </c>
      <c r="B832" t="s">
        <v>18</v>
      </c>
    </row>
    <row r="833" spans="1:11" x14ac:dyDescent="0.2">
      <c r="A833" t="s">
        <v>4</v>
      </c>
      <c r="B833">
        <v>1</v>
      </c>
    </row>
    <row r="834" spans="1:11" x14ac:dyDescent="0.2">
      <c r="A834" t="s">
        <v>5</v>
      </c>
      <c r="B834" t="s">
        <v>1</v>
      </c>
    </row>
    <row r="835" spans="1:11" x14ac:dyDescent="0.2">
      <c r="A835" t="s">
        <v>6</v>
      </c>
      <c r="B835" t="s">
        <v>7</v>
      </c>
    </row>
    <row r="836" spans="1:11" x14ac:dyDescent="0.2">
      <c r="A836" t="s">
        <v>8</v>
      </c>
      <c r="B836" t="s">
        <v>17</v>
      </c>
    </row>
    <row r="837" spans="1:11" x14ac:dyDescent="0.2">
      <c r="A837" t="s">
        <v>214</v>
      </c>
      <c r="B837" t="s">
        <v>215</v>
      </c>
    </row>
    <row r="838" spans="1:11" x14ac:dyDescent="0.2">
      <c r="A838" t="s">
        <v>208</v>
      </c>
      <c r="B838" t="s">
        <v>263</v>
      </c>
    </row>
    <row r="839" spans="1:11" x14ac:dyDescent="0.2">
      <c r="A839" t="s">
        <v>157</v>
      </c>
      <c r="B839" t="s">
        <v>264</v>
      </c>
    </row>
    <row r="840" spans="1:11" x14ac:dyDescent="0.2">
      <c r="A840" s="1" t="s">
        <v>10</v>
      </c>
    </row>
    <row r="841" spans="1:11" x14ac:dyDescent="0.2">
      <c r="A841" s="20" t="s">
        <v>11</v>
      </c>
      <c r="B841" s="20" t="s">
        <v>12</v>
      </c>
      <c r="C841" s="20" t="s">
        <v>3</v>
      </c>
      <c r="D841" s="20" t="s">
        <v>8</v>
      </c>
      <c r="E841" s="20" t="s">
        <v>13</v>
      </c>
      <c r="F841" s="20" t="s">
        <v>6</v>
      </c>
      <c r="G841" s="20" t="s">
        <v>5</v>
      </c>
      <c r="H841" s="20" t="s">
        <v>188</v>
      </c>
      <c r="I841" s="20" t="s">
        <v>189</v>
      </c>
      <c r="J841" s="20" t="s">
        <v>190</v>
      </c>
      <c r="K841" s="20" t="s">
        <v>191</v>
      </c>
    </row>
    <row r="842" spans="1:11" x14ac:dyDescent="0.2">
      <c r="A842" s="25" t="s">
        <v>262</v>
      </c>
      <c r="B842">
        <v>1</v>
      </c>
      <c r="C842" t="s">
        <v>18</v>
      </c>
      <c r="D842" t="s">
        <v>17</v>
      </c>
      <c r="E842" t="s">
        <v>221</v>
      </c>
      <c r="F842" t="s">
        <v>19</v>
      </c>
      <c r="G842" t="s">
        <v>1</v>
      </c>
    </row>
    <row r="843" spans="1:11" x14ac:dyDescent="0.2">
      <c r="A843" t="s">
        <v>150</v>
      </c>
      <c r="B843">
        <v>1.1278940455009136E-4</v>
      </c>
      <c r="C843" t="s">
        <v>18</v>
      </c>
      <c r="D843" t="s">
        <v>9</v>
      </c>
      <c r="E843" t="s">
        <v>221</v>
      </c>
      <c r="F843" t="s">
        <v>23</v>
      </c>
      <c r="G843" t="s">
        <v>150</v>
      </c>
      <c r="H843">
        <v>5</v>
      </c>
      <c r="I843">
        <f>B843</f>
        <v>1.1278940455009136E-4</v>
      </c>
      <c r="J843">
        <f>(1000000/1250000)*B843</f>
        <v>9.0231523640073099E-5</v>
      </c>
      <c r="K843">
        <f>(1000000/750000)*B843</f>
        <v>1.5038587273345514E-4</v>
      </c>
    </row>
    <row r="844" spans="1:11" x14ac:dyDescent="0.2">
      <c r="A844" t="s">
        <v>210</v>
      </c>
      <c r="B844">
        <v>3.8539996192328446E-6</v>
      </c>
      <c r="C844" t="s">
        <v>18</v>
      </c>
      <c r="D844" t="s">
        <v>9</v>
      </c>
      <c r="E844" t="s">
        <v>221</v>
      </c>
      <c r="F844" t="s">
        <v>23</v>
      </c>
      <c r="G844" t="s">
        <v>211</v>
      </c>
    </row>
    <row r="845" spans="1:11" x14ac:dyDescent="0.2">
      <c r="A845" t="s">
        <v>121</v>
      </c>
      <c r="B845">
        <f>1/43</f>
        <v>2.3255813953488372E-2</v>
      </c>
      <c r="C845" t="s">
        <v>273</v>
      </c>
      <c r="D845" t="s">
        <v>9</v>
      </c>
      <c r="F845" t="s">
        <v>23</v>
      </c>
      <c r="G845" t="s">
        <v>45</v>
      </c>
    </row>
    <row r="846" spans="1:11" x14ac:dyDescent="0.2">
      <c r="A846" t="s">
        <v>60</v>
      </c>
      <c r="B846">
        <v>1.1906151495612746E-9</v>
      </c>
      <c r="D846" t="s">
        <v>9</v>
      </c>
      <c r="E846" t="s">
        <v>14</v>
      </c>
      <c r="F846" t="s">
        <v>15</v>
      </c>
    </row>
    <row r="847" spans="1:11" x14ac:dyDescent="0.2">
      <c r="A847" t="s">
        <v>265</v>
      </c>
      <c r="B847">
        <v>8.8352086295850824E-8</v>
      </c>
      <c r="D847" t="s">
        <v>9</v>
      </c>
      <c r="E847" t="s">
        <v>118</v>
      </c>
      <c r="F847" t="s">
        <v>15</v>
      </c>
    </row>
    <row r="848" spans="1:11" x14ac:dyDescent="0.2">
      <c r="A848" t="s">
        <v>81</v>
      </c>
      <c r="B848">
        <v>3.8893428219001639E-8</v>
      </c>
      <c r="D848" t="s">
        <v>9</v>
      </c>
      <c r="E848" t="s">
        <v>14</v>
      </c>
      <c r="F848" t="s">
        <v>15</v>
      </c>
    </row>
    <row r="849" spans="1:6" x14ac:dyDescent="0.2">
      <c r="A849" t="s">
        <v>50</v>
      </c>
      <c r="B849">
        <v>5.4371425163298209E-8</v>
      </c>
      <c r="D849" t="s">
        <v>9</v>
      </c>
      <c r="E849" t="s">
        <v>14</v>
      </c>
      <c r="F849" t="s">
        <v>15</v>
      </c>
    </row>
    <row r="850" spans="1:6" x14ac:dyDescent="0.2">
      <c r="A850" t="s">
        <v>49</v>
      </c>
      <c r="B850">
        <v>1.240062968043404E-6</v>
      </c>
      <c r="D850" t="s">
        <v>9</v>
      </c>
      <c r="E850" t="s">
        <v>14</v>
      </c>
      <c r="F850" t="s">
        <v>15</v>
      </c>
    </row>
    <row r="851" spans="1:6" x14ac:dyDescent="0.2">
      <c r="A851" t="s">
        <v>48</v>
      </c>
      <c r="B851">
        <v>7.024629382411521E-8</v>
      </c>
      <c r="D851" t="s">
        <v>9</v>
      </c>
      <c r="E851" t="s">
        <v>14</v>
      </c>
      <c r="F851" t="s">
        <v>15</v>
      </c>
    </row>
    <row r="852" spans="1:6" x14ac:dyDescent="0.2">
      <c r="A852" t="s">
        <v>78</v>
      </c>
      <c r="B852">
        <v>4.6511627906976743E-7</v>
      </c>
      <c r="D852" t="s">
        <v>9</v>
      </c>
      <c r="E852" t="s">
        <v>118</v>
      </c>
      <c r="F852" t="s">
        <v>15</v>
      </c>
    </row>
    <row r="853" spans="1:6" x14ac:dyDescent="0.2">
      <c r="A853" t="s">
        <v>66</v>
      </c>
      <c r="B853">
        <v>7.9664689206792323E-8</v>
      </c>
      <c r="D853" t="s">
        <v>9</v>
      </c>
      <c r="E853" t="s">
        <v>14</v>
      </c>
      <c r="F853" t="s">
        <v>15</v>
      </c>
    </row>
    <row r="854" spans="1:6" x14ac:dyDescent="0.2">
      <c r="A854" t="s">
        <v>77</v>
      </c>
      <c r="B854">
        <v>2.2224816125143791E-8</v>
      </c>
      <c r="D854" t="s">
        <v>9</v>
      </c>
      <c r="E854" t="s">
        <v>14</v>
      </c>
      <c r="F854" t="s">
        <v>15</v>
      </c>
    </row>
    <row r="855" spans="1:6" x14ac:dyDescent="0.2">
      <c r="A855" t="s">
        <v>59</v>
      </c>
      <c r="B855">
        <v>3.9687171652042503E-6</v>
      </c>
      <c r="D855" t="s">
        <v>9</v>
      </c>
      <c r="E855" t="s">
        <v>14</v>
      </c>
      <c r="F855" t="s">
        <v>15</v>
      </c>
    </row>
    <row r="856" spans="1:6" x14ac:dyDescent="0.2">
      <c r="A856" t="s">
        <v>251</v>
      </c>
      <c r="B856">
        <v>2.6338739709305827E-6</v>
      </c>
      <c r="D856" t="s">
        <v>9</v>
      </c>
      <c r="E856" t="s">
        <v>14</v>
      </c>
      <c r="F856" t="s">
        <v>15</v>
      </c>
    </row>
    <row r="857" spans="1:6" x14ac:dyDescent="0.2">
      <c r="A857" t="s">
        <v>62</v>
      </c>
      <c r="B857">
        <v>3.3337224187715699E-7</v>
      </c>
      <c r="D857" t="s">
        <v>9</v>
      </c>
      <c r="E857" t="s">
        <v>14</v>
      </c>
      <c r="F857" t="s">
        <v>15</v>
      </c>
    </row>
    <row r="858" spans="1:6" x14ac:dyDescent="0.2">
      <c r="A858" t="s">
        <v>260</v>
      </c>
      <c r="B858">
        <v>1.229967209887436E-10</v>
      </c>
      <c r="D858" t="s">
        <v>9</v>
      </c>
      <c r="E858" t="s">
        <v>14</v>
      </c>
      <c r="F858" t="s">
        <v>15</v>
      </c>
    </row>
    <row r="859" spans="1:6" x14ac:dyDescent="0.2">
      <c r="A859" t="s">
        <v>258</v>
      </c>
      <c r="B859">
        <v>2.0499453498123931E-10</v>
      </c>
      <c r="D859" t="s">
        <v>9</v>
      </c>
      <c r="E859" t="s">
        <v>14</v>
      </c>
      <c r="F859" t="s">
        <v>15</v>
      </c>
    </row>
    <row r="860" spans="1:6" x14ac:dyDescent="0.2">
      <c r="A860" t="s">
        <v>250</v>
      </c>
      <c r="B860">
        <v>1.9486966093412831E-6</v>
      </c>
      <c r="D860" t="s">
        <v>9</v>
      </c>
      <c r="E860" t="s">
        <v>14</v>
      </c>
      <c r="F860" t="s">
        <v>15</v>
      </c>
    </row>
    <row r="861" spans="1:6" x14ac:dyDescent="0.2">
      <c r="A861" t="s">
        <v>54</v>
      </c>
      <c r="B861">
        <v>7.3255813953488347E-2</v>
      </c>
      <c r="D861" t="s">
        <v>9</v>
      </c>
      <c r="E861" t="s">
        <v>118</v>
      </c>
      <c r="F861" t="s">
        <v>15</v>
      </c>
    </row>
    <row r="862" spans="1:6" x14ac:dyDescent="0.2">
      <c r="A862" t="s">
        <v>254</v>
      </c>
      <c r="B862">
        <v>2.3299378853965246E-12</v>
      </c>
      <c r="D862" t="s">
        <v>9</v>
      </c>
      <c r="E862" t="s">
        <v>14</v>
      </c>
      <c r="F862" t="s">
        <v>15</v>
      </c>
    </row>
    <row r="863" spans="1:6" x14ac:dyDescent="0.2">
      <c r="A863" t="s">
        <v>70</v>
      </c>
      <c r="B863">
        <v>2.0473256420043789E-4</v>
      </c>
      <c r="D863" t="s">
        <v>9</v>
      </c>
      <c r="E863" t="s">
        <v>14</v>
      </c>
      <c r="F863" t="s">
        <v>15</v>
      </c>
    </row>
    <row r="864" spans="1:6" x14ac:dyDescent="0.2">
      <c r="A864" t="s">
        <v>261</v>
      </c>
      <c r="B864">
        <v>2.0199461495712361E-10</v>
      </c>
      <c r="D864" t="s">
        <v>9</v>
      </c>
      <c r="E864" t="s">
        <v>14</v>
      </c>
      <c r="F864" t="s">
        <v>15</v>
      </c>
    </row>
    <row r="865" spans="1:6" x14ac:dyDescent="0.2">
      <c r="A865" t="s">
        <v>82</v>
      </c>
      <c r="B865">
        <v>1.5874868660816998E-8</v>
      </c>
      <c r="D865" t="s">
        <v>9</v>
      </c>
      <c r="E865" t="s">
        <v>14</v>
      </c>
      <c r="F865" t="s">
        <v>15</v>
      </c>
    </row>
    <row r="866" spans="1:6" x14ac:dyDescent="0.2">
      <c r="A866" t="s">
        <v>57</v>
      </c>
      <c r="B866">
        <v>1.3999626779206586E-12</v>
      </c>
      <c r="D866" t="s">
        <v>9</v>
      </c>
      <c r="E866" t="s">
        <v>14</v>
      </c>
      <c r="F866" t="s">
        <v>15</v>
      </c>
    </row>
    <row r="867" spans="1:6" x14ac:dyDescent="0.2">
      <c r="A867" t="s">
        <v>266</v>
      </c>
      <c r="B867">
        <v>3.3193620217056908E-6</v>
      </c>
      <c r="D867" t="s">
        <v>9</v>
      </c>
      <c r="E867" t="s">
        <v>14</v>
      </c>
      <c r="F867" t="s">
        <v>15</v>
      </c>
    </row>
    <row r="868" spans="1:6" x14ac:dyDescent="0.2">
      <c r="A868" t="s">
        <v>73</v>
      </c>
      <c r="B868">
        <v>2.3812302991225493E-9</v>
      </c>
      <c r="D868" t="s">
        <v>9</v>
      </c>
      <c r="E868" t="s">
        <v>14</v>
      </c>
      <c r="F868" t="s">
        <v>15</v>
      </c>
    </row>
    <row r="869" spans="1:6" x14ac:dyDescent="0.2">
      <c r="A869" t="s">
        <v>255</v>
      </c>
      <c r="B869">
        <v>2.3299378853965246E-12</v>
      </c>
      <c r="D869" t="s">
        <v>9</v>
      </c>
      <c r="E869" t="s">
        <v>14</v>
      </c>
      <c r="F869" t="s">
        <v>15</v>
      </c>
    </row>
    <row r="870" spans="1:6" x14ac:dyDescent="0.2">
      <c r="A870" t="s">
        <v>79</v>
      </c>
      <c r="B870">
        <v>3.968717165204249E-10</v>
      </c>
      <c r="D870" t="s">
        <v>9</v>
      </c>
      <c r="E870" t="s">
        <v>14</v>
      </c>
      <c r="F870" t="s">
        <v>15</v>
      </c>
    </row>
    <row r="871" spans="1:6" x14ac:dyDescent="0.2">
      <c r="A871" t="s">
        <v>63</v>
      </c>
      <c r="B871">
        <v>1.1906151495612748E-8</v>
      </c>
      <c r="D871" t="s">
        <v>9</v>
      </c>
      <c r="E871" t="s">
        <v>14</v>
      </c>
      <c r="F871" t="s">
        <v>15</v>
      </c>
    </row>
    <row r="872" spans="1:6" x14ac:dyDescent="0.2">
      <c r="A872" t="s">
        <v>52</v>
      </c>
      <c r="B872">
        <v>5.9530757478063763E-9</v>
      </c>
      <c r="D872" t="s">
        <v>9</v>
      </c>
      <c r="E872" t="s">
        <v>14</v>
      </c>
      <c r="F872" t="s">
        <v>15</v>
      </c>
    </row>
    <row r="873" spans="1:6" x14ac:dyDescent="0.2">
      <c r="A873" t="s">
        <v>55</v>
      </c>
      <c r="B873">
        <v>2.879508180308284E-5</v>
      </c>
      <c r="D873" t="s">
        <v>9</v>
      </c>
      <c r="E873" t="s">
        <v>14</v>
      </c>
      <c r="F873" t="s">
        <v>15</v>
      </c>
    </row>
    <row r="874" spans="1:6" x14ac:dyDescent="0.2">
      <c r="A874" t="s">
        <v>256</v>
      </c>
      <c r="B874">
        <v>4.0498920325561916E-8</v>
      </c>
      <c r="D874" t="s">
        <v>9</v>
      </c>
      <c r="E874" t="s">
        <v>14</v>
      </c>
      <c r="F874" t="s">
        <v>15</v>
      </c>
    </row>
    <row r="875" spans="1:6" x14ac:dyDescent="0.2">
      <c r="A875" t="s">
        <v>51</v>
      </c>
      <c r="B875">
        <v>5.543334554775583E-8</v>
      </c>
      <c r="D875" t="s">
        <v>9</v>
      </c>
      <c r="E875" t="s">
        <v>14</v>
      </c>
      <c r="F875" t="s">
        <v>15</v>
      </c>
    </row>
    <row r="876" spans="1:6" x14ac:dyDescent="0.2">
      <c r="A876" t="s">
        <v>74</v>
      </c>
      <c r="B876">
        <v>3.9687171652042487E-9</v>
      </c>
      <c r="D876" t="s">
        <v>9</v>
      </c>
      <c r="E876" t="s">
        <v>14</v>
      </c>
      <c r="F876" t="s">
        <v>15</v>
      </c>
    </row>
    <row r="877" spans="1:6" x14ac:dyDescent="0.2">
      <c r="A877" t="s">
        <v>259</v>
      </c>
      <c r="B877">
        <v>6.9798139227758525E-10</v>
      </c>
      <c r="D877" t="s">
        <v>9</v>
      </c>
      <c r="E877" t="s">
        <v>14</v>
      </c>
      <c r="F877" t="s">
        <v>15</v>
      </c>
    </row>
    <row r="878" spans="1:6" x14ac:dyDescent="0.2">
      <c r="A878" t="s">
        <v>71</v>
      </c>
      <c r="B878">
        <v>1.8199514812968563E-9</v>
      </c>
      <c r="D878" t="s">
        <v>9</v>
      </c>
      <c r="E878" t="s">
        <v>14</v>
      </c>
      <c r="F878" t="s">
        <v>15</v>
      </c>
    </row>
    <row r="879" spans="1:6" x14ac:dyDescent="0.2">
      <c r="A879" t="s">
        <v>257</v>
      </c>
      <c r="B879">
        <v>4.9298685729634615E-10</v>
      </c>
      <c r="D879" t="s">
        <v>9</v>
      </c>
      <c r="E879" t="s">
        <v>14</v>
      </c>
      <c r="F879" t="s">
        <v>15</v>
      </c>
    </row>
    <row r="880" spans="1:6" x14ac:dyDescent="0.2">
      <c r="A880" t="s">
        <v>46</v>
      </c>
      <c r="B880">
        <v>1.8137037444983413E-7</v>
      </c>
      <c r="D880" t="s">
        <v>9</v>
      </c>
      <c r="E880" t="s">
        <v>14</v>
      </c>
      <c r="F880" t="s">
        <v>15</v>
      </c>
    </row>
    <row r="881" spans="1:11" x14ac:dyDescent="0.2">
      <c r="B881" s="3"/>
    </row>
    <row r="882" spans="1:11" x14ac:dyDescent="0.2">
      <c r="B882" s="3"/>
    </row>
    <row r="883" spans="1:11" x14ac:dyDescent="0.2">
      <c r="A883" s="1" t="s">
        <v>2</v>
      </c>
      <c r="B883" s="1" t="s">
        <v>267</v>
      </c>
    </row>
    <row r="884" spans="1:11" x14ac:dyDescent="0.2">
      <c r="A884" t="s">
        <v>3</v>
      </c>
      <c r="B884" t="s">
        <v>18</v>
      </c>
    </row>
    <row r="885" spans="1:11" x14ac:dyDescent="0.2">
      <c r="A885" t="s">
        <v>4</v>
      </c>
      <c r="B885">
        <v>1</v>
      </c>
    </row>
    <row r="886" spans="1:11" x14ac:dyDescent="0.2">
      <c r="A886" t="s">
        <v>5</v>
      </c>
      <c r="B886" t="s">
        <v>147</v>
      </c>
    </row>
    <row r="887" spans="1:11" x14ac:dyDescent="0.2">
      <c r="A887" t="s">
        <v>6</v>
      </c>
      <c r="B887" t="s">
        <v>7</v>
      </c>
    </row>
    <row r="888" spans="1:11" x14ac:dyDescent="0.2">
      <c r="A888" t="s">
        <v>8</v>
      </c>
      <c r="B888" t="s">
        <v>17</v>
      </c>
    </row>
    <row r="889" spans="1:11" x14ac:dyDescent="0.2">
      <c r="A889" t="s">
        <v>214</v>
      </c>
      <c r="B889" t="s">
        <v>215</v>
      </c>
    </row>
    <row r="890" spans="1:11" x14ac:dyDescent="0.2">
      <c r="A890" t="s">
        <v>208</v>
      </c>
      <c r="B890" t="s">
        <v>263</v>
      </c>
    </row>
    <row r="891" spans="1:11" x14ac:dyDescent="0.2">
      <c r="A891" t="s">
        <v>157</v>
      </c>
      <c r="B891" t="s">
        <v>268</v>
      </c>
    </row>
    <row r="892" spans="1:11" x14ac:dyDescent="0.2">
      <c r="A892" s="1" t="s">
        <v>10</v>
      </c>
    </row>
    <row r="893" spans="1:11" x14ac:dyDescent="0.2">
      <c r="A893" t="s">
        <v>11</v>
      </c>
      <c r="B893" t="s">
        <v>12</v>
      </c>
      <c r="C893" t="s">
        <v>3</v>
      </c>
      <c r="D893" t="s">
        <v>8</v>
      </c>
      <c r="E893" t="s">
        <v>13</v>
      </c>
      <c r="F893" t="s">
        <v>6</v>
      </c>
      <c r="G893" t="s">
        <v>5</v>
      </c>
      <c r="H893" t="s">
        <v>188</v>
      </c>
      <c r="I893" t="s">
        <v>189</v>
      </c>
      <c r="J893" t="s">
        <v>190</v>
      </c>
      <c r="K893" t="s">
        <v>191</v>
      </c>
    </row>
    <row r="894" spans="1:11" x14ac:dyDescent="0.2">
      <c r="A894" s="25" t="s">
        <v>267</v>
      </c>
      <c r="B894">
        <v>1</v>
      </c>
      <c r="C894" t="s">
        <v>18</v>
      </c>
      <c r="D894" t="s">
        <v>17</v>
      </c>
      <c r="E894" t="s">
        <v>221</v>
      </c>
      <c r="F894" t="s">
        <v>19</v>
      </c>
      <c r="G894" t="s">
        <v>147</v>
      </c>
      <c r="H894">
        <v>0</v>
      </c>
    </row>
    <row r="895" spans="1:11" x14ac:dyDescent="0.2">
      <c r="A895" t="s">
        <v>145</v>
      </c>
      <c r="B895">
        <f>1/3.6</f>
        <v>0.27777777777777779</v>
      </c>
      <c r="C895" t="s">
        <v>18</v>
      </c>
      <c r="D895" t="s">
        <v>146</v>
      </c>
      <c r="F895" t="s">
        <v>23</v>
      </c>
      <c r="H895" t="s">
        <v>147</v>
      </c>
      <c r="I895">
        <v>0</v>
      </c>
    </row>
    <row r="896" spans="1:11" x14ac:dyDescent="0.2">
      <c r="A896" t="s">
        <v>196</v>
      </c>
      <c r="B896">
        <v>1.0342946239951181E-6</v>
      </c>
      <c r="C896" t="s">
        <v>115</v>
      </c>
      <c r="D896" t="s">
        <v>9</v>
      </c>
      <c r="E896" t="s">
        <v>221</v>
      </c>
      <c r="F896" t="s">
        <v>23</v>
      </c>
      <c r="G896" t="s">
        <v>197</v>
      </c>
      <c r="H896">
        <v>5</v>
      </c>
      <c r="I896">
        <f>B896</f>
        <v>1.0342946239951181E-6</v>
      </c>
      <c r="J896">
        <f>(1000000/1250000)*B896</f>
        <v>8.274356991960945E-7</v>
      </c>
      <c r="K896">
        <f>(1000000/750000)*B896</f>
        <v>1.3790594986601575E-6</v>
      </c>
    </row>
    <row r="897" spans="1:11" x14ac:dyDescent="0.2">
      <c r="A897" t="s">
        <v>192</v>
      </c>
      <c r="B897">
        <v>6.4643413999694885E-6</v>
      </c>
      <c r="C897" t="s">
        <v>115</v>
      </c>
      <c r="D897" t="s">
        <v>9</v>
      </c>
      <c r="E897" t="s">
        <v>221</v>
      </c>
      <c r="F897" t="s">
        <v>23</v>
      </c>
      <c r="G897" t="s">
        <v>193</v>
      </c>
      <c r="H897">
        <v>5</v>
      </c>
      <c r="I897">
        <f>B897</f>
        <v>6.4643413999694885E-6</v>
      </c>
      <c r="J897">
        <f>(1000000/1250000)*B897</f>
        <v>5.1714731199755913E-6</v>
      </c>
      <c r="K897">
        <f>(1000000/750000)*B897</f>
        <v>8.6191218666259841E-6</v>
      </c>
    </row>
    <row r="898" spans="1:11" x14ac:dyDescent="0.2">
      <c r="A898" t="s">
        <v>194</v>
      </c>
      <c r="B898">
        <v>7.7322091721143572E-6</v>
      </c>
      <c r="C898" t="s">
        <v>115</v>
      </c>
      <c r="D898" t="s">
        <v>9</v>
      </c>
      <c r="E898" t="s">
        <v>221</v>
      </c>
      <c r="F898" t="s">
        <v>23</v>
      </c>
      <c r="G898" t="s">
        <v>195</v>
      </c>
      <c r="H898">
        <v>5</v>
      </c>
      <c r="I898">
        <f>B898</f>
        <v>7.7322091721143572E-6</v>
      </c>
      <c r="J898">
        <f>(1000000/1250000)*B898</f>
        <v>6.1857673376914861E-6</v>
      </c>
      <c r="K898">
        <f>(1000000/750000)*B898</f>
        <v>1.030961222948581E-5</v>
      </c>
    </row>
    <row r="899" spans="1:11" x14ac:dyDescent="0.2">
      <c r="A899" t="s">
        <v>151</v>
      </c>
      <c r="B899">
        <v>1.5514419359926774E-4</v>
      </c>
      <c r="C899" t="s">
        <v>115</v>
      </c>
      <c r="D899" t="s">
        <v>9</v>
      </c>
      <c r="E899" t="s">
        <v>221</v>
      </c>
      <c r="F899" t="s">
        <v>23</v>
      </c>
      <c r="G899" t="s">
        <v>152</v>
      </c>
      <c r="H899">
        <v>5</v>
      </c>
      <c r="I899">
        <f>B899</f>
        <v>1.5514419359926774E-4</v>
      </c>
      <c r="J899">
        <f>(1000000/1250000)*B899</f>
        <v>1.2411535487941419E-4</v>
      </c>
      <c r="K899">
        <f>(1000000/750000)*B899</f>
        <v>2.0685892479902363E-4</v>
      </c>
    </row>
    <row r="900" spans="1:11" x14ac:dyDescent="0.2">
      <c r="A900" t="s">
        <v>198</v>
      </c>
      <c r="B900">
        <f>283/710000/5.45</f>
        <v>7.3136064090967829E-5</v>
      </c>
      <c r="C900" s="2" t="s">
        <v>115</v>
      </c>
      <c r="D900" t="s">
        <v>146</v>
      </c>
      <c r="F900" t="s">
        <v>23</v>
      </c>
      <c r="G900" t="s">
        <v>199</v>
      </c>
      <c r="H900">
        <v>5</v>
      </c>
      <c r="I900">
        <f>B900</f>
        <v>7.3136064090967829E-5</v>
      </c>
      <c r="J900">
        <f>160/710000/5.45</f>
        <v>4.1349011500193823E-5</v>
      </c>
      <c r="K900">
        <f>450/710000/5.45</f>
        <v>1.1629409484429512E-4</v>
      </c>
    </row>
    <row r="902" spans="1:11" x14ac:dyDescent="0.2">
      <c r="A902" s="1" t="s">
        <v>2</v>
      </c>
      <c r="B902" s="1" t="s">
        <v>269</v>
      </c>
    </row>
    <row r="903" spans="1:11" x14ac:dyDescent="0.2">
      <c r="A903" t="s">
        <v>3</v>
      </c>
      <c r="B903" t="s">
        <v>18</v>
      </c>
    </row>
    <row r="904" spans="1:11" x14ac:dyDescent="0.2">
      <c r="A904" t="s">
        <v>4</v>
      </c>
      <c r="B904">
        <v>1</v>
      </c>
    </row>
    <row r="905" spans="1:11" x14ac:dyDescent="0.2">
      <c r="A905" t="s">
        <v>5</v>
      </c>
      <c r="B905" t="s">
        <v>1</v>
      </c>
    </row>
    <row r="906" spans="1:11" x14ac:dyDescent="0.2">
      <c r="A906" t="s">
        <v>6</v>
      </c>
      <c r="B906" t="s">
        <v>7</v>
      </c>
    </row>
    <row r="907" spans="1:11" x14ac:dyDescent="0.2">
      <c r="A907" t="s">
        <v>8</v>
      </c>
      <c r="B907" t="s">
        <v>17</v>
      </c>
    </row>
    <row r="908" spans="1:11" x14ac:dyDescent="0.2">
      <c r="A908" t="s">
        <v>214</v>
      </c>
      <c r="B908" t="s">
        <v>215</v>
      </c>
    </row>
    <row r="909" spans="1:11" x14ac:dyDescent="0.2">
      <c r="A909" t="s">
        <v>208</v>
      </c>
      <c r="B909" t="s">
        <v>263</v>
      </c>
    </row>
    <row r="910" spans="1:11" x14ac:dyDescent="0.2">
      <c r="A910" t="s">
        <v>157</v>
      </c>
      <c r="B910" t="s">
        <v>270</v>
      </c>
    </row>
    <row r="911" spans="1:11" x14ac:dyDescent="0.2">
      <c r="A911" s="1" t="s">
        <v>10</v>
      </c>
    </row>
    <row r="912" spans="1:11" x14ac:dyDescent="0.2">
      <c r="A912" t="s">
        <v>11</v>
      </c>
      <c r="B912" t="s">
        <v>12</v>
      </c>
      <c r="C912" t="s">
        <v>3</v>
      </c>
      <c r="D912" t="s">
        <v>8</v>
      </c>
      <c r="E912" t="s">
        <v>13</v>
      </c>
      <c r="F912" t="s">
        <v>6</v>
      </c>
      <c r="G912" t="s">
        <v>5</v>
      </c>
      <c r="H912" t="s">
        <v>188</v>
      </c>
      <c r="I912" t="s">
        <v>189</v>
      </c>
      <c r="J912" t="s">
        <v>190</v>
      </c>
      <c r="K912" t="s">
        <v>191</v>
      </c>
    </row>
    <row r="913" spans="1:11" x14ac:dyDescent="0.2">
      <c r="A913" s="25" t="s">
        <v>269</v>
      </c>
      <c r="B913">
        <v>1</v>
      </c>
      <c r="C913" t="s">
        <v>18</v>
      </c>
      <c r="D913" t="s">
        <v>17</v>
      </c>
      <c r="E913" t="s">
        <v>221</v>
      </c>
      <c r="F913" t="s">
        <v>19</v>
      </c>
      <c r="G913" t="s">
        <v>1</v>
      </c>
      <c r="H913">
        <v>0</v>
      </c>
    </row>
    <row r="914" spans="1:11" x14ac:dyDescent="0.2">
      <c r="A914" s="2" t="s">
        <v>164</v>
      </c>
      <c r="B914" s="22">
        <f>1/120</f>
        <v>8.3333333333333332E-3</v>
      </c>
      <c r="C914" s="4" t="s">
        <v>18</v>
      </c>
      <c r="D914" s="4" t="s">
        <v>9</v>
      </c>
      <c r="F914" s="4" t="s">
        <v>23</v>
      </c>
      <c r="G914" s="2" t="s">
        <v>165</v>
      </c>
      <c r="H914">
        <v>0</v>
      </c>
    </row>
    <row r="915" spans="1:11" x14ac:dyDescent="0.2">
      <c r="A915" t="s">
        <v>196</v>
      </c>
      <c r="B915">
        <v>5.1450254035629309E-7</v>
      </c>
      <c r="C915" t="s">
        <v>115</v>
      </c>
      <c r="D915" t="s">
        <v>9</v>
      </c>
      <c r="F915" t="s">
        <v>23</v>
      </c>
      <c r="G915" t="s">
        <v>197</v>
      </c>
      <c r="H915">
        <v>5</v>
      </c>
      <c r="I915">
        <f>B915</f>
        <v>5.1450254035629309E-7</v>
      </c>
      <c r="J915">
        <f>(1000000/1250000)*B915</f>
        <v>4.1160203228503449E-7</v>
      </c>
      <c r="K915">
        <f>(1000000/750000)*B915</f>
        <v>6.8600338714172405E-7</v>
      </c>
    </row>
    <row r="916" spans="1:11" x14ac:dyDescent="0.2">
      <c r="A916" t="s">
        <v>192</v>
      </c>
      <c r="B916">
        <v>3.2156408772268317E-6</v>
      </c>
      <c r="C916" t="s">
        <v>115</v>
      </c>
      <c r="D916" t="s">
        <v>9</v>
      </c>
      <c r="F916" t="s">
        <v>23</v>
      </c>
      <c r="G916" t="s">
        <v>193</v>
      </c>
      <c r="H916">
        <v>5</v>
      </c>
      <c r="I916">
        <f>B916</f>
        <v>3.2156408772268317E-6</v>
      </c>
      <c r="J916">
        <f>(1000000/1250000)*B916</f>
        <v>2.5725127017814656E-6</v>
      </c>
      <c r="K916">
        <f>(1000000/750000)*B916</f>
        <v>4.2875211696357754E-6</v>
      </c>
    </row>
    <row r="917" spans="1:11" x14ac:dyDescent="0.2">
      <c r="A917" t="s">
        <v>194</v>
      </c>
      <c r="B917">
        <v>2.4884703939932923E-6</v>
      </c>
      <c r="C917" t="s">
        <v>115</v>
      </c>
      <c r="D917" t="s">
        <v>9</v>
      </c>
      <c r="F917" t="s">
        <v>23</v>
      </c>
      <c r="G917" t="s">
        <v>195</v>
      </c>
      <c r="H917">
        <v>5</v>
      </c>
      <c r="I917">
        <f>B917</f>
        <v>2.4884703939932923E-6</v>
      </c>
      <c r="J917">
        <f>(1000000/1250000)*B917</f>
        <v>1.990776315194634E-6</v>
      </c>
      <c r="K917">
        <f>(1000000/750000)*B917</f>
        <v>3.3179605253243896E-6</v>
      </c>
    </row>
    <row r="918" spans="1:11" x14ac:dyDescent="0.2">
      <c r="A918" t="s">
        <v>203</v>
      </c>
      <c r="B918">
        <f>802/1000000/10.95</f>
        <v>7.3242009132420095E-5</v>
      </c>
      <c r="C918" t="s">
        <v>18</v>
      </c>
      <c r="D918" t="s">
        <v>9</v>
      </c>
      <c r="F918" t="s">
        <v>23</v>
      </c>
      <c r="G918" t="s">
        <v>204</v>
      </c>
      <c r="H918">
        <v>5</v>
      </c>
      <c r="I918">
        <f>B918</f>
        <v>7.3242009132420095E-5</v>
      </c>
      <c r="J918">
        <f>362/1000000/10.95</f>
        <v>3.3059360730593613E-5</v>
      </c>
      <c r="K918">
        <f>1268/1000000/10.95</f>
        <v>1.1579908675799088E-4</v>
      </c>
    </row>
    <row r="919" spans="1:11" x14ac:dyDescent="0.2">
      <c r="A919" t="s">
        <v>151</v>
      </c>
      <c r="B919">
        <v>2.9788164985196983E-5</v>
      </c>
      <c r="C919" t="s">
        <v>115</v>
      </c>
      <c r="D919" t="s">
        <v>9</v>
      </c>
      <c r="F919" t="s">
        <v>23</v>
      </c>
      <c r="G919" t="s">
        <v>152</v>
      </c>
      <c r="H919">
        <v>5</v>
      </c>
      <c r="I919">
        <f>B919</f>
        <v>2.9788164985196983E-5</v>
      </c>
      <c r="J919">
        <f>(1000000/1250000)*B919</f>
        <v>2.3830531988157587E-5</v>
      </c>
      <c r="K919">
        <f>(1000000/750000)*B919</f>
        <v>3.9717553313595977E-5</v>
      </c>
    </row>
    <row r="920" spans="1:11" x14ac:dyDescent="0.2">
      <c r="A920" t="s">
        <v>114</v>
      </c>
      <c r="B920">
        <f>129/1000000/10.95</f>
        <v>1.178082191780822E-5</v>
      </c>
      <c r="C920" t="s">
        <v>115</v>
      </c>
      <c r="D920" t="s">
        <v>8</v>
      </c>
      <c r="F920" t="s">
        <v>23</v>
      </c>
      <c r="G920" t="s">
        <v>116</v>
      </c>
      <c r="H920">
        <v>5</v>
      </c>
      <c r="I920">
        <f t="shared" ref="I920:I921" si="5">B920</f>
        <v>1.178082191780822E-5</v>
      </c>
      <c r="J920">
        <f>26/1250000/10.95</f>
        <v>1.899543378995434E-6</v>
      </c>
      <c r="K920">
        <f>235/750000/10.95</f>
        <v>2.8614916286149163E-5</v>
      </c>
    </row>
    <row r="921" spans="1:11" x14ac:dyDescent="0.2">
      <c r="A921" t="s">
        <v>198</v>
      </c>
      <c r="B921">
        <f>47/1000000/11</f>
        <v>4.2727272727272722E-6</v>
      </c>
      <c r="C921" s="2" t="s">
        <v>115</v>
      </c>
      <c r="D921" t="s">
        <v>146</v>
      </c>
      <c r="F921" t="s">
        <v>23</v>
      </c>
      <c r="G921" t="s">
        <v>199</v>
      </c>
      <c r="H921">
        <v>5</v>
      </c>
      <c r="I921">
        <f t="shared" si="5"/>
        <v>4.2727272727272722E-6</v>
      </c>
      <c r="J921">
        <f>20.6/1250000/11</f>
        <v>1.4981818181818184E-6</v>
      </c>
      <c r="K921">
        <f>80.4/750000/11</f>
        <v>9.7454545454545466E-6</v>
      </c>
    </row>
    <row r="923" spans="1:11" x14ac:dyDescent="0.2">
      <c r="A923" s="1" t="s">
        <v>2</v>
      </c>
      <c r="B923" s="1" t="s">
        <v>299</v>
      </c>
    </row>
    <row r="924" spans="1:11" x14ac:dyDescent="0.2">
      <c r="A924" t="s">
        <v>157</v>
      </c>
      <c r="B924" t="s">
        <v>272</v>
      </c>
    </row>
    <row r="925" spans="1:11" x14ac:dyDescent="0.2">
      <c r="A925" t="s">
        <v>208</v>
      </c>
      <c r="B925" t="s">
        <v>209</v>
      </c>
    </row>
    <row r="926" spans="1:11" x14ac:dyDescent="0.2">
      <c r="A926" t="s">
        <v>3</v>
      </c>
      <c r="B926" t="s">
        <v>18</v>
      </c>
    </row>
    <row r="927" spans="1:11" x14ac:dyDescent="0.2">
      <c r="A927" t="s">
        <v>4</v>
      </c>
      <c r="B927">
        <v>1</v>
      </c>
    </row>
    <row r="928" spans="1:11" x14ac:dyDescent="0.2">
      <c r="A928" t="s">
        <v>5</v>
      </c>
      <c r="B928" t="s">
        <v>1</v>
      </c>
    </row>
    <row r="929" spans="1:11" x14ac:dyDescent="0.2">
      <c r="A929" t="s">
        <v>214</v>
      </c>
      <c r="B929" t="s">
        <v>215</v>
      </c>
    </row>
    <row r="930" spans="1:11" x14ac:dyDescent="0.2">
      <c r="A930" t="s">
        <v>6</v>
      </c>
      <c r="B930" t="s">
        <v>7</v>
      </c>
    </row>
    <row r="931" spans="1:11" x14ac:dyDescent="0.2">
      <c r="A931" t="s">
        <v>8</v>
      </c>
      <c r="B931" t="s">
        <v>17</v>
      </c>
    </row>
    <row r="932" spans="1:11" x14ac:dyDescent="0.2">
      <c r="A932" s="1" t="s">
        <v>10</v>
      </c>
    </row>
    <row r="933" spans="1:11" x14ac:dyDescent="0.2">
      <c r="A933" t="s">
        <v>11</v>
      </c>
      <c r="B933" t="s">
        <v>12</v>
      </c>
      <c r="C933" t="s">
        <v>3</v>
      </c>
      <c r="D933" t="s">
        <v>13</v>
      </c>
      <c r="E933" t="s">
        <v>8</v>
      </c>
      <c r="F933" t="s">
        <v>6</v>
      </c>
      <c r="G933" t="s">
        <v>5</v>
      </c>
      <c r="H933" t="s">
        <v>188</v>
      </c>
      <c r="I933" t="s">
        <v>189</v>
      </c>
      <c r="J933" t="s">
        <v>190</v>
      </c>
      <c r="K933" t="s">
        <v>191</v>
      </c>
    </row>
    <row r="934" spans="1:11" x14ac:dyDescent="0.2">
      <c r="A934" s="25" t="s">
        <v>299</v>
      </c>
      <c r="B934">
        <v>1</v>
      </c>
      <c r="C934" t="s">
        <v>18</v>
      </c>
      <c r="E934" t="s">
        <v>17</v>
      </c>
      <c r="F934" t="s">
        <v>19</v>
      </c>
      <c r="G934" t="s">
        <v>1</v>
      </c>
      <c r="H934">
        <v>0</v>
      </c>
    </row>
    <row r="935" spans="1:11" x14ac:dyDescent="0.2">
      <c r="A935" t="s">
        <v>279</v>
      </c>
      <c r="B935">
        <f>1/47.5</f>
        <v>2.1052631578947368E-2</v>
      </c>
      <c r="C935" t="s">
        <v>18</v>
      </c>
      <c r="E935" t="s">
        <v>9</v>
      </c>
      <c r="F935" t="s">
        <v>23</v>
      </c>
      <c r="G935" t="s">
        <v>280</v>
      </c>
      <c r="H935">
        <v>0</v>
      </c>
    </row>
    <row r="936" spans="1:11" x14ac:dyDescent="0.2">
      <c r="A936" t="s">
        <v>150</v>
      </c>
      <c r="B936">
        <v>1.1510877524470435E-4</v>
      </c>
      <c r="C936" t="s">
        <v>18</v>
      </c>
      <c r="E936" t="s">
        <v>9</v>
      </c>
      <c r="F936" t="s">
        <v>23</v>
      </c>
      <c r="G936" t="s">
        <v>150</v>
      </c>
      <c r="H936">
        <v>5</v>
      </c>
      <c r="I936">
        <f>B936</f>
        <v>1.1510877524470435E-4</v>
      </c>
      <c r="J936">
        <f>(1000000/1250000)*B936</f>
        <v>9.2087020195763493E-5</v>
      </c>
      <c r="K936">
        <f>(1000000/750000)*B936</f>
        <v>1.5347836699293913E-4</v>
      </c>
    </row>
    <row r="937" spans="1:11" x14ac:dyDescent="0.2">
      <c r="A937" t="s">
        <v>216</v>
      </c>
      <c r="B937">
        <f>271/1000000/16.7</f>
        <v>1.622754491017964E-5</v>
      </c>
      <c r="C937" t="s">
        <v>18</v>
      </c>
      <c r="E937" t="s">
        <v>9</v>
      </c>
      <c r="F937" t="s">
        <v>23</v>
      </c>
      <c r="G937" t="s">
        <v>217</v>
      </c>
      <c r="H937">
        <v>5</v>
      </c>
      <c r="I937">
        <f>B937</f>
        <v>1.622754491017964E-5</v>
      </c>
      <c r="J937">
        <f>77/1250000/16.7</f>
        <v>3.6886227544910185E-6</v>
      </c>
      <c r="K937">
        <f>387/750000/16.7</f>
        <v>3.0898203592814368E-5</v>
      </c>
    </row>
    <row r="938" spans="1:11" x14ac:dyDescent="0.2">
      <c r="A938" t="s">
        <v>60</v>
      </c>
      <c r="B938">
        <v>8.6651209802368515E-11</v>
      </c>
      <c r="D938" t="s">
        <v>14</v>
      </c>
      <c r="E938" t="s">
        <v>9</v>
      </c>
      <c r="F938" t="s">
        <v>15</v>
      </c>
      <c r="H938">
        <v>0</v>
      </c>
    </row>
    <row r="939" spans="1:11" x14ac:dyDescent="0.2">
      <c r="A939" t="s">
        <v>265</v>
      </c>
      <c r="B939">
        <v>7.891795688303974E-8</v>
      </c>
      <c r="D939" t="s">
        <v>118</v>
      </c>
      <c r="E939" t="s">
        <v>9</v>
      </c>
      <c r="F939" t="s">
        <v>15</v>
      </c>
      <c r="H939">
        <v>0</v>
      </c>
    </row>
    <row r="940" spans="1:11" x14ac:dyDescent="0.2">
      <c r="A940" t="s">
        <v>81</v>
      </c>
      <c r="B940">
        <v>2.8306061868773727E-9</v>
      </c>
      <c r="D940" t="s">
        <v>14</v>
      </c>
      <c r="E940" t="s">
        <v>9</v>
      </c>
      <c r="F940" t="s">
        <v>15</v>
      </c>
      <c r="H940">
        <v>0</v>
      </c>
    </row>
    <row r="941" spans="1:11" x14ac:dyDescent="0.2">
      <c r="A941" t="s">
        <v>50</v>
      </c>
      <c r="B941">
        <v>3.9570719143081625E-9</v>
      </c>
      <c r="D941" t="s">
        <v>14</v>
      </c>
      <c r="E941" t="s">
        <v>9</v>
      </c>
      <c r="F941" t="s">
        <v>15</v>
      </c>
      <c r="H941">
        <v>0</v>
      </c>
    </row>
    <row r="942" spans="1:11" x14ac:dyDescent="0.2">
      <c r="A942" t="s">
        <v>49</v>
      </c>
      <c r="B942">
        <v>7.9273222551331606E-6</v>
      </c>
      <c r="D942" t="s">
        <v>14</v>
      </c>
      <c r="E942" t="s">
        <v>9</v>
      </c>
      <c r="F942" t="s">
        <v>15</v>
      </c>
      <c r="H942">
        <v>0</v>
      </c>
    </row>
    <row r="943" spans="1:11" x14ac:dyDescent="0.2">
      <c r="A943" t="s">
        <v>48</v>
      </c>
      <c r="B943">
        <v>5.1124213783397438E-9</v>
      </c>
      <c r="D943" t="s">
        <v>14</v>
      </c>
      <c r="E943" t="s">
        <v>9</v>
      </c>
      <c r="F943" t="s">
        <v>15</v>
      </c>
      <c r="H943">
        <v>0</v>
      </c>
    </row>
    <row r="944" spans="1:11" x14ac:dyDescent="0.2">
      <c r="A944" t="s">
        <v>186</v>
      </c>
      <c r="B944">
        <v>8.3875030178923751E-5</v>
      </c>
      <c r="D944" t="s">
        <v>118</v>
      </c>
      <c r="E944" t="s">
        <v>9</v>
      </c>
      <c r="F944" t="s">
        <v>15</v>
      </c>
      <c r="H944">
        <v>0</v>
      </c>
    </row>
    <row r="945" spans="1:8" x14ac:dyDescent="0.2">
      <c r="A945" t="s">
        <v>186</v>
      </c>
      <c r="B945">
        <v>1.0801510989610235E-5</v>
      </c>
      <c r="D945" t="s">
        <v>14</v>
      </c>
      <c r="E945" t="s">
        <v>9</v>
      </c>
      <c r="F945" t="s">
        <v>15</v>
      </c>
      <c r="H945">
        <v>0</v>
      </c>
    </row>
    <row r="946" spans="1:8" x14ac:dyDescent="0.2">
      <c r="A946" t="s">
        <v>77</v>
      </c>
      <c r="B946">
        <v>1.6174892496442126E-9</v>
      </c>
      <c r="D946" t="s">
        <v>14</v>
      </c>
      <c r="E946" t="s">
        <v>9</v>
      </c>
      <c r="F946" t="s">
        <v>15</v>
      </c>
      <c r="H946">
        <v>0</v>
      </c>
    </row>
    <row r="947" spans="1:8" x14ac:dyDescent="0.2">
      <c r="A947" t="s">
        <v>59</v>
      </c>
      <c r="B947">
        <v>2.888373660078951E-7</v>
      </c>
      <c r="D947" t="s">
        <v>14</v>
      </c>
      <c r="E947" t="s">
        <v>9</v>
      </c>
      <c r="F947" t="s">
        <v>15</v>
      </c>
      <c r="H947">
        <v>0</v>
      </c>
    </row>
    <row r="948" spans="1:8" x14ac:dyDescent="0.2">
      <c r="A948" t="s">
        <v>251</v>
      </c>
      <c r="B948">
        <v>7.63619826432997E-7</v>
      </c>
      <c r="D948" t="s">
        <v>14</v>
      </c>
      <c r="E948" t="s">
        <v>9</v>
      </c>
      <c r="F948" t="s">
        <v>15</v>
      </c>
      <c r="H948">
        <v>0</v>
      </c>
    </row>
    <row r="949" spans="1:8" x14ac:dyDescent="0.2">
      <c r="A949" t="s">
        <v>62</v>
      </c>
      <c r="B949">
        <v>2.4262338744663193E-8</v>
      </c>
      <c r="D949" t="s">
        <v>14</v>
      </c>
      <c r="E949" t="s">
        <v>9</v>
      </c>
      <c r="F949" t="s">
        <v>15</v>
      </c>
      <c r="H949">
        <v>0</v>
      </c>
    </row>
    <row r="950" spans="1:8" x14ac:dyDescent="0.2">
      <c r="A950" t="s">
        <v>250</v>
      </c>
      <c r="B950">
        <v>3.9657281817228329E-7</v>
      </c>
      <c r="D950" t="s">
        <v>14</v>
      </c>
      <c r="E950" t="s">
        <v>9</v>
      </c>
      <c r="F950" t="s">
        <v>15</v>
      </c>
      <c r="H950">
        <v>0</v>
      </c>
    </row>
    <row r="951" spans="1:8" x14ac:dyDescent="0.2">
      <c r="A951" t="s">
        <v>124</v>
      </c>
      <c r="B951">
        <v>5.6196267550699446E-2</v>
      </c>
      <c r="D951" t="s">
        <v>118</v>
      </c>
      <c r="E951" t="s">
        <v>9</v>
      </c>
      <c r="F951" t="s">
        <v>15</v>
      </c>
      <c r="H951">
        <v>0</v>
      </c>
    </row>
    <row r="952" spans="1:8" x14ac:dyDescent="0.2">
      <c r="A952" t="s">
        <v>70</v>
      </c>
      <c r="B952">
        <v>2.9407627408218493E-5</v>
      </c>
      <c r="D952" t="s">
        <v>14</v>
      </c>
      <c r="E952" t="s">
        <v>9</v>
      </c>
      <c r="F952" t="s">
        <v>15</v>
      </c>
      <c r="H952">
        <v>0</v>
      </c>
    </row>
    <row r="953" spans="1:8" x14ac:dyDescent="0.2">
      <c r="A953" t="s">
        <v>82</v>
      </c>
      <c r="B953">
        <v>1.1553494640315805E-9</v>
      </c>
      <c r="D953" t="s">
        <v>14</v>
      </c>
      <c r="E953" t="s">
        <v>9</v>
      </c>
      <c r="F953" t="s">
        <v>15</v>
      </c>
      <c r="H953">
        <v>0</v>
      </c>
    </row>
    <row r="954" spans="1:8" x14ac:dyDescent="0.2">
      <c r="A954" t="s">
        <v>266</v>
      </c>
      <c r="B954">
        <v>1.1740772587352886E-5</v>
      </c>
      <c r="D954" t="s">
        <v>14</v>
      </c>
      <c r="E954" t="s">
        <v>9</v>
      </c>
      <c r="F954" t="s">
        <v>15</v>
      </c>
      <c r="H954">
        <v>0</v>
      </c>
    </row>
    <row r="955" spans="1:8" x14ac:dyDescent="0.2">
      <c r="A955" t="s">
        <v>73</v>
      </c>
      <c r="B955">
        <v>1.7330241960473703E-10</v>
      </c>
      <c r="D955" t="s">
        <v>14</v>
      </c>
      <c r="E955" t="s">
        <v>9</v>
      </c>
      <c r="F955" t="s">
        <v>15</v>
      </c>
      <c r="H955">
        <v>0</v>
      </c>
    </row>
    <row r="956" spans="1:8" x14ac:dyDescent="0.2">
      <c r="A956" t="s">
        <v>79</v>
      </c>
      <c r="B956">
        <v>2.8883736600789512E-11</v>
      </c>
      <c r="D956" t="s">
        <v>14</v>
      </c>
      <c r="E956" t="s">
        <v>9</v>
      </c>
      <c r="F956" t="s">
        <v>15</v>
      </c>
      <c r="H956">
        <v>0</v>
      </c>
    </row>
    <row r="957" spans="1:8" x14ac:dyDescent="0.2">
      <c r="A957" t="s">
        <v>63</v>
      </c>
      <c r="B957">
        <v>8.6651209802368528E-10</v>
      </c>
      <c r="D957" t="s">
        <v>14</v>
      </c>
      <c r="E957" t="s">
        <v>9</v>
      </c>
      <c r="F957" t="s">
        <v>15</v>
      </c>
      <c r="H957">
        <v>0</v>
      </c>
    </row>
    <row r="958" spans="1:8" x14ac:dyDescent="0.2">
      <c r="A958" t="s">
        <v>52</v>
      </c>
      <c r="B958">
        <v>4.3325604901184269E-10</v>
      </c>
      <c r="D958" t="s">
        <v>14</v>
      </c>
      <c r="E958" t="s">
        <v>9</v>
      </c>
      <c r="F958" t="s">
        <v>15</v>
      </c>
      <c r="H958">
        <v>0</v>
      </c>
    </row>
    <row r="959" spans="1:8" x14ac:dyDescent="0.2">
      <c r="A959" t="s">
        <v>125</v>
      </c>
      <c r="B959">
        <v>4.4309095397735818E-5</v>
      </c>
      <c r="D959" t="s">
        <v>14</v>
      </c>
      <c r="E959" t="s">
        <v>9</v>
      </c>
      <c r="F959" t="s">
        <v>15</v>
      </c>
      <c r="H959">
        <v>0</v>
      </c>
    </row>
    <row r="960" spans="1:8" x14ac:dyDescent="0.2">
      <c r="A960" t="s">
        <v>74</v>
      </c>
      <c r="B960">
        <v>2.8883736600789513E-10</v>
      </c>
      <c r="D960" t="s">
        <v>14</v>
      </c>
      <c r="E960" t="s">
        <v>9</v>
      </c>
      <c r="F960" t="s">
        <v>15</v>
      </c>
      <c r="H960">
        <v>0</v>
      </c>
    </row>
    <row r="961" spans="1:11" x14ac:dyDescent="0.2">
      <c r="A961" t="s">
        <v>46</v>
      </c>
      <c r="B961">
        <v>1.3199867626560807E-8</v>
      </c>
      <c r="D961" t="s">
        <v>14</v>
      </c>
      <c r="E961" t="s">
        <v>9</v>
      </c>
      <c r="F961" t="s">
        <v>15</v>
      </c>
      <c r="H961">
        <v>0</v>
      </c>
    </row>
    <row r="962" spans="1:11" x14ac:dyDescent="0.2">
      <c r="B962" s="3"/>
    </row>
    <row r="963" spans="1:11" x14ac:dyDescent="0.2">
      <c r="B963" s="3"/>
    </row>
    <row r="964" spans="1:11" x14ac:dyDescent="0.2">
      <c r="A964" s="1" t="s">
        <v>2</v>
      </c>
      <c r="B964" s="1" t="s">
        <v>271</v>
      </c>
    </row>
    <row r="965" spans="1:11" x14ac:dyDescent="0.2">
      <c r="A965" t="s">
        <v>157</v>
      </c>
      <c r="B965" t="s">
        <v>272</v>
      </c>
    </row>
    <row r="966" spans="1:11" x14ac:dyDescent="0.2">
      <c r="A966" t="s">
        <v>208</v>
      </c>
      <c r="B966" t="s">
        <v>209</v>
      </c>
    </row>
    <row r="967" spans="1:11" x14ac:dyDescent="0.2">
      <c r="A967" t="s">
        <v>3</v>
      </c>
      <c r="B967" t="s">
        <v>18</v>
      </c>
    </row>
    <row r="968" spans="1:11" x14ac:dyDescent="0.2">
      <c r="A968" t="s">
        <v>4</v>
      </c>
      <c r="B968">
        <v>1</v>
      </c>
    </row>
    <row r="969" spans="1:11" x14ac:dyDescent="0.2">
      <c r="A969" t="s">
        <v>5</v>
      </c>
      <c r="B969" t="s">
        <v>1</v>
      </c>
    </row>
    <row r="970" spans="1:11" x14ac:dyDescent="0.2">
      <c r="A970" t="s">
        <v>214</v>
      </c>
      <c r="B970" t="s">
        <v>215</v>
      </c>
    </row>
    <row r="971" spans="1:11" x14ac:dyDescent="0.2">
      <c r="A971" t="s">
        <v>6</v>
      </c>
      <c r="B971" t="s">
        <v>7</v>
      </c>
    </row>
    <row r="972" spans="1:11" x14ac:dyDescent="0.2">
      <c r="A972" t="s">
        <v>8</v>
      </c>
      <c r="B972" t="s">
        <v>17</v>
      </c>
    </row>
    <row r="973" spans="1:11" x14ac:dyDescent="0.2">
      <c r="A973" s="1" t="s">
        <v>10</v>
      </c>
    </row>
    <row r="974" spans="1:11" x14ac:dyDescent="0.2">
      <c r="A974" t="s">
        <v>11</v>
      </c>
      <c r="B974" t="s">
        <v>12</v>
      </c>
      <c r="C974" t="s">
        <v>3</v>
      </c>
      <c r="D974" t="s">
        <v>13</v>
      </c>
      <c r="E974" t="s">
        <v>8</v>
      </c>
      <c r="F974" t="s">
        <v>6</v>
      </c>
      <c r="G974" t="s">
        <v>5</v>
      </c>
      <c r="H974" t="s">
        <v>188</v>
      </c>
      <c r="I974" t="s">
        <v>189</v>
      </c>
      <c r="J974" t="s">
        <v>190</v>
      </c>
      <c r="K974" t="s">
        <v>191</v>
      </c>
    </row>
    <row r="975" spans="1:11" x14ac:dyDescent="0.2">
      <c r="A975" s="25" t="s">
        <v>271</v>
      </c>
      <c r="B975">
        <v>1</v>
      </c>
      <c r="C975" t="s">
        <v>18</v>
      </c>
      <c r="E975" t="s">
        <v>17</v>
      </c>
      <c r="F975" t="s">
        <v>19</v>
      </c>
      <c r="G975" t="s">
        <v>1</v>
      </c>
      <c r="H975">
        <v>0</v>
      </c>
    </row>
    <row r="976" spans="1:11" x14ac:dyDescent="0.2">
      <c r="A976" t="s">
        <v>93</v>
      </c>
      <c r="B976">
        <f>1/36</f>
        <v>2.7777777777777776E-2</v>
      </c>
      <c r="C976" t="s">
        <v>27</v>
      </c>
      <c r="E976" t="s">
        <v>95</v>
      </c>
      <c r="F976" t="s">
        <v>23</v>
      </c>
      <c r="G976" t="s">
        <v>94</v>
      </c>
      <c r="H976">
        <v>0</v>
      </c>
    </row>
    <row r="977" spans="1:11" x14ac:dyDescent="0.2">
      <c r="A977" t="s">
        <v>150</v>
      </c>
      <c r="B977">
        <v>1.1510877524470435E-4</v>
      </c>
      <c r="C977" t="s">
        <v>18</v>
      </c>
      <c r="E977" t="s">
        <v>9</v>
      </c>
      <c r="F977" t="s">
        <v>23</v>
      </c>
      <c r="G977" t="s">
        <v>150</v>
      </c>
      <c r="H977">
        <v>5</v>
      </c>
      <c r="I977">
        <f>B977</f>
        <v>1.1510877524470435E-4</v>
      </c>
      <c r="J977">
        <f>(1000000/1250000)*B977</f>
        <v>9.2087020195763493E-5</v>
      </c>
      <c r="K977">
        <f>(1000000/750000)*B977</f>
        <v>1.5347836699293913E-4</v>
      </c>
    </row>
    <row r="978" spans="1:11" x14ac:dyDescent="0.2">
      <c r="A978" t="s">
        <v>216</v>
      </c>
      <c r="B978">
        <f>271/1000000/16.7</f>
        <v>1.622754491017964E-5</v>
      </c>
      <c r="C978" t="s">
        <v>18</v>
      </c>
      <c r="E978" t="s">
        <v>9</v>
      </c>
      <c r="F978" t="s">
        <v>23</v>
      </c>
      <c r="G978" t="s">
        <v>217</v>
      </c>
      <c r="H978">
        <v>5</v>
      </c>
      <c r="I978">
        <f>B978</f>
        <v>1.622754491017964E-5</v>
      </c>
      <c r="J978">
        <f>77/1250000/16.7</f>
        <v>3.6886227544910185E-6</v>
      </c>
      <c r="K978">
        <f>387/750000/16.7</f>
        <v>3.0898203592814368E-5</v>
      </c>
    </row>
    <row r="979" spans="1:11" x14ac:dyDescent="0.2">
      <c r="A979" t="s">
        <v>60</v>
      </c>
      <c r="B979">
        <v>8.6651209802368515E-11</v>
      </c>
      <c r="D979" t="s">
        <v>14</v>
      </c>
      <c r="E979" t="s">
        <v>9</v>
      </c>
      <c r="F979" t="s">
        <v>15</v>
      </c>
      <c r="H979">
        <v>0</v>
      </c>
    </row>
    <row r="980" spans="1:11" x14ac:dyDescent="0.2">
      <c r="A980" t="s">
        <v>265</v>
      </c>
      <c r="B980">
        <v>7.891795688303974E-8</v>
      </c>
      <c r="D980" t="s">
        <v>118</v>
      </c>
      <c r="E980" t="s">
        <v>9</v>
      </c>
      <c r="F980" t="s">
        <v>15</v>
      </c>
      <c r="H980">
        <v>0</v>
      </c>
    </row>
    <row r="981" spans="1:11" x14ac:dyDescent="0.2">
      <c r="A981" t="s">
        <v>81</v>
      </c>
      <c r="B981">
        <v>2.8306061868773727E-9</v>
      </c>
      <c r="D981" t="s">
        <v>14</v>
      </c>
      <c r="E981" t="s">
        <v>9</v>
      </c>
      <c r="F981" t="s">
        <v>15</v>
      </c>
      <c r="H981">
        <v>0</v>
      </c>
    </row>
    <row r="982" spans="1:11" x14ac:dyDescent="0.2">
      <c r="A982" t="s">
        <v>50</v>
      </c>
      <c r="B982">
        <v>3.9570719143081625E-9</v>
      </c>
      <c r="D982" t="s">
        <v>14</v>
      </c>
      <c r="E982" t="s">
        <v>9</v>
      </c>
      <c r="F982" t="s">
        <v>15</v>
      </c>
      <c r="H982">
        <v>0</v>
      </c>
    </row>
    <row r="983" spans="1:11" x14ac:dyDescent="0.2">
      <c r="A983" t="s">
        <v>49</v>
      </c>
      <c r="B983">
        <v>7.9273222551331606E-6</v>
      </c>
      <c r="D983" t="s">
        <v>14</v>
      </c>
      <c r="E983" t="s">
        <v>9</v>
      </c>
      <c r="F983" t="s">
        <v>15</v>
      </c>
      <c r="H983">
        <v>0</v>
      </c>
    </row>
    <row r="984" spans="1:11" x14ac:dyDescent="0.2">
      <c r="A984" t="s">
        <v>48</v>
      </c>
      <c r="B984">
        <v>5.1124213783397438E-9</v>
      </c>
      <c r="D984" t="s">
        <v>14</v>
      </c>
      <c r="E984" t="s">
        <v>9</v>
      </c>
      <c r="F984" t="s">
        <v>15</v>
      </c>
      <c r="H984">
        <v>0</v>
      </c>
    </row>
    <row r="985" spans="1:11" x14ac:dyDescent="0.2">
      <c r="A985" t="s">
        <v>66</v>
      </c>
      <c r="B985">
        <v>8.3875030178923751E-5</v>
      </c>
      <c r="D985" t="s">
        <v>118</v>
      </c>
      <c r="E985" t="s">
        <v>9</v>
      </c>
      <c r="F985" t="s">
        <v>15</v>
      </c>
      <c r="H985">
        <v>0</v>
      </c>
    </row>
    <row r="986" spans="1:11" x14ac:dyDescent="0.2">
      <c r="A986" t="s">
        <v>66</v>
      </c>
      <c r="B986">
        <v>1.0801510989610235E-5</v>
      </c>
      <c r="D986" t="s">
        <v>14</v>
      </c>
      <c r="E986" t="s">
        <v>9</v>
      </c>
      <c r="F986" t="s">
        <v>15</v>
      </c>
      <c r="H986">
        <v>0</v>
      </c>
    </row>
    <row r="987" spans="1:11" x14ac:dyDescent="0.2">
      <c r="A987" t="s">
        <v>77</v>
      </c>
      <c r="B987">
        <v>1.6174892496442126E-9</v>
      </c>
      <c r="D987" t="s">
        <v>14</v>
      </c>
      <c r="E987" t="s">
        <v>9</v>
      </c>
      <c r="F987" t="s">
        <v>15</v>
      </c>
      <c r="H987">
        <v>0</v>
      </c>
    </row>
    <row r="988" spans="1:11" x14ac:dyDescent="0.2">
      <c r="A988" t="s">
        <v>59</v>
      </c>
      <c r="B988">
        <v>2.888373660078951E-7</v>
      </c>
      <c r="D988" t="s">
        <v>14</v>
      </c>
      <c r="E988" t="s">
        <v>9</v>
      </c>
      <c r="F988" t="s">
        <v>15</v>
      </c>
      <c r="H988">
        <v>0</v>
      </c>
    </row>
    <row r="989" spans="1:11" x14ac:dyDescent="0.2">
      <c r="A989" t="s">
        <v>251</v>
      </c>
      <c r="B989">
        <v>7.63619826432997E-7</v>
      </c>
      <c r="D989" t="s">
        <v>14</v>
      </c>
      <c r="E989" t="s">
        <v>9</v>
      </c>
      <c r="F989" t="s">
        <v>15</v>
      </c>
      <c r="H989">
        <v>0</v>
      </c>
    </row>
    <row r="990" spans="1:11" x14ac:dyDescent="0.2">
      <c r="A990" t="s">
        <v>62</v>
      </c>
      <c r="B990">
        <v>2.4262338744663193E-8</v>
      </c>
      <c r="D990" t="s">
        <v>14</v>
      </c>
      <c r="E990" t="s">
        <v>9</v>
      </c>
      <c r="F990" t="s">
        <v>15</v>
      </c>
      <c r="H990">
        <v>0</v>
      </c>
    </row>
    <row r="991" spans="1:11" x14ac:dyDescent="0.2">
      <c r="A991" t="s">
        <v>250</v>
      </c>
      <c r="B991">
        <v>3.9657281817228329E-7</v>
      </c>
      <c r="D991" t="s">
        <v>14</v>
      </c>
      <c r="E991" t="s">
        <v>9</v>
      </c>
      <c r="F991" t="s">
        <v>15</v>
      </c>
      <c r="H991">
        <v>0</v>
      </c>
    </row>
    <row r="992" spans="1:11" x14ac:dyDescent="0.2">
      <c r="A992" t="s">
        <v>54</v>
      </c>
      <c r="B992">
        <v>5.6196267550699446E-2</v>
      </c>
      <c r="D992" t="s">
        <v>118</v>
      </c>
      <c r="E992" t="s">
        <v>9</v>
      </c>
      <c r="F992" t="s">
        <v>15</v>
      </c>
      <c r="H992">
        <v>0</v>
      </c>
    </row>
    <row r="993" spans="1:8" x14ac:dyDescent="0.2">
      <c r="A993" t="s">
        <v>70</v>
      </c>
      <c r="B993">
        <v>2.9407627408218493E-5</v>
      </c>
      <c r="D993" t="s">
        <v>14</v>
      </c>
      <c r="E993" t="s">
        <v>9</v>
      </c>
      <c r="F993" t="s">
        <v>15</v>
      </c>
      <c r="H993">
        <v>0</v>
      </c>
    </row>
    <row r="994" spans="1:8" x14ac:dyDescent="0.2">
      <c r="A994" t="s">
        <v>82</v>
      </c>
      <c r="B994">
        <v>1.1553494640315805E-9</v>
      </c>
      <c r="D994" t="s">
        <v>14</v>
      </c>
      <c r="E994" t="s">
        <v>9</v>
      </c>
      <c r="F994" t="s">
        <v>15</v>
      </c>
      <c r="H994">
        <v>0</v>
      </c>
    </row>
    <row r="995" spans="1:8" x14ac:dyDescent="0.2">
      <c r="A995" t="s">
        <v>266</v>
      </c>
      <c r="B995">
        <v>1.1740772587352886E-5</v>
      </c>
      <c r="D995" t="s">
        <v>14</v>
      </c>
      <c r="E995" t="s">
        <v>9</v>
      </c>
      <c r="F995" t="s">
        <v>15</v>
      </c>
      <c r="H995">
        <v>0</v>
      </c>
    </row>
    <row r="996" spans="1:8" x14ac:dyDescent="0.2">
      <c r="A996" t="s">
        <v>73</v>
      </c>
      <c r="B996">
        <v>1.7330241960473703E-10</v>
      </c>
      <c r="D996" t="s">
        <v>14</v>
      </c>
      <c r="E996" t="s">
        <v>9</v>
      </c>
      <c r="F996" t="s">
        <v>15</v>
      </c>
      <c r="H996">
        <v>0</v>
      </c>
    </row>
    <row r="997" spans="1:8" x14ac:dyDescent="0.2">
      <c r="A997" t="s">
        <v>79</v>
      </c>
      <c r="B997">
        <v>2.8883736600789512E-11</v>
      </c>
      <c r="D997" t="s">
        <v>14</v>
      </c>
      <c r="E997" t="s">
        <v>9</v>
      </c>
      <c r="F997" t="s">
        <v>15</v>
      </c>
      <c r="H997">
        <v>0</v>
      </c>
    </row>
    <row r="998" spans="1:8" x14ac:dyDescent="0.2">
      <c r="A998" t="s">
        <v>63</v>
      </c>
      <c r="B998">
        <v>8.6651209802368528E-10</v>
      </c>
      <c r="D998" t="s">
        <v>14</v>
      </c>
      <c r="E998" t="s">
        <v>9</v>
      </c>
      <c r="F998" t="s">
        <v>15</v>
      </c>
      <c r="H998">
        <v>0</v>
      </c>
    </row>
    <row r="999" spans="1:8" x14ac:dyDescent="0.2">
      <c r="A999" t="s">
        <v>52</v>
      </c>
      <c r="B999">
        <v>4.3325604901184269E-10</v>
      </c>
      <c r="D999" t="s">
        <v>14</v>
      </c>
      <c r="E999" t="s">
        <v>9</v>
      </c>
      <c r="F999" t="s">
        <v>15</v>
      </c>
      <c r="H999">
        <v>0</v>
      </c>
    </row>
    <row r="1000" spans="1:8" x14ac:dyDescent="0.2">
      <c r="A1000" t="s">
        <v>55</v>
      </c>
      <c r="B1000">
        <v>4.4309095397735818E-5</v>
      </c>
      <c r="D1000" t="s">
        <v>14</v>
      </c>
      <c r="E1000" t="s">
        <v>9</v>
      </c>
      <c r="F1000" t="s">
        <v>15</v>
      </c>
      <c r="H1000">
        <v>0</v>
      </c>
    </row>
    <row r="1001" spans="1:8" x14ac:dyDescent="0.2">
      <c r="A1001" t="s">
        <v>74</v>
      </c>
      <c r="B1001">
        <v>2.8883736600789513E-10</v>
      </c>
      <c r="D1001" t="s">
        <v>14</v>
      </c>
      <c r="E1001" t="s">
        <v>9</v>
      </c>
      <c r="F1001" t="s">
        <v>15</v>
      </c>
      <c r="H1001">
        <v>0</v>
      </c>
    </row>
    <row r="1002" spans="1:8" x14ac:dyDescent="0.2">
      <c r="A1002" t="s">
        <v>46</v>
      </c>
      <c r="B1002">
        <v>1.3199867626560807E-8</v>
      </c>
      <c r="D1002" t="s">
        <v>14</v>
      </c>
      <c r="E1002" t="s">
        <v>9</v>
      </c>
      <c r="F1002" t="s">
        <v>15</v>
      </c>
      <c r="H1002">
        <v>0</v>
      </c>
    </row>
    <row r="1003" spans="1:8" x14ac:dyDescent="0.2">
      <c r="B1003" s="3"/>
    </row>
    <row r="1004" spans="1:8" x14ac:dyDescent="0.2">
      <c r="A1004" s="1" t="s">
        <v>2</v>
      </c>
      <c r="B1004" s="1" t="s">
        <v>297</v>
      </c>
    </row>
    <row r="1005" spans="1:8" x14ac:dyDescent="0.2">
      <c r="A1005" t="s">
        <v>157</v>
      </c>
      <c r="B1005" t="s">
        <v>272</v>
      </c>
    </row>
    <row r="1006" spans="1:8" x14ac:dyDescent="0.2">
      <c r="A1006" t="s">
        <v>208</v>
      </c>
      <c r="B1006" t="s">
        <v>209</v>
      </c>
    </row>
    <row r="1007" spans="1:8" x14ac:dyDescent="0.2">
      <c r="A1007" t="s">
        <v>3</v>
      </c>
      <c r="B1007" t="s">
        <v>18</v>
      </c>
    </row>
    <row r="1008" spans="1:8" x14ac:dyDescent="0.2">
      <c r="A1008" t="s">
        <v>4</v>
      </c>
      <c r="B1008">
        <v>1</v>
      </c>
    </row>
    <row r="1009" spans="1:11" x14ac:dyDescent="0.2">
      <c r="A1009" t="s">
        <v>5</v>
      </c>
      <c r="B1009" t="s">
        <v>1</v>
      </c>
    </row>
    <row r="1010" spans="1:11" x14ac:dyDescent="0.2">
      <c r="A1010" t="s">
        <v>214</v>
      </c>
      <c r="B1010" t="s">
        <v>215</v>
      </c>
    </row>
    <row r="1011" spans="1:11" x14ac:dyDescent="0.2">
      <c r="A1011" t="s">
        <v>6</v>
      </c>
      <c r="B1011" t="s">
        <v>7</v>
      </c>
    </row>
    <row r="1012" spans="1:11" x14ac:dyDescent="0.2">
      <c r="A1012" t="s">
        <v>8</v>
      </c>
      <c r="B1012" t="s">
        <v>17</v>
      </c>
    </row>
    <row r="1013" spans="1:11" x14ac:dyDescent="0.2">
      <c r="A1013" s="1" t="s">
        <v>10</v>
      </c>
    </row>
    <row r="1014" spans="1:11" x14ac:dyDescent="0.2">
      <c r="A1014" t="s">
        <v>11</v>
      </c>
      <c r="B1014" t="s">
        <v>12</v>
      </c>
      <c r="C1014" t="s">
        <v>3</v>
      </c>
      <c r="D1014" t="s">
        <v>13</v>
      </c>
      <c r="E1014" t="s">
        <v>8</v>
      </c>
      <c r="F1014" t="s">
        <v>6</v>
      </c>
      <c r="G1014" t="s">
        <v>5</v>
      </c>
      <c r="H1014" t="s">
        <v>188</v>
      </c>
      <c r="I1014" t="s">
        <v>189</v>
      </c>
      <c r="J1014" t="s">
        <v>190</v>
      </c>
      <c r="K1014" t="s">
        <v>191</v>
      </c>
    </row>
    <row r="1015" spans="1:11" x14ac:dyDescent="0.2">
      <c r="A1015" s="25" t="s">
        <v>297</v>
      </c>
      <c r="B1015">
        <v>1</v>
      </c>
      <c r="C1015" t="s">
        <v>18</v>
      </c>
      <c r="E1015" t="s">
        <v>17</v>
      </c>
      <c r="F1015" t="s">
        <v>19</v>
      </c>
      <c r="G1015" t="s">
        <v>1</v>
      </c>
      <c r="H1015">
        <v>0</v>
      </c>
    </row>
    <row r="1016" spans="1:11" x14ac:dyDescent="0.2">
      <c r="A1016" t="s">
        <v>292</v>
      </c>
      <c r="B1016">
        <f>1/47.5</f>
        <v>2.1052631578947368E-2</v>
      </c>
      <c r="C1016" t="s">
        <v>18</v>
      </c>
      <c r="E1016" t="s">
        <v>95</v>
      </c>
      <c r="F1016" t="s">
        <v>23</v>
      </c>
      <c r="G1016" t="s">
        <v>298</v>
      </c>
      <c r="H1016">
        <v>0</v>
      </c>
    </row>
    <row r="1017" spans="1:11" x14ac:dyDescent="0.2">
      <c r="A1017" t="s">
        <v>150</v>
      </c>
      <c r="B1017">
        <v>1.1510877524470435E-4</v>
      </c>
      <c r="C1017" t="s">
        <v>18</v>
      </c>
      <c r="E1017" t="s">
        <v>9</v>
      </c>
      <c r="F1017" t="s">
        <v>23</v>
      </c>
      <c r="G1017" t="s">
        <v>150</v>
      </c>
      <c r="H1017">
        <v>5</v>
      </c>
      <c r="I1017">
        <f>B1017</f>
        <v>1.1510877524470435E-4</v>
      </c>
      <c r="J1017">
        <f>(1000000/1250000)*B1017</f>
        <v>9.2087020195763493E-5</v>
      </c>
      <c r="K1017">
        <f>(1000000/750000)*B1017</f>
        <v>1.5347836699293913E-4</v>
      </c>
    </row>
    <row r="1018" spans="1:11" x14ac:dyDescent="0.2">
      <c r="A1018" t="s">
        <v>216</v>
      </c>
      <c r="B1018">
        <f>271/1000000/16.7</f>
        <v>1.622754491017964E-5</v>
      </c>
      <c r="C1018" t="s">
        <v>18</v>
      </c>
      <c r="E1018" t="s">
        <v>9</v>
      </c>
      <c r="F1018" t="s">
        <v>23</v>
      </c>
      <c r="G1018" t="s">
        <v>217</v>
      </c>
      <c r="H1018">
        <v>5</v>
      </c>
      <c r="I1018">
        <f>B1018</f>
        <v>1.622754491017964E-5</v>
      </c>
      <c r="J1018">
        <f>77/1250000/16.7</f>
        <v>3.6886227544910185E-6</v>
      </c>
      <c r="K1018">
        <f>387/750000/16.7</f>
        <v>3.0898203592814368E-5</v>
      </c>
    </row>
    <row r="1019" spans="1:11" x14ac:dyDescent="0.2">
      <c r="A1019" t="s">
        <v>60</v>
      </c>
      <c r="B1019">
        <v>8.6651209802368515E-11</v>
      </c>
      <c r="D1019" t="s">
        <v>14</v>
      </c>
      <c r="E1019" t="s">
        <v>9</v>
      </c>
      <c r="F1019" t="s">
        <v>15</v>
      </c>
      <c r="H1019">
        <v>0</v>
      </c>
    </row>
    <row r="1020" spans="1:11" x14ac:dyDescent="0.2">
      <c r="A1020" t="s">
        <v>265</v>
      </c>
      <c r="B1020">
        <v>7.891795688303974E-8</v>
      </c>
      <c r="D1020" t="s">
        <v>118</v>
      </c>
      <c r="E1020" t="s">
        <v>9</v>
      </c>
      <c r="F1020" t="s">
        <v>15</v>
      </c>
      <c r="H1020">
        <v>0</v>
      </c>
    </row>
    <row r="1021" spans="1:11" x14ac:dyDescent="0.2">
      <c r="A1021" t="s">
        <v>81</v>
      </c>
      <c r="B1021">
        <v>2.8306061868773727E-9</v>
      </c>
      <c r="D1021" t="s">
        <v>14</v>
      </c>
      <c r="E1021" t="s">
        <v>9</v>
      </c>
      <c r="F1021" t="s">
        <v>15</v>
      </c>
      <c r="H1021">
        <v>0</v>
      </c>
    </row>
    <row r="1022" spans="1:11" x14ac:dyDescent="0.2">
      <c r="A1022" t="s">
        <v>50</v>
      </c>
      <c r="B1022">
        <v>3.9570719143081625E-9</v>
      </c>
      <c r="D1022" t="s">
        <v>14</v>
      </c>
      <c r="E1022" t="s">
        <v>9</v>
      </c>
      <c r="F1022" t="s">
        <v>15</v>
      </c>
      <c r="H1022">
        <v>0</v>
      </c>
    </row>
    <row r="1023" spans="1:11" x14ac:dyDescent="0.2">
      <c r="A1023" t="s">
        <v>49</v>
      </c>
      <c r="B1023">
        <v>7.9273222551331606E-6</v>
      </c>
      <c r="D1023" t="s">
        <v>14</v>
      </c>
      <c r="E1023" t="s">
        <v>9</v>
      </c>
      <c r="F1023" t="s">
        <v>15</v>
      </c>
      <c r="H1023">
        <v>0</v>
      </c>
    </row>
    <row r="1024" spans="1:11" x14ac:dyDescent="0.2">
      <c r="A1024" t="s">
        <v>48</v>
      </c>
      <c r="B1024">
        <v>5.1124213783397438E-9</v>
      </c>
      <c r="D1024" t="s">
        <v>14</v>
      </c>
      <c r="E1024" t="s">
        <v>9</v>
      </c>
      <c r="F1024" t="s">
        <v>15</v>
      </c>
      <c r="H1024">
        <v>0</v>
      </c>
    </row>
    <row r="1025" spans="1:8" x14ac:dyDescent="0.2">
      <c r="A1025" t="s">
        <v>186</v>
      </c>
      <c r="B1025">
        <v>8.3875030178923751E-5</v>
      </c>
      <c r="D1025" t="s">
        <v>118</v>
      </c>
      <c r="E1025" t="s">
        <v>9</v>
      </c>
      <c r="F1025" t="s">
        <v>15</v>
      </c>
      <c r="H1025">
        <v>0</v>
      </c>
    </row>
    <row r="1026" spans="1:8" x14ac:dyDescent="0.2">
      <c r="A1026" t="s">
        <v>186</v>
      </c>
      <c r="B1026">
        <v>1.0801510989610235E-5</v>
      </c>
      <c r="D1026" t="s">
        <v>14</v>
      </c>
      <c r="E1026" t="s">
        <v>9</v>
      </c>
      <c r="F1026" t="s">
        <v>15</v>
      </c>
      <c r="H1026">
        <v>0</v>
      </c>
    </row>
    <row r="1027" spans="1:8" x14ac:dyDescent="0.2">
      <c r="A1027" t="s">
        <v>77</v>
      </c>
      <c r="B1027">
        <v>1.6174892496442126E-9</v>
      </c>
      <c r="D1027" t="s">
        <v>14</v>
      </c>
      <c r="E1027" t="s">
        <v>9</v>
      </c>
      <c r="F1027" t="s">
        <v>15</v>
      </c>
      <c r="H1027">
        <v>0</v>
      </c>
    </row>
    <row r="1028" spans="1:8" x14ac:dyDescent="0.2">
      <c r="A1028" t="s">
        <v>59</v>
      </c>
      <c r="B1028">
        <v>2.888373660078951E-7</v>
      </c>
      <c r="D1028" t="s">
        <v>14</v>
      </c>
      <c r="E1028" t="s">
        <v>9</v>
      </c>
      <c r="F1028" t="s">
        <v>15</v>
      </c>
      <c r="H1028">
        <v>0</v>
      </c>
    </row>
    <row r="1029" spans="1:8" x14ac:dyDescent="0.2">
      <c r="A1029" t="s">
        <v>251</v>
      </c>
      <c r="B1029">
        <v>7.63619826432997E-7</v>
      </c>
      <c r="D1029" t="s">
        <v>14</v>
      </c>
      <c r="E1029" t="s">
        <v>9</v>
      </c>
      <c r="F1029" t="s">
        <v>15</v>
      </c>
      <c r="H1029">
        <v>0</v>
      </c>
    </row>
    <row r="1030" spans="1:8" x14ac:dyDescent="0.2">
      <c r="A1030" t="s">
        <v>62</v>
      </c>
      <c r="B1030">
        <v>2.4262338744663193E-8</v>
      </c>
      <c r="D1030" t="s">
        <v>14</v>
      </c>
      <c r="E1030" t="s">
        <v>9</v>
      </c>
      <c r="F1030" t="s">
        <v>15</v>
      </c>
      <c r="H1030">
        <v>0</v>
      </c>
    </row>
    <row r="1031" spans="1:8" x14ac:dyDescent="0.2">
      <c r="A1031" t="s">
        <v>250</v>
      </c>
      <c r="B1031">
        <v>3.9657281817228329E-7</v>
      </c>
      <c r="D1031" t="s">
        <v>14</v>
      </c>
      <c r="E1031" t="s">
        <v>9</v>
      </c>
      <c r="F1031" t="s">
        <v>15</v>
      </c>
      <c r="H1031">
        <v>0</v>
      </c>
    </row>
    <row r="1032" spans="1:8" x14ac:dyDescent="0.2">
      <c r="A1032" t="s">
        <v>124</v>
      </c>
      <c r="B1032">
        <v>5.6196267550699446E-2</v>
      </c>
      <c r="D1032" t="s">
        <v>118</v>
      </c>
      <c r="E1032" t="s">
        <v>9</v>
      </c>
      <c r="F1032" t="s">
        <v>15</v>
      </c>
      <c r="H1032">
        <v>0</v>
      </c>
    </row>
    <row r="1033" spans="1:8" x14ac:dyDescent="0.2">
      <c r="A1033" t="s">
        <v>70</v>
      </c>
      <c r="B1033">
        <v>2.9407627408218493E-5</v>
      </c>
      <c r="D1033" t="s">
        <v>14</v>
      </c>
      <c r="E1033" t="s">
        <v>9</v>
      </c>
      <c r="F1033" t="s">
        <v>15</v>
      </c>
      <c r="H1033">
        <v>0</v>
      </c>
    </row>
    <row r="1034" spans="1:8" x14ac:dyDescent="0.2">
      <c r="A1034" t="s">
        <v>82</v>
      </c>
      <c r="B1034">
        <v>1.1553494640315805E-9</v>
      </c>
      <c r="D1034" t="s">
        <v>14</v>
      </c>
      <c r="E1034" t="s">
        <v>9</v>
      </c>
      <c r="F1034" t="s">
        <v>15</v>
      </c>
      <c r="H1034">
        <v>0</v>
      </c>
    </row>
    <row r="1035" spans="1:8" x14ac:dyDescent="0.2">
      <c r="A1035" t="s">
        <v>266</v>
      </c>
      <c r="B1035">
        <v>1.1740772587352886E-5</v>
      </c>
      <c r="D1035" t="s">
        <v>14</v>
      </c>
      <c r="E1035" t="s">
        <v>9</v>
      </c>
      <c r="F1035" t="s">
        <v>15</v>
      </c>
      <c r="H1035">
        <v>0</v>
      </c>
    </row>
    <row r="1036" spans="1:8" x14ac:dyDescent="0.2">
      <c r="A1036" t="s">
        <v>73</v>
      </c>
      <c r="B1036">
        <v>1.7330241960473703E-10</v>
      </c>
      <c r="D1036" t="s">
        <v>14</v>
      </c>
      <c r="E1036" t="s">
        <v>9</v>
      </c>
      <c r="F1036" t="s">
        <v>15</v>
      </c>
      <c r="H1036">
        <v>0</v>
      </c>
    </row>
    <row r="1037" spans="1:8" x14ac:dyDescent="0.2">
      <c r="A1037" t="s">
        <v>79</v>
      </c>
      <c r="B1037">
        <v>2.8883736600789512E-11</v>
      </c>
      <c r="D1037" t="s">
        <v>14</v>
      </c>
      <c r="E1037" t="s">
        <v>9</v>
      </c>
      <c r="F1037" t="s">
        <v>15</v>
      </c>
      <c r="H1037">
        <v>0</v>
      </c>
    </row>
    <row r="1038" spans="1:8" x14ac:dyDescent="0.2">
      <c r="A1038" t="s">
        <v>63</v>
      </c>
      <c r="B1038">
        <v>8.6651209802368528E-10</v>
      </c>
      <c r="D1038" t="s">
        <v>14</v>
      </c>
      <c r="E1038" t="s">
        <v>9</v>
      </c>
      <c r="F1038" t="s">
        <v>15</v>
      </c>
      <c r="H1038">
        <v>0</v>
      </c>
    </row>
    <row r="1039" spans="1:8" x14ac:dyDescent="0.2">
      <c r="A1039" t="s">
        <v>52</v>
      </c>
      <c r="B1039">
        <v>4.3325604901184269E-10</v>
      </c>
      <c r="D1039" t="s">
        <v>14</v>
      </c>
      <c r="E1039" t="s">
        <v>9</v>
      </c>
      <c r="F1039" t="s">
        <v>15</v>
      </c>
      <c r="H1039">
        <v>0</v>
      </c>
    </row>
    <row r="1040" spans="1:8" x14ac:dyDescent="0.2">
      <c r="A1040" t="s">
        <v>125</v>
      </c>
      <c r="B1040">
        <v>4.4309095397735818E-5</v>
      </c>
      <c r="D1040" t="s">
        <v>14</v>
      </c>
      <c r="E1040" t="s">
        <v>9</v>
      </c>
      <c r="F1040" t="s">
        <v>15</v>
      </c>
      <c r="H1040">
        <v>0</v>
      </c>
    </row>
    <row r="1041" spans="1:12" x14ac:dyDescent="0.2">
      <c r="A1041" t="s">
        <v>74</v>
      </c>
      <c r="B1041">
        <v>2.8883736600789513E-10</v>
      </c>
      <c r="D1041" t="s">
        <v>14</v>
      </c>
      <c r="E1041" t="s">
        <v>9</v>
      </c>
      <c r="F1041" t="s">
        <v>15</v>
      </c>
      <c r="H1041">
        <v>0</v>
      </c>
    </row>
    <row r="1042" spans="1:12" x14ac:dyDescent="0.2">
      <c r="A1042" t="s">
        <v>46</v>
      </c>
      <c r="B1042">
        <v>1.3199867626560807E-8</v>
      </c>
      <c r="D1042" t="s">
        <v>14</v>
      </c>
      <c r="E1042" t="s">
        <v>9</v>
      </c>
      <c r="F1042" t="s">
        <v>15</v>
      </c>
      <c r="H1042">
        <v>0</v>
      </c>
    </row>
    <row r="1044" spans="1:12" x14ac:dyDescent="0.2">
      <c r="A1044" s="1" t="s">
        <v>2</v>
      </c>
      <c r="B1044" s="1" t="s">
        <v>96</v>
      </c>
      <c r="C1044" s="2"/>
      <c r="D1044" s="2"/>
      <c r="E1044" s="2"/>
      <c r="F1044" s="2"/>
      <c r="G1044" s="2"/>
      <c r="H1044" s="2"/>
    </row>
    <row r="1045" spans="1:12" x14ac:dyDescent="0.2">
      <c r="A1045" s="2" t="s">
        <v>3</v>
      </c>
      <c r="B1045" s="2" t="s">
        <v>18</v>
      </c>
      <c r="C1045" s="2"/>
      <c r="D1045" s="2"/>
      <c r="E1045" s="2"/>
      <c r="F1045" s="2"/>
      <c r="G1045" s="2"/>
      <c r="H1045" s="2"/>
      <c r="I1045" s="2"/>
      <c r="J1045" s="2"/>
      <c r="K1045" s="2"/>
      <c r="L1045" s="2"/>
    </row>
    <row r="1046" spans="1:12" x14ac:dyDescent="0.2">
      <c r="A1046" s="2" t="s">
        <v>4</v>
      </c>
      <c r="B1046" s="2">
        <v>1</v>
      </c>
      <c r="C1046" s="2"/>
      <c r="D1046" s="2"/>
      <c r="E1046" s="2"/>
      <c r="F1046" s="2"/>
      <c r="G1046" s="2"/>
      <c r="H1046" s="2"/>
      <c r="I1046" s="2"/>
      <c r="J1046" s="2"/>
      <c r="K1046" s="2"/>
      <c r="L1046" s="2"/>
    </row>
    <row r="1047" spans="1:12" x14ac:dyDescent="0.2">
      <c r="A1047" s="2" t="s">
        <v>5</v>
      </c>
      <c r="B1047" s="2" t="s">
        <v>1</v>
      </c>
      <c r="C1047" s="2"/>
      <c r="D1047" s="2"/>
      <c r="E1047" s="2"/>
      <c r="F1047" s="2"/>
      <c r="G1047" s="2"/>
      <c r="H1047" s="2"/>
      <c r="I1047" s="2"/>
      <c r="J1047" s="2"/>
    </row>
    <row r="1048" spans="1:12" x14ac:dyDescent="0.2">
      <c r="A1048" s="2" t="s">
        <v>6</v>
      </c>
      <c r="B1048" s="2" t="s">
        <v>7</v>
      </c>
      <c r="C1048" s="2"/>
      <c r="D1048" s="2"/>
      <c r="E1048" s="2"/>
      <c r="F1048" s="2"/>
      <c r="G1048" s="2"/>
      <c r="H1048" s="2"/>
      <c r="I1048" s="2"/>
      <c r="J1048" s="2"/>
      <c r="K1048" s="2"/>
      <c r="L1048" s="2"/>
    </row>
    <row r="1049" spans="1:12" x14ac:dyDescent="0.2">
      <c r="A1049" s="2" t="s">
        <v>8</v>
      </c>
      <c r="B1049" s="2" t="s">
        <v>17</v>
      </c>
      <c r="C1049" s="2"/>
      <c r="D1049" s="2"/>
      <c r="E1049" s="2"/>
      <c r="F1049" s="2"/>
      <c r="G1049" s="2"/>
      <c r="H1049" s="2"/>
      <c r="I1049" s="2"/>
      <c r="J1049" s="2"/>
      <c r="K1049" s="2"/>
      <c r="L1049" s="2"/>
    </row>
    <row r="1050" spans="1:12" x14ac:dyDescent="0.2">
      <c r="A1050" s="1" t="s">
        <v>10</v>
      </c>
      <c r="B1050" s="2"/>
      <c r="C1050" s="2"/>
      <c r="D1050" s="2"/>
      <c r="E1050" s="2"/>
      <c r="F1050" s="2"/>
      <c r="G1050" s="2"/>
      <c r="H1050" s="2"/>
      <c r="I1050" s="2"/>
      <c r="J1050" s="2"/>
      <c r="K1050" s="2"/>
      <c r="L1050" s="2"/>
    </row>
    <row r="1051" spans="1:12" x14ac:dyDescent="0.2">
      <c r="A1051" s="2" t="s">
        <v>11</v>
      </c>
      <c r="B1051" s="2" t="s">
        <v>12</v>
      </c>
      <c r="C1051" s="2" t="s">
        <v>3</v>
      </c>
      <c r="D1051" s="2" t="s">
        <v>8</v>
      </c>
      <c r="E1051" s="2" t="s">
        <v>13</v>
      </c>
      <c r="F1051" s="2" t="s">
        <v>6</v>
      </c>
      <c r="G1051" s="2" t="s">
        <v>5</v>
      </c>
      <c r="H1051" s="2"/>
      <c r="I1051" s="2"/>
      <c r="J1051" s="2"/>
      <c r="K1051" s="2"/>
    </row>
    <row r="1052" spans="1:12" x14ac:dyDescent="0.2">
      <c r="A1052" s="2" t="str">
        <f>B1044</f>
        <v>kerosene, burned in aircraft</v>
      </c>
      <c r="B1052" s="2">
        <v>1</v>
      </c>
      <c r="C1052" s="2" t="str">
        <f>B1045</f>
        <v>RER</v>
      </c>
      <c r="D1052" s="2" t="str">
        <f>B1049</f>
        <v>megajoule</v>
      </c>
      <c r="E1052" s="2"/>
      <c r="F1052" s="2" t="s">
        <v>19</v>
      </c>
      <c r="G1052" s="2" t="str">
        <f>B1047</f>
        <v>heat</v>
      </c>
      <c r="H1052" s="2"/>
      <c r="I1052" s="2"/>
      <c r="J1052" s="2"/>
      <c r="K1052" s="2"/>
      <c r="L1052" s="2"/>
    </row>
    <row r="1053" spans="1:12" x14ac:dyDescent="0.2">
      <c r="A1053" t="s">
        <v>97</v>
      </c>
      <c r="B1053">
        <f>1/43</f>
        <v>2.3255813953488372E-2</v>
      </c>
      <c r="C1053" t="s">
        <v>27</v>
      </c>
      <c r="D1053" t="s">
        <v>9</v>
      </c>
      <c r="F1053" t="s">
        <v>23</v>
      </c>
      <c r="G1053" t="s">
        <v>98</v>
      </c>
    </row>
    <row r="1054" spans="1:12" x14ac:dyDescent="0.2">
      <c r="A1054" t="s">
        <v>53</v>
      </c>
      <c r="B1054" s="3">
        <v>2.1198518564846293E-10</v>
      </c>
      <c r="D1054" t="s">
        <v>9</v>
      </c>
      <c r="E1054" t="s">
        <v>100</v>
      </c>
      <c r="F1054" s="2" t="s">
        <v>15</v>
      </c>
      <c r="H1054" s="3"/>
    </row>
    <row r="1055" spans="1:12" x14ac:dyDescent="0.2">
      <c r="A1055" t="s">
        <v>53</v>
      </c>
      <c r="B1055" s="3">
        <v>2.0573376279857471E-11</v>
      </c>
      <c r="D1055" t="s">
        <v>9</v>
      </c>
      <c r="E1055" t="s">
        <v>101</v>
      </c>
      <c r="F1055" s="2" t="s">
        <v>15</v>
      </c>
      <c r="H1055" s="3"/>
    </row>
    <row r="1056" spans="1:12" x14ac:dyDescent="0.2">
      <c r="A1056" t="s">
        <v>54</v>
      </c>
      <c r="B1056">
        <v>6.6068583902493483E-2</v>
      </c>
      <c r="D1056" t="s">
        <v>9</v>
      </c>
      <c r="E1056" t="s">
        <v>100</v>
      </c>
      <c r="F1056" s="2" t="s">
        <v>15</v>
      </c>
      <c r="H1056" s="3"/>
    </row>
    <row r="1057" spans="1:8" x14ac:dyDescent="0.2">
      <c r="A1057" t="s">
        <v>54</v>
      </c>
      <c r="B1057">
        <v>6.4120361938797945E-3</v>
      </c>
      <c r="D1057" t="s">
        <v>9</v>
      </c>
      <c r="E1057" t="s">
        <v>101</v>
      </c>
      <c r="F1057" s="2" t="s">
        <v>15</v>
      </c>
      <c r="H1057" s="3"/>
    </row>
    <row r="1058" spans="1:8" x14ac:dyDescent="0.2">
      <c r="A1058" t="s">
        <v>55</v>
      </c>
      <c r="B1058" s="3">
        <v>4.9620580872355555E-5</v>
      </c>
      <c r="D1058" t="s">
        <v>9</v>
      </c>
      <c r="E1058" t="s">
        <v>100</v>
      </c>
      <c r="F1058" s="2" t="s">
        <v>15</v>
      </c>
      <c r="H1058" s="3"/>
    </row>
    <row r="1059" spans="1:8" x14ac:dyDescent="0.2">
      <c r="A1059" t="s">
        <v>55</v>
      </c>
      <c r="B1059" s="3">
        <v>4.8157339611827094E-6</v>
      </c>
      <c r="D1059" t="s">
        <v>9</v>
      </c>
      <c r="E1059" t="s">
        <v>101</v>
      </c>
      <c r="F1059" s="2" t="s">
        <v>15</v>
      </c>
      <c r="H1059" s="3"/>
    </row>
    <row r="1060" spans="1:8" x14ac:dyDescent="0.2">
      <c r="A1060" t="s">
        <v>56</v>
      </c>
      <c r="B1060" s="3">
        <v>1.0599259282423148E-9</v>
      </c>
      <c r="D1060" t="s">
        <v>9</v>
      </c>
      <c r="E1060" t="s">
        <v>100</v>
      </c>
      <c r="F1060" s="2" t="s">
        <v>15</v>
      </c>
      <c r="H1060" s="3"/>
    </row>
    <row r="1061" spans="1:8" x14ac:dyDescent="0.2">
      <c r="A1061" t="s">
        <v>56</v>
      </c>
      <c r="B1061" s="3">
        <v>1.0286688139928735E-10</v>
      </c>
      <c r="D1061" t="s">
        <v>9</v>
      </c>
      <c r="E1061" t="s">
        <v>101</v>
      </c>
      <c r="F1061" s="2" t="s">
        <v>15</v>
      </c>
      <c r="H1061" s="3"/>
    </row>
    <row r="1062" spans="1:8" x14ac:dyDescent="0.2">
      <c r="A1062" t="s">
        <v>58</v>
      </c>
      <c r="B1062" s="3">
        <v>3.6037375961879753E-8</v>
      </c>
      <c r="D1062" t="s">
        <v>9</v>
      </c>
      <c r="E1062" t="s">
        <v>100</v>
      </c>
      <c r="F1062" s="2" t="s">
        <v>15</v>
      </c>
      <c r="H1062" s="3"/>
    </row>
    <row r="1063" spans="1:8" x14ac:dyDescent="0.2">
      <c r="A1063" t="s">
        <v>58</v>
      </c>
      <c r="B1063" s="3">
        <v>3.4974704476304713E-9</v>
      </c>
      <c r="D1063" t="s">
        <v>9</v>
      </c>
      <c r="E1063" t="s">
        <v>101</v>
      </c>
      <c r="F1063" s="2" t="s">
        <v>15</v>
      </c>
      <c r="H1063" s="3"/>
    </row>
    <row r="1064" spans="1:8" x14ac:dyDescent="0.2">
      <c r="A1064" t="s">
        <v>64</v>
      </c>
      <c r="B1064" s="3">
        <v>4.2396949131060127E-7</v>
      </c>
      <c r="D1064" t="s">
        <v>9</v>
      </c>
      <c r="E1064" t="s">
        <v>100</v>
      </c>
      <c r="F1064" s="2" t="s">
        <v>15</v>
      </c>
      <c r="H1064" s="3"/>
    </row>
    <row r="1065" spans="1:8" x14ac:dyDescent="0.2">
      <c r="A1065" t="s">
        <v>64</v>
      </c>
      <c r="B1065" s="3">
        <v>4.1146752559714943E-8</v>
      </c>
      <c r="D1065" t="s">
        <v>9</v>
      </c>
      <c r="E1065" t="s">
        <v>101</v>
      </c>
      <c r="F1065" s="2" t="s">
        <v>15</v>
      </c>
      <c r="H1065" s="3"/>
    </row>
    <row r="1066" spans="1:8" x14ac:dyDescent="0.2">
      <c r="A1066" t="s">
        <v>65</v>
      </c>
      <c r="B1066" s="3">
        <v>1.4838945395665915E-12</v>
      </c>
      <c r="D1066" t="s">
        <v>9</v>
      </c>
      <c r="E1066" t="s">
        <v>100</v>
      </c>
      <c r="F1066" s="2" t="s">
        <v>15</v>
      </c>
      <c r="H1066" s="3"/>
    </row>
    <row r="1067" spans="1:8" x14ac:dyDescent="0.2">
      <c r="A1067" t="s">
        <v>65</v>
      </c>
      <c r="B1067" s="3">
        <v>1.4401328196447244E-13</v>
      </c>
      <c r="D1067" t="s">
        <v>9</v>
      </c>
      <c r="E1067" t="s">
        <v>101</v>
      </c>
      <c r="F1067" s="2" t="s">
        <v>15</v>
      </c>
      <c r="H1067" s="3"/>
    </row>
    <row r="1068" spans="1:8" x14ac:dyDescent="0.2">
      <c r="A1068" t="s">
        <v>68</v>
      </c>
      <c r="B1068" s="3">
        <v>4.9290146007471967E-6</v>
      </c>
      <c r="D1068" t="s">
        <v>9</v>
      </c>
      <c r="E1068" t="s">
        <v>100</v>
      </c>
      <c r="F1068" s="2" t="s">
        <v>15</v>
      </c>
      <c r="H1068" s="3"/>
    </row>
    <row r="1069" spans="1:8" x14ac:dyDescent="0.2">
      <c r="A1069" t="s">
        <v>68</v>
      </c>
      <c r="B1069" s="3">
        <v>4.7836672595146453E-7</v>
      </c>
      <c r="D1069" t="s">
        <v>9</v>
      </c>
      <c r="E1069" t="s">
        <v>101</v>
      </c>
      <c r="F1069" s="2" t="s">
        <v>15</v>
      </c>
      <c r="H1069" s="3"/>
    </row>
    <row r="1070" spans="1:8" x14ac:dyDescent="0.2">
      <c r="A1070" t="s">
        <v>69</v>
      </c>
      <c r="B1070" s="3">
        <v>1.4838945395665916E-9</v>
      </c>
      <c r="D1070" t="s">
        <v>9</v>
      </c>
      <c r="E1070" t="s">
        <v>100</v>
      </c>
      <c r="F1070" s="2" t="s">
        <v>15</v>
      </c>
      <c r="H1070" s="3"/>
    </row>
    <row r="1071" spans="1:8" x14ac:dyDescent="0.2">
      <c r="A1071" t="s">
        <v>69</v>
      </c>
      <c r="B1071" s="3">
        <v>1.4401328196447246E-10</v>
      </c>
      <c r="D1071" t="s">
        <v>9</v>
      </c>
      <c r="E1071" t="s">
        <v>101</v>
      </c>
      <c r="F1071" s="2" t="s">
        <v>15</v>
      </c>
      <c r="H1071" s="3"/>
    </row>
    <row r="1072" spans="1:8" x14ac:dyDescent="0.2">
      <c r="A1072" t="s">
        <v>70</v>
      </c>
      <c r="B1072">
        <v>3.0006653682198702E-4</v>
      </c>
      <c r="D1072" t="s">
        <v>9</v>
      </c>
      <c r="E1072" t="s">
        <v>100</v>
      </c>
      <c r="F1072" s="2" t="s">
        <v>15</v>
      </c>
      <c r="H1072" s="3"/>
    </row>
    <row r="1073" spans="1:12" x14ac:dyDescent="0.2">
      <c r="A1073" t="s">
        <v>70</v>
      </c>
      <c r="B1073" s="3">
        <v>2.9121827432823326E-5</v>
      </c>
      <c r="D1073" t="s">
        <v>9</v>
      </c>
      <c r="E1073" t="s">
        <v>101</v>
      </c>
      <c r="F1073" s="2" t="s">
        <v>15</v>
      </c>
      <c r="H1073" s="3"/>
    </row>
    <row r="1074" spans="1:12" x14ac:dyDescent="0.2">
      <c r="A1074" t="s">
        <v>72</v>
      </c>
      <c r="B1074" s="3">
        <v>3.8963858482936672E-6</v>
      </c>
      <c r="D1074" t="s">
        <v>9</v>
      </c>
      <c r="E1074" t="s">
        <v>100</v>
      </c>
      <c r="F1074" s="2" t="s">
        <v>15</v>
      </c>
      <c r="H1074" s="3"/>
    </row>
    <row r="1075" spans="1:12" x14ac:dyDescent="0.2">
      <c r="A1075" t="s">
        <v>72</v>
      </c>
      <c r="B1075" s="3">
        <v>3.7814860338919342E-7</v>
      </c>
      <c r="D1075" t="s">
        <v>9</v>
      </c>
      <c r="E1075" t="s">
        <v>101</v>
      </c>
      <c r="F1075" s="2" t="s">
        <v>15</v>
      </c>
      <c r="H1075" s="3"/>
    </row>
    <row r="1076" spans="1:12" x14ac:dyDescent="0.2">
      <c r="A1076" t="s">
        <v>76</v>
      </c>
      <c r="B1076" s="3">
        <v>2.1198518564846293E-10</v>
      </c>
      <c r="D1076" t="s">
        <v>9</v>
      </c>
      <c r="E1076" t="s">
        <v>100</v>
      </c>
      <c r="F1076" s="2" t="s">
        <v>15</v>
      </c>
      <c r="H1076" s="3"/>
    </row>
    <row r="1077" spans="1:12" x14ac:dyDescent="0.2">
      <c r="A1077" t="s">
        <v>76</v>
      </c>
      <c r="B1077" s="3">
        <v>2.0573376279857471E-11</v>
      </c>
      <c r="D1077" t="s">
        <v>9</v>
      </c>
      <c r="E1077" t="s">
        <v>101</v>
      </c>
      <c r="F1077" s="2" t="s">
        <v>15</v>
      </c>
      <c r="H1077" s="3"/>
    </row>
    <row r="1078" spans="1:12" x14ac:dyDescent="0.2">
      <c r="A1078" t="s">
        <v>78</v>
      </c>
      <c r="B1078" s="3">
        <v>1.7806699275346112E-5</v>
      </c>
      <c r="D1078" t="s">
        <v>9</v>
      </c>
      <c r="E1078" t="s">
        <v>100</v>
      </c>
      <c r="F1078" s="2" t="s">
        <v>15</v>
      </c>
      <c r="H1078" s="3"/>
    </row>
    <row r="1079" spans="1:12" x14ac:dyDescent="0.2">
      <c r="A1079" t="s">
        <v>78</v>
      </c>
      <c r="B1079" s="3">
        <v>1.7281611435463185E-6</v>
      </c>
      <c r="D1079" t="s">
        <v>9</v>
      </c>
      <c r="E1079" t="s">
        <v>101</v>
      </c>
      <c r="F1079" s="2" t="s">
        <v>15</v>
      </c>
      <c r="H1079" s="3"/>
    </row>
    <row r="1080" spans="1:12" x14ac:dyDescent="0.2">
      <c r="A1080" t="s">
        <v>99</v>
      </c>
      <c r="B1080" s="3">
        <v>1.6219731937580282E-7</v>
      </c>
      <c r="D1080" s="2" t="s">
        <v>95</v>
      </c>
      <c r="E1080" t="s">
        <v>100</v>
      </c>
      <c r="F1080" s="2" t="s">
        <v>15</v>
      </c>
      <c r="H1080" s="3"/>
    </row>
    <row r="1081" spans="1:12" x14ac:dyDescent="0.2">
      <c r="A1081" t="s">
        <v>99</v>
      </c>
      <c r="B1081" s="3">
        <v>1.574145937016555E-8</v>
      </c>
      <c r="D1081" s="2" t="s">
        <v>95</v>
      </c>
      <c r="E1081" t="s">
        <v>101</v>
      </c>
      <c r="F1081" s="2" t="s">
        <v>15</v>
      </c>
      <c r="H1081" s="3"/>
    </row>
    <row r="1082" spans="1:12" x14ac:dyDescent="0.2">
      <c r="A1082" t="s">
        <v>80</v>
      </c>
      <c r="B1082" s="3">
        <v>2.1198518564846295E-7</v>
      </c>
      <c r="D1082" t="s">
        <v>9</v>
      </c>
      <c r="E1082" t="s">
        <v>100</v>
      </c>
      <c r="F1082" s="2" t="s">
        <v>15</v>
      </c>
      <c r="H1082" s="3"/>
    </row>
    <row r="1083" spans="1:12" x14ac:dyDescent="0.2">
      <c r="A1083" t="s">
        <v>80</v>
      </c>
      <c r="B1083" s="3">
        <v>2.0573376279857471E-8</v>
      </c>
      <c r="D1083" t="s">
        <v>9</v>
      </c>
      <c r="E1083" t="s">
        <v>101</v>
      </c>
      <c r="F1083" s="2" t="s">
        <v>15</v>
      </c>
      <c r="H1083" s="3"/>
    </row>
    <row r="1085" spans="1:12" x14ac:dyDescent="0.2">
      <c r="A1085" s="1" t="s">
        <v>2</v>
      </c>
      <c r="B1085" s="1" t="s">
        <v>133</v>
      </c>
      <c r="C1085" s="2"/>
      <c r="D1085" s="2"/>
      <c r="E1085" s="2"/>
      <c r="F1085" s="2"/>
      <c r="G1085" s="2"/>
      <c r="H1085" s="2"/>
    </row>
    <row r="1086" spans="1:12" x14ac:dyDescent="0.2">
      <c r="A1086" s="2" t="s">
        <v>3</v>
      </c>
      <c r="B1086" s="2" t="s">
        <v>18</v>
      </c>
      <c r="C1086" s="2"/>
      <c r="D1086" s="2"/>
      <c r="E1086" s="2"/>
      <c r="F1086" s="2"/>
      <c r="G1086" s="2"/>
      <c r="H1086" s="2"/>
      <c r="I1086" s="2"/>
      <c r="J1086" s="2"/>
      <c r="K1086" s="2"/>
      <c r="L1086" s="2"/>
    </row>
    <row r="1087" spans="1:12" x14ac:dyDescent="0.2">
      <c r="A1087" s="2" t="s">
        <v>4</v>
      </c>
      <c r="B1087" s="2">
        <v>1</v>
      </c>
      <c r="C1087" s="2"/>
      <c r="D1087" s="2"/>
      <c r="E1087" s="2"/>
      <c r="F1087" s="2"/>
      <c r="G1087" s="2"/>
      <c r="H1087" s="2"/>
      <c r="I1087" s="2"/>
      <c r="J1087" s="2"/>
      <c r="K1087" s="2"/>
      <c r="L1087" s="2"/>
    </row>
    <row r="1088" spans="1:12" x14ac:dyDescent="0.2">
      <c r="A1088" s="2" t="s">
        <v>5</v>
      </c>
      <c r="B1088" s="2" t="s">
        <v>1</v>
      </c>
      <c r="C1088" s="2"/>
      <c r="D1088" s="2"/>
      <c r="E1088" s="2"/>
      <c r="F1088" s="2"/>
      <c r="G1088" s="2"/>
      <c r="H1088" s="2"/>
      <c r="I1088" s="2"/>
      <c r="J1088" s="2"/>
    </row>
    <row r="1089" spans="1:12" x14ac:dyDescent="0.2">
      <c r="A1089" s="2" t="s">
        <v>6</v>
      </c>
      <c r="B1089" s="2" t="s">
        <v>7</v>
      </c>
      <c r="C1089" s="2"/>
      <c r="D1089" s="2"/>
      <c r="E1089" s="2"/>
      <c r="F1089" s="2"/>
      <c r="G1089" s="2"/>
      <c r="H1089" s="2"/>
      <c r="I1089" s="2"/>
      <c r="J1089" s="2"/>
      <c r="K1089" s="2"/>
      <c r="L1089" s="2"/>
    </row>
    <row r="1090" spans="1:12" x14ac:dyDescent="0.2">
      <c r="A1090" s="2" t="s">
        <v>8</v>
      </c>
      <c r="B1090" s="2" t="s">
        <v>17</v>
      </c>
      <c r="C1090" s="2"/>
      <c r="D1090" s="2"/>
      <c r="E1090" s="2"/>
      <c r="F1090" s="2"/>
      <c r="G1090" s="2"/>
      <c r="H1090" s="2"/>
      <c r="I1090" s="2"/>
      <c r="J1090" s="2"/>
      <c r="K1090" s="2"/>
      <c r="L1090" s="2"/>
    </row>
    <row r="1091" spans="1:12" x14ac:dyDescent="0.2">
      <c r="A1091" s="1" t="s">
        <v>10</v>
      </c>
      <c r="B1091" s="2"/>
      <c r="C1091" s="2"/>
      <c r="D1091" s="2"/>
      <c r="E1091" s="2"/>
      <c r="F1091" s="2"/>
      <c r="G1091" s="2"/>
      <c r="H1091" s="2"/>
      <c r="I1091" s="2"/>
      <c r="J1091" s="2"/>
      <c r="K1091" s="2"/>
      <c r="L1091" s="2"/>
    </row>
    <row r="1092" spans="1:12" x14ac:dyDescent="0.2">
      <c r="A1092" s="2" t="s">
        <v>11</v>
      </c>
      <c r="B1092" s="2" t="s">
        <v>12</v>
      </c>
      <c r="C1092" s="2" t="s">
        <v>3</v>
      </c>
      <c r="D1092" s="2" t="s">
        <v>8</v>
      </c>
      <c r="E1092" s="2" t="s">
        <v>13</v>
      </c>
      <c r="F1092" s="2" t="s">
        <v>6</v>
      </c>
      <c r="G1092" s="2" t="s">
        <v>5</v>
      </c>
      <c r="H1092" s="2"/>
      <c r="I1092" s="2"/>
      <c r="J1092" s="2"/>
      <c r="K1092" s="2"/>
    </row>
    <row r="1093" spans="1:12" x14ac:dyDescent="0.2">
      <c r="A1093" s="2" t="str">
        <f>B1085</f>
        <v>kerosene from biomass, burned in aircraft</v>
      </c>
      <c r="B1093" s="2">
        <v>1</v>
      </c>
      <c r="C1093" s="2" t="str">
        <f>B1086</f>
        <v>RER</v>
      </c>
      <c r="D1093" s="2" t="str">
        <f>B1090</f>
        <v>megajoule</v>
      </c>
      <c r="E1093" s="2"/>
      <c r="F1093" s="2" t="s">
        <v>19</v>
      </c>
      <c r="G1093" s="2" t="str">
        <f>B1088</f>
        <v>heat</v>
      </c>
      <c r="H1093" s="2"/>
      <c r="I1093" s="2"/>
      <c r="J1093" s="2"/>
      <c r="K1093" s="2"/>
      <c r="L1093" s="2"/>
    </row>
    <row r="1094" spans="1:12" x14ac:dyDescent="0.2">
      <c r="A1094" t="s">
        <v>134</v>
      </c>
      <c r="B1094">
        <f>1/43</f>
        <v>2.3255813953488372E-2</v>
      </c>
      <c r="C1094" t="s">
        <v>18</v>
      </c>
      <c r="D1094" t="s">
        <v>9</v>
      </c>
      <c r="F1094" t="s">
        <v>23</v>
      </c>
      <c r="G1094" t="s">
        <v>135</v>
      </c>
    </row>
    <row r="1095" spans="1:12" x14ac:dyDescent="0.2">
      <c r="A1095" t="s">
        <v>53</v>
      </c>
      <c r="B1095" s="3">
        <v>2.1198518564846293E-10</v>
      </c>
      <c r="D1095" t="s">
        <v>9</v>
      </c>
      <c r="E1095" t="s">
        <v>100</v>
      </c>
      <c r="F1095" s="2" t="s">
        <v>15</v>
      </c>
      <c r="H1095" s="3"/>
    </row>
    <row r="1096" spans="1:12" x14ac:dyDescent="0.2">
      <c r="A1096" t="s">
        <v>53</v>
      </c>
      <c r="B1096" s="3">
        <v>2.0573376279857471E-11</v>
      </c>
      <c r="D1096" t="s">
        <v>9</v>
      </c>
      <c r="E1096" t="s">
        <v>101</v>
      </c>
      <c r="F1096" s="2" t="s">
        <v>15</v>
      </c>
      <c r="H1096" s="3"/>
    </row>
    <row r="1097" spans="1:12" x14ac:dyDescent="0.2">
      <c r="A1097" t="s">
        <v>124</v>
      </c>
      <c r="B1097">
        <f>0.0660685839024935+0.00641203619387979</f>
        <v>7.2480620096373294E-2</v>
      </c>
      <c r="D1097" t="s">
        <v>9</v>
      </c>
      <c r="E1097" t="s">
        <v>118</v>
      </c>
      <c r="F1097" s="2" t="s">
        <v>15</v>
      </c>
      <c r="H1097" s="3"/>
    </row>
    <row r="1098" spans="1:12" x14ac:dyDescent="0.2">
      <c r="A1098" t="s">
        <v>125</v>
      </c>
      <c r="B1098" s="3">
        <f>0.0000496205808723556+4.81573396118271E-06</f>
        <v>5.4436314833538314E-5</v>
      </c>
      <c r="D1098" t="s">
        <v>9</v>
      </c>
      <c r="E1098" t="s">
        <v>118</v>
      </c>
      <c r="F1098" s="2" t="s">
        <v>15</v>
      </c>
      <c r="H1098" s="3"/>
    </row>
    <row r="1099" spans="1:12" x14ac:dyDescent="0.2">
      <c r="A1099" t="s">
        <v>56</v>
      </c>
      <c r="B1099" s="3">
        <v>1.0599259282423148E-9</v>
      </c>
      <c r="D1099" t="s">
        <v>9</v>
      </c>
      <c r="E1099" t="s">
        <v>100</v>
      </c>
      <c r="F1099" s="2" t="s">
        <v>15</v>
      </c>
      <c r="H1099" s="3"/>
    </row>
    <row r="1100" spans="1:12" x14ac:dyDescent="0.2">
      <c r="A1100" t="s">
        <v>56</v>
      </c>
      <c r="B1100" s="3">
        <v>1.0286688139928735E-10</v>
      </c>
      <c r="D1100" t="s">
        <v>9</v>
      </c>
      <c r="E1100" t="s">
        <v>101</v>
      </c>
      <c r="F1100" s="2" t="s">
        <v>15</v>
      </c>
      <c r="H1100" s="3"/>
    </row>
    <row r="1101" spans="1:12" x14ac:dyDescent="0.2">
      <c r="A1101" t="s">
        <v>58</v>
      </c>
      <c r="B1101" s="3">
        <v>3.6037375961879753E-8</v>
      </c>
      <c r="D1101" t="s">
        <v>9</v>
      </c>
      <c r="E1101" t="s">
        <v>100</v>
      </c>
      <c r="F1101" s="2" t="s">
        <v>15</v>
      </c>
      <c r="H1101" s="3"/>
    </row>
    <row r="1102" spans="1:12" x14ac:dyDescent="0.2">
      <c r="A1102" t="s">
        <v>58</v>
      </c>
      <c r="B1102" s="3">
        <v>3.4974704476304713E-9</v>
      </c>
      <c r="D1102" t="s">
        <v>9</v>
      </c>
      <c r="E1102" t="s">
        <v>101</v>
      </c>
      <c r="F1102" s="2" t="s">
        <v>15</v>
      </c>
      <c r="H1102" s="3"/>
    </row>
    <row r="1103" spans="1:12" x14ac:dyDescent="0.2">
      <c r="A1103" t="s">
        <v>64</v>
      </c>
      <c r="B1103" s="3">
        <v>4.2396949131060127E-7</v>
      </c>
      <c r="D1103" t="s">
        <v>9</v>
      </c>
      <c r="E1103" t="s">
        <v>100</v>
      </c>
      <c r="F1103" s="2" t="s">
        <v>15</v>
      </c>
      <c r="H1103" s="3"/>
    </row>
    <row r="1104" spans="1:12" x14ac:dyDescent="0.2">
      <c r="A1104" t="s">
        <v>64</v>
      </c>
      <c r="B1104" s="3">
        <v>4.1146752559714943E-8</v>
      </c>
      <c r="D1104" t="s">
        <v>9</v>
      </c>
      <c r="E1104" t="s">
        <v>101</v>
      </c>
      <c r="F1104" s="2" t="s">
        <v>15</v>
      </c>
      <c r="H1104" s="3"/>
    </row>
    <row r="1105" spans="1:8" x14ac:dyDescent="0.2">
      <c r="A1105" t="s">
        <v>65</v>
      </c>
      <c r="B1105" s="3">
        <v>1.4838945395665915E-12</v>
      </c>
      <c r="D1105" t="s">
        <v>9</v>
      </c>
      <c r="E1105" t="s">
        <v>100</v>
      </c>
      <c r="F1105" s="2" t="s">
        <v>15</v>
      </c>
      <c r="H1105" s="3"/>
    </row>
    <row r="1106" spans="1:8" x14ac:dyDescent="0.2">
      <c r="A1106" t="s">
        <v>65</v>
      </c>
      <c r="B1106" s="3">
        <v>1.4401328196447244E-13</v>
      </c>
      <c r="D1106" t="s">
        <v>9</v>
      </c>
      <c r="E1106" t="s">
        <v>101</v>
      </c>
      <c r="F1106" s="2" t="s">
        <v>15</v>
      </c>
      <c r="H1106" s="3"/>
    </row>
    <row r="1107" spans="1:8" x14ac:dyDescent="0.2">
      <c r="A1107" t="s">
        <v>68</v>
      </c>
      <c r="B1107" s="3">
        <v>4.9290146007471967E-6</v>
      </c>
      <c r="D1107" t="s">
        <v>9</v>
      </c>
      <c r="E1107" t="s">
        <v>100</v>
      </c>
      <c r="F1107" s="2" t="s">
        <v>15</v>
      </c>
      <c r="H1107" s="3"/>
    </row>
    <row r="1108" spans="1:8" x14ac:dyDescent="0.2">
      <c r="A1108" t="s">
        <v>68</v>
      </c>
      <c r="B1108" s="3">
        <v>4.7836672595146453E-7</v>
      </c>
      <c r="D1108" t="s">
        <v>9</v>
      </c>
      <c r="E1108" t="s">
        <v>101</v>
      </c>
      <c r="F1108" s="2" t="s">
        <v>15</v>
      </c>
      <c r="H1108" s="3"/>
    </row>
    <row r="1109" spans="1:8" x14ac:dyDescent="0.2">
      <c r="A1109" t="s">
        <v>69</v>
      </c>
      <c r="B1109" s="3">
        <v>1.4838945395665916E-9</v>
      </c>
      <c r="D1109" t="s">
        <v>9</v>
      </c>
      <c r="E1109" t="s">
        <v>100</v>
      </c>
      <c r="F1109" s="2" t="s">
        <v>15</v>
      </c>
      <c r="H1109" s="3"/>
    </row>
    <row r="1110" spans="1:8" x14ac:dyDescent="0.2">
      <c r="A1110" t="s">
        <v>69</v>
      </c>
      <c r="B1110" s="3">
        <v>1.4401328196447246E-10</v>
      </c>
      <c r="D1110" t="s">
        <v>9</v>
      </c>
      <c r="E1110" t="s">
        <v>101</v>
      </c>
      <c r="F1110" s="2" t="s">
        <v>15</v>
      </c>
      <c r="H1110" s="3"/>
    </row>
    <row r="1111" spans="1:8" x14ac:dyDescent="0.2">
      <c r="A1111" t="s">
        <v>70</v>
      </c>
      <c r="B1111">
        <v>3.0006653682198702E-4</v>
      </c>
      <c r="D1111" t="s">
        <v>9</v>
      </c>
      <c r="E1111" t="s">
        <v>100</v>
      </c>
      <c r="F1111" s="2" t="s">
        <v>15</v>
      </c>
      <c r="H1111" s="3"/>
    </row>
    <row r="1112" spans="1:8" x14ac:dyDescent="0.2">
      <c r="A1112" t="s">
        <v>70</v>
      </c>
      <c r="B1112" s="3">
        <v>2.9121827432823326E-5</v>
      </c>
      <c r="D1112" t="s">
        <v>9</v>
      </c>
      <c r="E1112" t="s">
        <v>101</v>
      </c>
      <c r="F1112" s="2" t="s">
        <v>15</v>
      </c>
      <c r="H1112" s="3"/>
    </row>
    <row r="1113" spans="1:8" x14ac:dyDescent="0.2">
      <c r="A1113" t="s">
        <v>72</v>
      </c>
      <c r="B1113" s="3">
        <v>3.8963858482936672E-6</v>
      </c>
      <c r="D1113" t="s">
        <v>9</v>
      </c>
      <c r="E1113" t="s">
        <v>100</v>
      </c>
      <c r="F1113" s="2" t="s">
        <v>15</v>
      </c>
      <c r="H1113" s="3"/>
    </row>
    <row r="1114" spans="1:8" x14ac:dyDescent="0.2">
      <c r="A1114" t="s">
        <v>72</v>
      </c>
      <c r="B1114" s="3">
        <v>3.7814860338919342E-7</v>
      </c>
      <c r="D1114" t="s">
        <v>9</v>
      </c>
      <c r="E1114" t="s">
        <v>101</v>
      </c>
      <c r="F1114" s="2" t="s">
        <v>15</v>
      </c>
      <c r="H1114" s="3"/>
    </row>
    <row r="1115" spans="1:8" x14ac:dyDescent="0.2">
      <c r="A1115" t="s">
        <v>76</v>
      </c>
      <c r="B1115" s="3">
        <v>2.1198518564846293E-10</v>
      </c>
      <c r="D1115" t="s">
        <v>9</v>
      </c>
      <c r="E1115" t="s">
        <v>100</v>
      </c>
      <c r="F1115" s="2" t="s">
        <v>15</v>
      </c>
      <c r="H1115" s="3"/>
    </row>
    <row r="1116" spans="1:8" x14ac:dyDescent="0.2">
      <c r="A1116" t="s">
        <v>76</v>
      </c>
      <c r="B1116" s="3">
        <v>2.0573376279857471E-11</v>
      </c>
      <c r="D1116" t="s">
        <v>9</v>
      </c>
      <c r="E1116" t="s">
        <v>101</v>
      </c>
      <c r="F1116" s="2" t="s">
        <v>15</v>
      </c>
      <c r="H1116" s="3"/>
    </row>
    <row r="1117" spans="1:8" x14ac:dyDescent="0.2">
      <c r="A1117" t="s">
        <v>78</v>
      </c>
      <c r="B1117" s="3">
        <v>1.7806699275346112E-5</v>
      </c>
      <c r="D1117" t="s">
        <v>9</v>
      </c>
      <c r="E1117" t="s">
        <v>100</v>
      </c>
      <c r="F1117" s="2" t="s">
        <v>15</v>
      </c>
      <c r="H1117" s="3"/>
    </row>
    <row r="1118" spans="1:8" x14ac:dyDescent="0.2">
      <c r="A1118" t="s">
        <v>78</v>
      </c>
      <c r="B1118" s="3">
        <v>1.7281611435463185E-6</v>
      </c>
      <c r="D1118" t="s">
        <v>9</v>
      </c>
      <c r="E1118" t="s">
        <v>101</v>
      </c>
      <c r="F1118" s="2" t="s">
        <v>15</v>
      </c>
      <c r="H1118" s="3"/>
    </row>
    <row r="1119" spans="1:8" x14ac:dyDescent="0.2">
      <c r="A1119" t="s">
        <v>99</v>
      </c>
      <c r="B1119" s="3">
        <v>1.6219731937580282E-7</v>
      </c>
      <c r="D1119" s="2" t="s">
        <v>95</v>
      </c>
      <c r="E1119" t="s">
        <v>100</v>
      </c>
      <c r="F1119" s="2" t="s">
        <v>15</v>
      </c>
      <c r="H1119" s="3"/>
    </row>
    <row r="1120" spans="1:8" x14ac:dyDescent="0.2">
      <c r="A1120" t="s">
        <v>99</v>
      </c>
      <c r="B1120" s="3">
        <v>1.574145937016555E-8</v>
      </c>
      <c r="D1120" s="2" t="s">
        <v>95</v>
      </c>
      <c r="E1120" t="s">
        <v>101</v>
      </c>
      <c r="F1120" s="2" t="s">
        <v>15</v>
      </c>
      <c r="H1120" s="3"/>
    </row>
    <row r="1121" spans="1:12" x14ac:dyDescent="0.2">
      <c r="A1121" t="s">
        <v>80</v>
      </c>
      <c r="B1121" s="3">
        <v>2.1198518564846295E-7</v>
      </c>
      <c r="D1121" t="s">
        <v>9</v>
      </c>
      <c r="E1121" t="s">
        <v>100</v>
      </c>
      <c r="F1121" s="2" t="s">
        <v>15</v>
      </c>
      <c r="H1121" s="3"/>
    </row>
    <row r="1122" spans="1:12" x14ac:dyDescent="0.2">
      <c r="A1122" t="s">
        <v>80</v>
      </c>
      <c r="B1122" s="3">
        <v>2.0573376279857471E-8</v>
      </c>
      <c r="D1122" t="s">
        <v>9</v>
      </c>
      <c r="E1122" t="s">
        <v>101</v>
      </c>
      <c r="F1122" s="2" t="s">
        <v>15</v>
      </c>
      <c r="H1122" s="3"/>
    </row>
    <row r="1124" spans="1:12" x14ac:dyDescent="0.2">
      <c r="A1124" s="1" t="s">
        <v>2</v>
      </c>
      <c r="B1124" s="1" t="s">
        <v>102</v>
      </c>
      <c r="C1124" s="2"/>
      <c r="D1124" s="2"/>
      <c r="E1124" s="2"/>
      <c r="F1124" s="2"/>
      <c r="G1124" s="2"/>
      <c r="H1124" s="2"/>
    </row>
    <row r="1125" spans="1:12" x14ac:dyDescent="0.2">
      <c r="A1125" s="2" t="s">
        <v>3</v>
      </c>
      <c r="B1125" s="2" t="s">
        <v>18</v>
      </c>
      <c r="C1125" s="2"/>
      <c r="D1125" s="2"/>
      <c r="E1125" s="2"/>
      <c r="F1125" s="2"/>
      <c r="G1125" s="2"/>
      <c r="H1125" s="2"/>
      <c r="I1125" s="2"/>
      <c r="J1125" s="2"/>
      <c r="K1125" s="2"/>
      <c r="L1125" s="2"/>
    </row>
    <row r="1126" spans="1:12" x14ac:dyDescent="0.2">
      <c r="A1126" s="2" t="s">
        <v>4</v>
      </c>
      <c r="B1126" s="2">
        <v>1</v>
      </c>
      <c r="C1126" s="2"/>
      <c r="D1126" s="2"/>
      <c r="E1126" s="2"/>
      <c r="F1126" s="2"/>
      <c r="G1126" s="2"/>
      <c r="H1126" s="2"/>
      <c r="I1126" s="2"/>
      <c r="J1126" s="2"/>
      <c r="K1126" s="2"/>
      <c r="L1126" s="2"/>
    </row>
    <row r="1127" spans="1:12" x14ac:dyDescent="0.2">
      <c r="A1127" s="2" t="s">
        <v>5</v>
      </c>
      <c r="B1127" s="2" t="s">
        <v>1</v>
      </c>
      <c r="C1127" s="2"/>
      <c r="D1127" s="2"/>
      <c r="E1127" s="2"/>
      <c r="F1127" s="2"/>
      <c r="G1127" s="2"/>
      <c r="H1127" s="2"/>
      <c r="I1127" s="2"/>
      <c r="J1127" s="2"/>
    </row>
    <row r="1128" spans="1:12" x14ac:dyDescent="0.2">
      <c r="A1128" s="2" t="s">
        <v>6</v>
      </c>
      <c r="B1128" s="2" t="s">
        <v>7</v>
      </c>
      <c r="C1128" s="2"/>
      <c r="D1128" s="2"/>
      <c r="E1128" s="2"/>
      <c r="F1128" s="2"/>
      <c r="G1128" s="2"/>
      <c r="H1128" s="2"/>
      <c r="I1128" s="2"/>
      <c r="J1128" s="2"/>
      <c r="K1128" s="2"/>
      <c r="L1128" s="2"/>
    </row>
    <row r="1129" spans="1:12" x14ac:dyDescent="0.2">
      <c r="A1129" s="2" t="s">
        <v>8</v>
      </c>
      <c r="B1129" s="2" t="s">
        <v>17</v>
      </c>
      <c r="C1129" s="2"/>
      <c r="D1129" s="2"/>
      <c r="E1129" s="2"/>
      <c r="F1129" s="2"/>
      <c r="G1129" s="2"/>
      <c r="H1129" s="2"/>
      <c r="I1129" s="2"/>
      <c r="J1129" s="2"/>
      <c r="K1129" s="2"/>
      <c r="L1129" s="2"/>
    </row>
    <row r="1130" spans="1:12" x14ac:dyDescent="0.2">
      <c r="A1130" s="1" t="s">
        <v>10</v>
      </c>
      <c r="B1130" s="2"/>
      <c r="C1130" s="2"/>
      <c r="D1130" s="2"/>
      <c r="E1130" s="2"/>
      <c r="F1130" s="2"/>
      <c r="G1130" s="2"/>
      <c r="H1130" s="2"/>
      <c r="I1130" s="2"/>
      <c r="J1130" s="2"/>
      <c r="K1130" s="2"/>
      <c r="L1130" s="2"/>
    </row>
    <row r="1131" spans="1:12" x14ac:dyDescent="0.2">
      <c r="A1131" s="2" t="s">
        <v>11</v>
      </c>
      <c r="B1131" s="2" t="s">
        <v>12</v>
      </c>
      <c r="C1131" s="2" t="s">
        <v>3</v>
      </c>
      <c r="D1131" s="2" t="s">
        <v>8</v>
      </c>
      <c r="E1131" s="2" t="s">
        <v>13</v>
      </c>
      <c r="F1131" s="2" t="s">
        <v>6</v>
      </c>
      <c r="G1131" s="2" t="s">
        <v>5</v>
      </c>
      <c r="H1131" s="2"/>
      <c r="I1131" s="2"/>
      <c r="J1131" s="2"/>
      <c r="K1131" s="2"/>
    </row>
    <row r="1132" spans="1:12" x14ac:dyDescent="0.2">
      <c r="A1132" s="2" t="str">
        <f>B1124</f>
        <v>heavy fuel oil, burned in container ship</v>
      </c>
      <c r="B1132" s="2">
        <v>1</v>
      </c>
      <c r="C1132" s="2" t="str">
        <f>B1125</f>
        <v>RER</v>
      </c>
      <c r="D1132" s="2" t="str">
        <f>B1129</f>
        <v>megajoule</v>
      </c>
      <c r="E1132" s="2"/>
      <c r="F1132" s="2" t="s">
        <v>19</v>
      </c>
      <c r="G1132" s="2" t="str">
        <f>B1127</f>
        <v>heat</v>
      </c>
      <c r="H1132" s="2"/>
      <c r="I1132" s="2"/>
      <c r="J1132" s="2"/>
      <c r="K1132" s="2"/>
      <c r="L1132" s="2"/>
    </row>
    <row r="1133" spans="1:12" x14ac:dyDescent="0.2">
      <c r="A1133" t="s">
        <v>129</v>
      </c>
      <c r="B1133">
        <f>1/39</f>
        <v>2.564102564102564E-2</v>
      </c>
      <c r="C1133" t="s">
        <v>27</v>
      </c>
      <c r="D1133" t="s">
        <v>9</v>
      </c>
      <c r="F1133" t="s">
        <v>23</v>
      </c>
      <c r="G1133" t="s">
        <v>103</v>
      </c>
    </row>
    <row r="1134" spans="1:12" x14ac:dyDescent="0.2">
      <c r="A1134" t="s">
        <v>49</v>
      </c>
      <c r="B1134" s="3">
        <v>1.0256365433645409E-5</v>
      </c>
      <c r="D1134" t="s">
        <v>9</v>
      </c>
      <c r="E1134" t="s">
        <v>101</v>
      </c>
      <c r="F1134" s="2" t="s">
        <v>15</v>
      </c>
      <c r="H1134" s="3"/>
    </row>
    <row r="1135" spans="1:12" x14ac:dyDescent="0.2">
      <c r="A1135" t="s">
        <v>91</v>
      </c>
      <c r="B1135" s="3">
        <v>9.6449727337009339E-9</v>
      </c>
      <c r="D1135" t="s">
        <v>9</v>
      </c>
      <c r="E1135" t="s">
        <v>101</v>
      </c>
      <c r="F1135" s="2" t="s">
        <v>15</v>
      </c>
      <c r="H1135" s="3"/>
    </row>
    <row r="1136" spans="1:12" x14ac:dyDescent="0.2">
      <c r="A1136" t="s">
        <v>53</v>
      </c>
      <c r="B1136" s="3">
        <v>6.2721921074364377E-10</v>
      </c>
      <c r="D1136" t="s">
        <v>9</v>
      </c>
      <c r="E1136" t="s">
        <v>101</v>
      </c>
      <c r="F1136" s="2" t="s">
        <v>15</v>
      </c>
      <c r="H1136" s="3"/>
    </row>
    <row r="1137" spans="1:11" x14ac:dyDescent="0.2">
      <c r="A1137" t="s">
        <v>54</v>
      </c>
      <c r="B1137">
        <v>7.9939098901879183E-2</v>
      </c>
      <c r="D1137" t="s">
        <v>9</v>
      </c>
      <c r="E1137" t="s">
        <v>101</v>
      </c>
      <c r="F1137" s="2" t="s">
        <v>15</v>
      </c>
      <c r="H1137" s="3"/>
    </row>
    <row r="1138" spans="1:11" x14ac:dyDescent="0.2">
      <c r="A1138" t="s">
        <v>55</v>
      </c>
      <c r="B1138" s="3">
        <v>6.8728477177939384E-5</v>
      </c>
      <c r="D1138" t="s">
        <v>9</v>
      </c>
      <c r="E1138" t="s">
        <v>101</v>
      </c>
      <c r="F1138" s="2" t="s">
        <v>15</v>
      </c>
      <c r="H1138" s="3"/>
      <c r="K1138" s="3"/>
    </row>
    <row r="1139" spans="1:11" x14ac:dyDescent="0.2">
      <c r="A1139" t="s">
        <v>56</v>
      </c>
      <c r="B1139" s="3">
        <v>4.0039462777159148E-9</v>
      </c>
      <c r="D1139" t="s">
        <v>9</v>
      </c>
      <c r="E1139" t="s">
        <v>101</v>
      </c>
      <c r="F1139" s="2" t="s">
        <v>15</v>
      </c>
      <c r="H1139" s="3"/>
      <c r="K1139" s="3"/>
    </row>
    <row r="1140" spans="1:11" x14ac:dyDescent="0.2">
      <c r="A1140" t="s">
        <v>58</v>
      </c>
      <c r="B1140" s="3">
        <v>9.6449727337009339E-9</v>
      </c>
      <c r="D1140" t="s">
        <v>9</v>
      </c>
      <c r="E1140" t="s">
        <v>101</v>
      </c>
      <c r="F1140" s="2" t="s">
        <v>15</v>
      </c>
      <c r="H1140" s="3"/>
      <c r="K1140" s="3"/>
    </row>
    <row r="1141" spans="1:11" x14ac:dyDescent="0.2">
      <c r="A1141" t="s">
        <v>59</v>
      </c>
      <c r="B1141" s="3">
        <v>4.0793809536092252E-6</v>
      </c>
      <c r="D1141" t="s">
        <v>9</v>
      </c>
      <c r="E1141" t="s">
        <v>101</v>
      </c>
      <c r="F1141" s="2" t="s">
        <v>15</v>
      </c>
      <c r="H1141" s="3"/>
      <c r="K1141" s="3"/>
    </row>
    <row r="1142" spans="1:11" x14ac:dyDescent="0.2">
      <c r="A1142" t="s">
        <v>104</v>
      </c>
      <c r="B1142" s="3">
        <v>2.5641066388993793E-14</v>
      </c>
      <c r="D1142" t="s">
        <v>9</v>
      </c>
      <c r="E1142" t="s">
        <v>101</v>
      </c>
      <c r="F1142" s="2" t="s">
        <v>15</v>
      </c>
      <c r="H1142" s="3"/>
    </row>
    <row r="1143" spans="1:11" x14ac:dyDescent="0.2">
      <c r="A1143" t="s">
        <v>105</v>
      </c>
      <c r="B1143" s="3">
        <v>1.4988121356087533E-6</v>
      </c>
      <c r="D1143" t="s">
        <v>9</v>
      </c>
      <c r="E1143" t="s">
        <v>101</v>
      </c>
      <c r="F1143" s="2" t="s">
        <v>15</v>
      </c>
      <c r="H1143" s="3"/>
    </row>
    <row r="1144" spans="1:11" x14ac:dyDescent="0.2">
      <c r="A1144" t="s">
        <v>106</v>
      </c>
      <c r="B1144" s="3">
        <v>1.4988121356087536E-7</v>
      </c>
      <c r="D1144" t="s">
        <v>9</v>
      </c>
      <c r="E1144" t="s">
        <v>101</v>
      </c>
      <c r="F1144" s="2" t="s">
        <v>15</v>
      </c>
      <c r="H1144" s="3"/>
    </row>
    <row r="1145" spans="1:11" x14ac:dyDescent="0.2">
      <c r="A1145" t="s">
        <v>64</v>
      </c>
      <c r="B1145" s="3">
        <v>4.4181493731679086E-9</v>
      </c>
      <c r="D1145" t="s">
        <v>9</v>
      </c>
      <c r="E1145" t="s">
        <v>101</v>
      </c>
      <c r="F1145" s="2" t="s">
        <v>15</v>
      </c>
      <c r="H1145" s="3"/>
    </row>
    <row r="1146" spans="1:11" x14ac:dyDescent="0.2">
      <c r="A1146" t="s">
        <v>65</v>
      </c>
      <c r="B1146" s="3">
        <v>7.2386626011604185E-10</v>
      </c>
      <c r="D1146" t="s">
        <v>9</v>
      </c>
      <c r="E1146" t="s">
        <v>101</v>
      </c>
      <c r="F1146" s="2" t="s">
        <v>15</v>
      </c>
      <c r="H1146" s="3"/>
    </row>
    <row r="1147" spans="1:11" x14ac:dyDescent="0.2">
      <c r="A1147" t="s">
        <v>66</v>
      </c>
      <c r="B1147" s="3">
        <v>1.3879471014768287E-6</v>
      </c>
      <c r="D1147" t="s">
        <v>9</v>
      </c>
      <c r="E1147" t="s">
        <v>101</v>
      </c>
      <c r="F1147" s="2" t="s">
        <v>15</v>
      </c>
      <c r="H1147" s="3"/>
    </row>
    <row r="1148" spans="1:11" x14ac:dyDescent="0.2">
      <c r="A1148" t="s">
        <v>68</v>
      </c>
      <c r="B1148" s="3">
        <v>6.9408357025220894E-5</v>
      </c>
      <c r="D1148" t="s">
        <v>9</v>
      </c>
      <c r="E1148" t="s">
        <v>101</v>
      </c>
      <c r="F1148" s="2" t="s">
        <v>15</v>
      </c>
      <c r="H1148" s="3"/>
    </row>
    <row r="1149" spans="1:11" x14ac:dyDescent="0.2">
      <c r="A1149" t="s">
        <v>69</v>
      </c>
      <c r="B1149" s="3">
        <v>5.5818502193524422E-7</v>
      </c>
      <c r="D1149" t="s">
        <v>9</v>
      </c>
      <c r="E1149" t="s">
        <v>101</v>
      </c>
      <c r="F1149" s="2" t="s">
        <v>15</v>
      </c>
      <c r="H1149" s="3"/>
    </row>
    <row r="1150" spans="1:11" x14ac:dyDescent="0.2">
      <c r="A1150" t="s">
        <v>70</v>
      </c>
      <c r="B1150">
        <v>1.9128828001645137E-3</v>
      </c>
      <c r="D1150" t="s">
        <v>9</v>
      </c>
      <c r="E1150" t="s">
        <v>101</v>
      </c>
      <c r="F1150" s="2" t="s">
        <v>15</v>
      </c>
      <c r="H1150" s="3"/>
    </row>
    <row r="1151" spans="1:11" x14ac:dyDescent="0.2">
      <c r="A1151" t="s">
        <v>71</v>
      </c>
      <c r="B1151" s="3">
        <v>5.12820309080674E-8</v>
      </c>
      <c r="D1151" t="s">
        <v>9</v>
      </c>
      <c r="E1151" t="s">
        <v>101</v>
      </c>
      <c r="F1151" s="2" t="s">
        <v>15</v>
      </c>
      <c r="H1151" s="3"/>
    </row>
    <row r="1152" spans="1:11" x14ac:dyDescent="0.2">
      <c r="A1152" t="s">
        <v>72</v>
      </c>
      <c r="B1152" s="3">
        <v>4.4996554963039493E-5</v>
      </c>
      <c r="D1152" t="s">
        <v>9</v>
      </c>
      <c r="E1152" t="s">
        <v>101</v>
      </c>
      <c r="F1152" s="2" t="s">
        <v>15</v>
      </c>
      <c r="H1152" s="3"/>
    </row>
    <row r="1153" spans="1:12" x14ac:dyDescent="0.2">
      <c r="A1153" t="s">
        <v>107</v>
      </c>
      <c r="B1153" s="3">
        <v>6.428083646287935E-5</v>
      </c>
      <c r="D1153" t="s">
        <v>9</v>
      </c>
      <c r="E1153" t="s">
        <v>101</v>
      </c>
      <c r="F1153" s="2" t="s">
        <v>15</v>
      </c>
      <c r="H1153" s="3"/>
    </row>
    <row r="1154" spans="1:12" x14ac:dyDescent="0.2">
      <c r="A1154" t="s">
        <v>108</v>
      </c>
      <c r="B1154" s="3">
        <v>5.1424648796319438E-5</v>
      </c>
      <c r="D1154" t="s">
        <v>9</v>
      </c>
      <c r="E1154" t="s">
        <v>101</v>
      </c>
      <c r="F1154" s="2" t="s">
        <v>15</v>
      </c>
      <c r="H1154" s="3"/>
    </row>
    <row r="1155" spans="1:12" x14ac:dyDescent="0.2">
      <c r="A1155" t="s">
        <v>76</v>
      </c>
      <c r="B1155" s="3">
        <v>8.8362885593437998E-9</v>
      </c>
      <c r="D1155" t="s">
        <v>9</v>
      </c>
      <c r="E1155" t="s">
        <v>101</v>
      </c>
      <c r="F1155" s="2" t="s">
        <v>15</v>
      </c>
      <c r="H1155" s="3"/>
    </row>
    <row r="1156" spans="1:12" x14ac:dyDescent="0.2">
      <c r="A1156" t="s">
        <v>78</v>
      </c>
      <c r="B1156">
        <v>1.1659114234524397E-3</v>
      </c>
      <c r="D1156" t="s">
        <v>9</v>
      </c>
      <c r="E1156" t="s">
        <v>101</v>
      </c>
      <c r="F1156" s="2" t="s">
        <v>15</v>
      </c>
      <c r="H1156" s="3"/>
    </row>
    <row r="1157" spans="1:12" x14ac:dyDescent="0.2">
      <c r="A1157" t="s">
        <v>80</v>
      </c>
      <c r="B1157" s="3">
        <v>2.0260399075004886E-8</v>
      </c>
      <c r="D1157" t="s">
        <v>9</v>
      </c>
      <c r="E1157" t="s">
        <v>101</v>
      </c>
      <c r="F1157" s="2" t="s">
        <v>15</v>
      </c>
      <c r="H1157" s="3"/>
    </row>
    <row r="1158" spans="1:12" x14ac:dyDescent="0.2">
      <c r="A1158" t="s">
        <v>58</v>
      </c>
      <c r="B1158" s="3">
        <v>1.6520143085674979E-9</v>
      </c>
      <c r="D1158" t="s">
        <v>9</v>
      </c>
      <c r="E1158" t="s">
        <v>113</v>
      </c>
      <c r="F1158" s="2" t="s">
        <v>15</v>
      </c>
      <c r="H1158" s="3"/>
    </row>
    <row r="1159" spans="1:12" x14ac:dyDescent="0.2">
      <c r="A1159" t="s">
        <v>109</v>
      </c>
      <c r="B1159" s="3">
        <v>1.5836494051346807E-10</v>
      </c>
      <c r="D1159" t="s">
        <v>9</v>
      </c>
      <c r="E1159" t="s">
        <v>113</v>
      </c>
      <c r="F1159" s="2" t="s">
        <v>15</v>
      </c>
      <c r="H1159" s="3"/>
    </row>
    <row r="1160" spans="1:12" x14ac:dyDescent="0.2">
      <c r="A1160" t="s">
        <v>110</v>
      </c>
      <c r="B1160" s="3">
        <v>4.5524750499172942E-7</v>
      </c>
      <c r="D1160" t="s">
        <v>9</v>
      </c>
      <c r="E1160" t="s">
        <v>113</v>
      </c>
      <c r="F1160" s="2" t="s">
        <v>15</v>
      </c>
      <c r="H1160" s="3"/>
    </row>
    <row r="1161" spans="1:12" x14ac:dyDescent="0.2">
      <c r="A1161" t="s">
        <v>111</v>
      </c>
      <c r="B1161" s="3">
        <v>2.6394088838964563E-11</v>
      </c>
      <c r="D1161" t="s">
        <v>9</v>
      </c>
      <c r="E1161" t="s">
        <v>113</v>
      </c>
      <c r="F1161" s="2" t="s">
        <v>15</v>
      </c>
      <c r="H1161" s="3"/>
    </row>
    <row r="1162" spans="1:12" x14ac:dyDescent="0.2">
      <c r="A1162" t="s">
        <v>112</v>
      </c>
      <c r="B1162" s="3">
        <v>2.4156210432449703E-10</v>
      </c>
      <c r="D1162" t="s">
        <v>9</v>
      </c>
      <c r="E1162" t="s">
        <v>113</v>
      </c>
      <c r="F1162" s="2" t="s">
        <v>15</v>
      </c>
      <c r="H1162" s="3"/>
    </row>
    <row r="1165" spans="1:12" x14ac:dyDescent="0.2">
      <c r="A1165" s="1" t="s">
        <v>2</v>
      </c>
      <c r="B1165" s="1" t="s">
        <v>132</v>
      </c>
      <c r="C1165" s="2"/>
      <c r="D1165" s="2"/>
      <c r="E1165" s="2"/>
      <c r="F1165" s="2"/>
      <c r="G1165" s="2"/>
      <c r="H1165" s="2"/>
    </row>
    <row r="1166" spans="1:12" x14ac:dyDescent="0.2">
      <c r="A1166" s="2" t="s">
        <v>3</v>
      </c>
      <c r="B1166" s="2" t="s">
        <v>18</v>
      </c>
      <c r="C1166" s="2"/>
      <c r="D1166" s="2"/>
      <c r="E1166" s="2"/>
      <c r="F1166" s="2"/>
      <c r="G1166" s="2"/>
      <c r="H1166" s="2"/>
      <c r="I1166" s="2"/>
      <c r="J1166" s="2"/>
      <c r="K1166" s="2"/>
      <c r="L1166" s="2"/>
    </row>
    <row r="1167" spans="1:12" x14ac:dyDescent="0.2">
      <c r="A1167" s="2" t="s">
        <v>4</v>
      </c>
      <c r="B1167" s="2">
        <v>1</v>
      </c>
      <c r="C1167" s="2"/>
      <c r="D1167" s="2"/>
      <c r="E1167" s="2"/>
      <c r="F1167" s="2"/>
      <c r="G1167" s="2"/>
      <c r="H1167" s="2"/>
      <c r="I1167" s="2"/>
      <c r="J1167" s="2"/>
      <c r="K1167" s="2"/>
      <c r="L1167" s="2"/>
    </row>
    <row r="1168" spans="1:12" x14ac:dyDescent="0.2">
      <c r="A1168" s="2" t="s">
        <v>5</v>
      </c>
      <c r="B1168" s="2" t="s">
        <v>1</v>
      </c>
      <c r="C1168" s="2"/>
      <c r="D1168" s="2"/>
      <c r="E1168" s="2"/>
      <c r="F1168" s="2"/>
      <c r="G1168" s="2"/>
      <c r="H1168" s="2"/>
      <c r="I1168" s="2"/>
      <c r="J1168" s="2"/>
    </row>
    <row r="1169" spans="1:12" x14ac:dyDescent="0.2">
      <c r="A1169" s="2" t="s">
        <v>6</v>
      </c>
      <c r="B1169" s="2" t="s">
        <v>7</v>
      </c>
      <c r="C1169" s="2"/>
      <c r="D1169" s="2"/>
      <c r="E1169" s="2"/>
      <c r="F1169" s="2"/>
      <c r="G1169" s="2"/>
      <c r="H1169" s="2"/>
      <c r="I1169" s="2"/>
      <c r="J1169" s="2"/>
      <c r="K1169" s="2"/>
      <c r="L1169" s="2"/>
    </row>
    <row r="1170" spans="1:12" x14ac:dyDescent="0.2">
      <c r="A1170" s="2" t="s">
        <v>8</v>
      </c>
      <c r="B1170" s="2" t="s">
        <v>17</v>
      </c>
      <c r="C1170" s="2"/>
      <c r="D1170" s="2"/>
      <c r="E1170" s="2"/>
      <c r="F1170" s="2"/>
      <c r="G1170" s="2"/>
      <c r="H1170" s="2"/>
      <c r="I1170" s="2"/>
      <c r="J1170" s="2"/>
      <c r="K1170" s="2"/>
      <c r="L1170" s="2"/>
    </row>
    <row r="1171" spans="1:12" x14ac:dyDescent="0.2">
      <c r="A1171" s="1" t="s">
        <v>10</v>
      </c>
      <c r="B1171" s="2"/>
      <c r="C1171" s="2"/>
      <c r="D1171" s="2"/>
      <c r="E1171" s="2"/>
      <c r="F1171" s="2"/>
      <c r="G1171" s="2"/>
      <c r="H1171" s="2"/>
      <c r="I1171" s="2"/>
      <c r="J1171" s="2"/>
      <c r="K1171" s="2"/>
      <c r="L1171" s="2"/>
    </row>
    <row r="1172" spans="1:12" x14ac:dyDescent="0.2">
      <c r="A1172" s="2" t="s">
        <v>11</v>
      </c>
      <c r="B1172" s="2" t="s">
        <v>12</v>
      </c>
      <c r="C1172" s="2" t="s">
        <v>3</v>
      </c>
      <c r="D1172" s="2" t="s">
        <v>8</v>
      </c>
      <c r="E1172" s="2" t="s">
        <v>13</v>
      </c>
      <c r="F1172" s="2" t="s">
        <v>6</v>
      </c>
      <c r="G1172" s="2" t="s">
        <v>5</v>
      </c>
      <c r="H1172" s="2"/>
      <c r="I1172" s="2"/>
      <c r="J1172" s="2"/>
      <c r="K1172" s="2"/>
    </row>
    <row r="1173" spans="1:12" x14ac:dyDescent="0.2">
      <c r="A1173" s="2" t="str">
        <f>B1165</f>
        <v>methanol from biomass, burned in container ship</v>
      </c>
      <c r="B1173" s="2">
        <v>1</v>
      </c>
      <c r="C1173" s="2" t="str">
        <f>B1166</f>
        <v>RER</v>
      </c>
      <c r="D1173" s="2" t="str">
        <f>B1170</f>
        <v>megajoule</v>
      </c>
      <c r="E1173" s="2"/>
      <c r="F1173" s="2" t="s">
        <v>19</v>
      </c>
      <c r="G1173" s="2" t="str">
        <f>B1168</f>
        <v>heat</v>
      </c>
      <c r="H1173" s="2"/>
      <c r="I1173" s="2"/>
      <c r="J1173" s="2"/>
      <c r="K1173" s="2"/>
      <c r="L1173" s="2"/>
    </row>
    <row r="1174" spans="1:12" x14ac:dyDescent="0.2">
      <c r="A1174" t="s">
        <v>154</v>
      </c>
      <c r="B1174" s="10">
        <v>5.5555555555555601E-2</v>
      </c>
      <c r="C1174" t="s">
        <v>131</v>
      </c>
      <c r="D1174" t="s">
        <v>9</v>
      </c>
      <c r="F1174" t="s">
        <v>23</v>
      </c>
      <c r="G1174" t="s">
        <v>130</v>
      </c>
    </row>
    <row r="1175" spans="1:12" s="4" customFormat="1" x14ac:dyDescent="0.2">
      <c r="A1175" s="4" t="s">
        <v>99</v>
      </c>
      <c r="B1175" s="9">
        <f>0.0625/1000</f>
        <v>6.2500000000000001E-5</v>
      </c>
      <c r="D1175" s="4" t="s">
        <v>95</v>
      </c>
      <c r="E1175" s="4" t="s">
        <v>118</v>
      </c>
      <c r="F1175" s="4" t="s">
        <v>15</v>
      </c>
      <c r="L1175" s="6"/>
    </row>
    <row r="1176" spans="1:12" s="4" customFormat="1" x14ac:dyDescent="0.2">
      <c r="A1176" s="4" t="s">
        <v>124</v>
      </c>
      <c r="B1176" s="9">
        <v>7.6222222222222233E-2</v>
      </c>
      <c r="D1176" s="4" t="s">
        <v>9</v>
      </c>
      <c r="E1176" s="4" t="s">
        <v>14</v>
      </c>
      <c r="F1176" s="4" t="s">
        <v>15</v>
      </c>
      <c r="L1176" s="6"/>
    </row>
    <row r="1177" spans="1:12" s="4" customFormat="1" x14ac:dyDescent="0.2">
      <c r="A1177" s="4" t="s">
        <v>125</v>
      </c>
      <c r="B1177" s="9">
        <v>9.0000000000000002E-6</v>
      </c>
      <c r="D1177" s="4" t="s">
        <v>9</v>
      </c>
      <c r="E1177" s="4" t="s">
        <v>14</v>
      </c>
      <c r="F1177" s="4" t="s">
        <v>15</v>
      </c>
    </row>
    <row r="1178" spans="1:12" s="4" customFormat="1" x14ac:dyDescent="0.2">
      <c r="A1178" s="4" t="s">
        <v>70</v>
      </c>
      <c r="B1178" s="9">
        <v>6.8750000000000002E-6</v>
      </c>
      <c r="D1178" s="4" t="s">
        <v>9</v>
      </c>
      <c r="E1178" s="4" t="s">
        <v>14</v>
      </c>
      <c r="F1178" s="4" t="s">
        <v>15</v>
      </c>
      <c r="L1178" s="6"/>
    </row>
    <row r="1179" spans="1:12" s="4" customFormat="1" x14ac:dyDescent="0.2">
      <c r="A1179" s="4" t="s">
        <v>72</v>
      </c>
      <c r="B1179" s="9">
        <v>1.2499999999999999E-7</v>
      </c>
      <c r="D1179" s="4" t="s">
        <v>9</v>
      </c>
      <c r="E1179" s="4" t="s">
        <v>14</v>
      </c>
      <c r="F1179" s="4" t="s">
        <v>15</v>
      </c>
      <c r="L1179" s="6"/>
    </row>
    <row r="1181" spans="1:12" x14ac:dyDescent="0.2">
      <c r="A1181" s="1" t="s">
        <v>2</v>
      </c>
      <c r="B1181" s="1" t="s">
        <v>274</v>
      </c>
      <c r="C1181" s="2"/>
      <c r="D1181" s="2"/>
      <c r="E1181" s="2"/>
      <c r="F1181" s="2"/>
      <c r="G1181" s="2"/>
      <c r="H1181" s="2"/>
    </row>
    <row r="1182" spans="1:12" x14ac:dyDescent="0.2">
      <c r="A1182" s="2" t="s">
        <v>3</v>
      </c>
      <c r="B1182" s="2" t="s">
        <v>18</v>
      </c>
      <c r="C1182" s="2"/>
      <c r="D1182" s="2"/>
      <c r="E1182" s="2"/>
      <c r="F1182" s="2"/>
      <c r="G1182" s="2"/>
      <c r="H1182" s="2"/>
      <c r="I1182" s="2"/>
      <c r="J1182" s="2"/>
      <c r="K1182" s="2"/>
      <c r="L1182" s="2"/>
    </row>
    <row r="1183" spans="1:12" x14ac:dyDescent="0.2">
      <c r="A1183" s="2" t="s">
        <v>4</v>
      </c>
      <c r="B1183" s="2">
        <v>1</v>
      </c>
      <c r="C1183" s="2"/>
      <c r="D1183" s="2"/>
      <c r="E1183" s="2"/>
      <c r="F1183" s="2"/>
      <c r="G1183" s="2"/>
      <c r="H1183" s="2"/>
      <c r="I1183" s="2"/>
      <c r="J1183" s="2"/>
      <c r="K1183" s="2"/>
      <c r="L1183" s="2"/>
    </row>
    <row r="1184" spans="1:12" x14ac:dyDescent="0.2">
      <c r="A1184" s="2" t="s">
        <v>5</v>
      </c>
      <c r="B1184" s="2" t="s">
        <v>275</v>
      </c>
      <c r="C1184" s="2"/>
      <c r="D1184" s="2"/>
      <c r="E1184" s="2"/>
      <c r="F1184" s="2"/>
      <c r="G1184" s="2"/>
      <c r="H1184" s="2"/>
      <c r="I1184" s="2"/>
      <c r="J1184" s="2"/>
    </row>
    <row r="1185" spans="1:12" x14ac:dyDescent="0.2">
      <c r="A1185" s="2" t="s">
        <v>6</v>
      </c>
      <c r="B1185" s="2" t="s">
        <v>7</v>
      </c>
      <c r="C1185" s="2"/>
      <c r="D1185" s="2"/>
      <c r="E1185" s="2"/>
      <c r="F1185" s="2"/>
      <c r="G1185" s="2"/>
      <c r="H1185" s="2"/>
      <c r="I1185" s="2"/>
      <c r="J1185" s="2"/>
      <c r="K1185" s="2"/>
      <c r="L1185" s="2"/>
    </row>
    <row r="1186" spans="1:12" x14ac:dyDescent="0.2">
      <c r="A1186" s="2" t="s">
        <v>8</v>
      </c>
      <c r="B1186" s="2" t="s">
        <v>17</v>
      </c>
      <c r="C1186" s="2"/>
      <c r="D1186" s="2"/>
      <c r="E1186" s="2"/>
      <c r="F1186" s="2"/>
      <c r="G1186" s="2"/>
      <c r="H1186" s="2"/>
      <c r="I1186" s="2"/>
      <c r="J1186" s="2"/>
      <c r="K1186" s="2"/>
      <c r="L1186" s="2"/>
    </row>
    <row r="1187" spans="1:12" x14ac:dyDescent="0.2">
      <c r="A1187" s="1" t="s">
        <v>10</v>
      </c>
      <c r="B1187" s="2"/>
      <c r="C1187" s="2"/>
      <c r="D1187" s="2"/>
      <c r="E1187" s="2"/>
      <c r="F1187" s="2"/>
      <c r="G1187" s="2"/>
      <c r="H1187" s="2"/>
      <c r="I1187" s="2"/>
      <c r="J1187" s="2"/>
      <c r="K1187" s="2"/>
      <c r="L1187" s="2"/>
    </row>
    <row r="1188" spans="1:12" x14ac:dyDescent="0.2">
      <c r="A1188" s="2" t="s">
        <v>11</v>
      </c>
      <c r="B1188" s="2" t="s">
        <v>12</v>
      </c>
      <c r="C1188" s="2" t="s">
        <v>3</v>
      </c>
      <c r="D1188" s="2" t="s">
        <v>8</v>
      </c>
      <c r="E1188" s="2" t="s">
        <v>13</v>
      </c>
      <c r="F1188" s="2" t="s">
        <v>6</v>
      </c>
      <c r="G1188" s="2" t="s">
        <v>5</v>
      </c>
      <c r="H1188" s="2"/>
      <c r="I1188" s="2"/>
      <c r="J1188" s="2"/>
      <c r="K1188" s="2"/>
    </row>
    <row r="1189" spans="1:12" x14ac:dyDescent="0.2">
      <c r="A1189" s="2" t="str">
        <f>B1181</f>
        <v>electricity, used in passenger train</v>
      </c>
      <c r="B1189" s="2">
        <v>1</v>
      </c>
      <c r="C1189" s="2" t="str">
        <f>B1182</f>
        <v>RER</v>
      </c>
      <c r="D1189" s="2" t="str">
        <f>B1186</f>
        <v>megajoule</v>
      </c>
      <c r="E1189" s="2"/>
      <c r="F1189" s="2" t="s">
        <v>19</v>
      </c>
      <c r="G1189" s="2" t="str">
        <f>B1184</f>
        <v>electricity, high voltage</v>
      </c>
      <c r="H1189" s="2"/>
      <c r="I1189" s="2"/>
      <c r="J1189" s="2"/>
      <c r="K1189" s="2"/>
      <c r="L1189" s="2"/>
    </row>
    <row r="1190" spans="1:12" x14ac:dyDescent="0.2">
      <c r="A1190" s="2" t="s">
        <v>277</v>
      </c>
      <c r="B1190" s="2">
        <f>1/0.1639</f>
        <v>6.1012812690665044</v>
      </c>
      <c r="C1190" s="2" t="s">
        <v>22</v>
      </c>
      <c r="D1190" s="2" t="s">
        <v>239</v>
      </c>
      <c r="E1190" s="2"/>
      <c r="F1190" s="2" t="s">
        <v>23</v>
      </c>
      <c r="G1190" s="2" t="s">
        <v>276</v>
      </c>
      <c r="H1190" s="2"/>
      <c r="I1190" s="2"/>
      <c r="J1190" s="2"/>
      <c r="K1190" s="2"/>
      <c r="L1190" s="2"/>
    </row>
    <row r="1192" spans="1:12" x14ac:dyDescent="0.2">
      <c r="A1192" s="1" t="s">
        <v>2</v>
      </c>
      <c r="B1192" s="1" t="s">
        <v>140</v>
      </c>
      <c r="C1192" s="2"/>
      <c r="D1192" s="2"/>
      <c r="E1192" s="2"/>
      <c r="F1192" s="2"/>
      <c r="G1192" s="2"/>
      <c r="H1192" s="2"/>
    </row>
    <row r="1193" spans="1:12" x14ac:dyDescent="0.2">
      <c r="A1193" s="2" t="s">
        <v>3</v>
      </c>
      <c r="B1193" s="2" t="s">
        <v>18</v>
      </c>
      <c r="C1193" s="2"/>
      <c r="D1193" s="2"/>
      <c r="E1193" s="2"/>
      <c r="F1193" s="2"/>
      <c r="G1193" s="2"/>
      <c r="H1193" s="2"/>
      <c r="I1193" s="2"/>
      <c r="J1193" s="2"/>
      <c r="K1193" s="2"/>
      <c r="L1193" s="2"/>
    </row>
    <row r="1194" spans="1:12" x14ac:dyDescent="0.2">
      <c r="A1194" s="2" t="s">
        <v>4</v>
      </c>
      <c r="B1194" s="2">
        <v>1</v>
      </c>
      <c r="C1194" s="2"/>
      <c r="D1194" s="2"/>
      <c r="E1194" s="2"/>
      <c r="F1194" s="2"/>
      <c r="G1194" s="2"/>
      <c r="H1194" s="2"/>
      <c r="I1194" s="2"/>
      <c r="J1194" s="2"/>
      <c r="K1194" s="2"/>
      <c r="L1194" s="2"/>
    </row>
    <row r="1195" spans="1:12" x14ac:dyDescent="0.2">
      <c r="A1195" s="2" t="s">
        <v>5</v>
      </c>
      <c r="B1195" s="2" t="s">
        <v>1</v>
      </c>
      <c r="C1195" s="2"/>
      <c r="D1195" s="2"/>
      <c r="E1195" s="2"/>
      <c r="F1195" s="2"/>
      <c r="G1195" s="2"/>
      <c r="H1195" s="2"/>
      <c r="I1195" s="2"/>
      <c r="J1195" s="2"/>
    </row>
    <row r="1196" spans="1:12" x14ac:dyDescent="0.2">
      <c r="A1196" s="2" t="s">
        <v>6</v>
      </c>
      <c r="B1196" s="2" t="s">
        <v>7</v>
      </c>
      <c r="C1196" s="2"/>
      <c r="D1196" s="2"/>
      <c r="E1196" s="2"/>
      <c r="F1196" s="2"/>
      <c r="G1196" s="2"/>
      <c r="H1196" s="2"/>
      <c r="I1196" s="2"/>
      <c r="J1196" s="2"/>
      <c r="K1196" s="2"/>
      <c r="L1196" s="2"/>
    </row>
    <row r="1197" spans="1:12" x14ac:dyDescent="0.2">
      <c r="A1197" s="2" t="s">
        <v>8</v>
      </c>
      <c r="B1197" s="2" t="s">
        <v>17</v>
      </c>
      <c r="C1197" s="2"/>
      <c r="D1197" s="2"/>
      <c r="E1197" s="2"/>
      <c r="F1197" s="2"/>
      <c r="G1197" s="2"/>
      <c r="H1197" s="2"/>
      <c r="I1197" s="2"/>
      <c r="J1197" s="2"/>
      <c r="K1197" s="2"/>
      <c r="L1197" s="2"/>
    </row>
    <row r="1198" spans="1:12" x14ac:dyDescent="0.2">
      <c r="A1198" s="1" t="s">
        <v>10</v>
      </c>
      <c r="B1198" s="2"/>
      <c r="C1198" s="2"/>
      <c r="D1198" s="2"/>
      <c r="E1198" s="2"/>
      <c r="F1198" s="2"/>
      <c r="G1198" s="2"/>
      <c r="H1198" s="2"/>
      <c r="I1198" s="2"/>
      <c r="J1198" s="2"/>
      <c r="K1198" s="2"/>
      <c r="L1198" s="2"/>
    </row>
    <row r="1199" spans="1:12" x14ac:dyDescent="0.2">
      <c r="A1199" s="2" t="s">
        <v>11</v>
      </c>
      <c r="B1199" s="2" t="s">
        <v>12</v>
      </c>
      <c r="C1199" s="2" t="s">
        <v>3</v>
      </c>
      <c r="D1199" s="2" t="s">
        <v>8</v>
      </c>
      <c r="E1199" s="2" t="s">
        <v>13</v>
      </c>
      <c r="F1199" s="2" t="s">
        <v>6</v>
      </c>
      <c r="G1199" s="2" t="s">
        <v>5</v>
      </c>
      <c r="H1199" s="2"/>
      <c r="I1199" s="2"/>
      <c r="J1199" s="2"/>
      <c r="K1199" s="2"/>
    </row>
    <row r="1200" spans="1:12" x14ac:dyDescent="0.2">
      <c r="A1200" s="2" t="str">
        <f>B1192</f>
        <v>diesel, burned in passenger train</v>
      </c>
      <c r="B1200" s="2">
        <v>1</v>
      </c>
      <c r="C1200" s="2" t="str">
        <f>B1193</f>
        <v>RER</v>
      </c>
      <c r="D1200" s="2" t="str">
        <f>B1197</f>
        <v>megajoule</v>
      </c>
      <c r="E1200" s="2"/>
      <c r="F1200" s="2" t="s">
        <v>19</v>
      </c>
      <c r="G1200" s="2" t="str">
        <f>B1195</f>
        <v>heat</v>
      </c>
      <c r="H1200" s="2"/>
      <c r="I1200" s="2"/>
      <c r="J1200" s="2"/>
      <c r="K1200" s="2"/>
      <c r="L1200" s="2"/>
    </row>
    <row r="1201" spans="1:9" x14ac:dyDescent="0.2">
      <c r="A1201" s="2" t="s">
        <v>121</v>
      </c>
      <c r="B1201" s="11">
        <f>1/43</f>
        <v>2.3255813953488372E-2</v>
      </c>
      <c r="C1201" t="s">
        <v>27</v>
      </c>
      <c r="D1201" t="s">
        <v>9</v>
      </c>
      <c r="F1201" t="s">
        <v>23</v>
      </c>
      <c r="G1201" t="s">
        <v>45</v>
      </c>
    </row>
    <row r="1202" spans="1:9" x14ac:dyDescent="0.2">
      <c r="A1202" t="s">
        <v>49</v>
      </c>
      <c r="B1202" s="3">
        <v>4.6511627906976748E-7</v>
      </c>
      <c r="D1202" t="s">
        <v>9</v>
      </c>
      <c r="E1202" t="s">
        <v>118</v>
      </c>
      <c r="F1202" s="2" t="s">
        <v>15</v>
      </c>
      <c r="H1202" s="3"/>
      <c r="I1202" s="3"/>
    </row>
    <row r="1203" spans="1:9" x14ac:dyDescent="0.2">
      <c r="A1203" t="s">
        <v>51</v>
      </c>
      <c r="B1203" s="3">
        <v>2.3255813953488372E-6</v>
      </c>
      <c r="D1203" t="s">
        <v>9</v>
      </c>
      <c r="E1203" t="s">
        <v>118</v>
      </c>
      <c r="F1203" s="2" t="s">
        <v>15</v>
      </c>
      <c r="H1203" s="3"/>
      <c r="I1203" s="3"/>
    </row>
    <row r="1204" spans="1:9" x14ac:dyDescent="0.2">
      <c r="A1204" t="s">
        <v>53</v>
      </c>
      <c r="B1204" s="3">
        <v>2.3255813953488374E-10</v>
      </c>
      <c r="D1204" t="s">
        <v>9</v>
      </c>
      <c r="E1204" t="s">
        <v>118</v>
      </c>
      <c r="F1204" s="2" t="s">
        <v>15</v>
      </c>
      <c r="I1204" s="3"/>
    </row>
    <row r="1205" spans="1:9" x14ac:dyDescent="0.2">
      <c r="A1205" t="s">
        <v>54</v>
      </c>
      <c r="B1205">
        <v>7.3027602695066293E-2</v>
      </c>
      <c r="D1205" t="s">
        <v>9</v>
      </c>
      <c r="E1205" t="s">
        <v>118</v>
      </c>
      <c r="F1205" s="2" t="s">
        <v>15</v>
      </c>
      <c r="I1205" s="3"/>
    </row>
    <row r="1206" spans="1:9" x14ac:dyDescent="0.2">
      <c r="A1206" t="s">
        <v>55</v>
      </c>
      <c r="B1206">
        <v>3.6731145403173224E-4</v>
      </c>
      <c r="D1206" t="s">
        <v>9</v>
      </c>
      <c r="E1206" t="s">
        <v>118</v>
      </c>
      <c r="F1206" s="2" t="s">
        <v>15</v>
      </c>
      <c r="I1206" s="3"/>
    </row>
    <row r="1207" spans="1:9" x14ac:dyDescent="0.2">
      <c r="A1207" t="s">
        <v>56</v>
      </c>
      <c r="B1207" s="3">
        <v>1.160617257118018E-9</v>
      </c>
      <c r="D1207" t="s">
        <v>9</v>
      </c>
      <c r="E1207" t="s">
        <v>118</v>
      </c>
      <c r="F1207" s="2" t="s">
        <v>15</v>
      </c>
      <c r="I1207" s="3"/>
    </row>
    <row r="1208" spans="1:9" x14ac:dyDescent="0.2">
      <c r="A1208" t="s">
        <v>58</v>
      </c>
      <c r="B1208" s="3">
        <v>3.9556618126494245E-8</v>
      </c>
      <c r="D1208" t="s">
        <v>9</v>
      </c>
      <c r="E1208" t="s">
        <v>118</v>
      </c>
      <c r="F1208" s="2" t="s">
        <v>15</v>
      </c>
      <c r="I1208" s="3"/>
    </row>
    <row r="1209" spans="1:9" x14ac:dyDescent="0.2">
      <c r="A1209" t="s">
        <v>59</v>
      </c>
      <c r="B1209" s="3">
        <v>2.3255813953488372E-6</v>
      </c>
      <c r="D1209" t="s">
        <v>9</v>
      </c>
      <c r="E1209" t="s">
        <v>118</v>
      </c>
      <c r="F1209" s="2" t="s">
        <v>15</v>
      </c>
      <c r="I1209" s="3"/>
    </row>
    <row r="1210" spans="1:9" x14ac:dyDescent="0.2">
      <c r="A1210" t="s">
        <v>64</v>
      </c>
      <c r="B1210" s="3">
        <v>2.5429254509889156E-12</v>
      </c>
      <c r="D1210" t="s">
        <v>9</v>
      </c>
      <c r="E1210" t="s">
        <v>118</v>
      </c>
      <c r="F1210" s="2" t="s">
        <v>15</v>
      </c>
      <c r="I1210" s="3"/>
    </row>
    <row r="1211" spans="1:9" x14ac:dyDescent="0.2">
      <c r="A1211" t="s">
        <v>65</v>
      </c>
      <c r="B1211" s="3">
        <v>4.651162790697675E-13</v>
      </c>
      <c r="D1211" t="s">
        <v>9</v>
      </c>
      <c r="E1211" t="s">
        <v>118</v>
      </c>
      <c r="F1211" s="2" t="s">
        <v>15</v>
      </c>
      <c r="I1211" s="3"/>
    </row>
    <row r="1212" spans="1:9" x14ac:dyDescent="0.2">
      <c r="A1212" t="s">
        <v>66</v>
      </c>
      <c r="B1212" s="3">
        <v>3.0210823733970879E-6</v>
      </c>
      <c r="D1212" t="s">
        <v>9</v>
      </c>
      <c r="E1212" t="s">
        <v>118</v>
      </c>
      <c r="F1212" s="2" t="s">
        <v>15</v>
      </c>
      <c r="I1212" s="3"/>
    </row>
    <row r="1213" spans="1:9" x14ac:dyDescent="0.2">
      <c r="A1213" t="s">
        <v>68</v>
      </c>
      <c r="B1213" s="3">
        <v>1.1758313410128234E-4</v>
      </c>
      <c r="D1213" t="s">
        <v>9</v>
      </c>
      <c r="E1213" t="s">
        <v>118</v>
      </c>
      <c r="F1213" s="2" t="s">
        <v>15</v>
      </c>
      <c r="I1213" s="3"/>
    </row>
    <row r="1214" spans="1:9" x14ac:dyDescent="0.2">
      <c r="A1214" t="s">
        <v>69</v>
      </c>
      <c r="B1214" s="3">
        <v>1.6235600956313845E-9</v>
      </c>
      <c r="D1214" t="s">
        <v>9</v>
      </c>
      <c r="E1214" t="s">
        <v>118</v>
      </c>
      <c r="F1214" s="2" t="s">
        <v>15</v>
      </c>
      <c r="I1214" s="3"/>
    </row>
    <row r="1215" spans="1:9" x14ac:dyDescent="0.2">
      <c r="A1215" t="s">
        <v>70</v>
      </c>
      <c r="B1215">
        <v>1.2758096066072594E-3</v>
      </c>
      <c r="D1215" t="s">
        <v>9</v>
      </c>
      <c r="E1215" t="s">
        <v>118</v>
      </c>
      <c r="F1215" s="2" t="s">
        <v>15</v>
      </c>
      <c r="I1215" s="3"/>
    </row>
    <row r="1216" spans="1:9" x14ac:dyDescent="0.2">
      <c r="A1216" t="s">
        <v>72</v>
      </c>
      <c r="B1216" s="3">
        <v>2.9836991958269943E-5</v>
      </c>
      <c r="D1216" t="s">
        <v>9</v>
      </c>
      <c r="E1216" t="s">
        <v>118</v>
      </c>
      <c r="F1216" s="2" t="s">
        <v>15</v>
      </c>
      <c r="I1216" s="3"/>
    </row>
    <row r="1217" spans="1:12" x14ac:dyDescent="0.2">
      <c r="A1217" t="s">
        <v>107</v>
      </c>
      <c r="B1217" s="3">
        <v>3.5524885894370795E-5</v>
      </c>
      <c r="D1217" t="s">
        <v>9</v>
      </c>
      <c r="E1217" t="s">
        <v>118</v>
      </c>
      <c r="F1217" s="2" t="s">
        <v>15</v>
      </c>
      <c r="I1217" s="3"/>
    </row>
    <row r="1218" spans="1:12" x14ac:dyDescent="0.2">
      <c r="A1218" t="s">
        <v>108</v>
      </c>
      <c r="B1218" s="3">
        <v>1.6163877417952619E-5</v>
      </c>
      <c r="D1218" t="s">
        <v>9</v>
      </c>
      <c r="E1218" t="s">
        <v>118</v>
      </c>
      <c r="F1218" s="2" t="s">
        <v>15</v>
      </c>
      <c r="I1218" s="3"/>
    </row>
    <row r="1219" spans="1:12" x14ac:dyDescent="0.2">
      <c r="A1219" t="s">
        <v>76</v>
      </c>
      <c r="B1219" s="3">
        <v>2.3255813953488374E-10</v>
      </c>
      <c r="D1219" t="s">
        <v>9</v>
      </c>
      <c r="E1219" t="s">
        <v>118</v>
      </c>
      <c r="F1219" s="2" t="s">
        <v>15</v>
      </c>
      <c r="I1219" s="3"/>
    </row>
    <row r="1220" spans="1:12" x14ac:dyDescent="0.2">
      <c r="A1220" t="s">
        <v>78</v>
      </c>
      <c r="B1220" s="3">
        <v>1.3931753966529016E-5</v>
      </c>
      <c r="D1220" t="s">
        <v>9</v>
      </c>
      <c r="E1220" t="s">
        <v>118</v>
      </c>
      <c r="F1220" s="2" t="s">
        <v>15</v>
      </c>
      <c r="I1220" s="3"/>
    </row>
    <row r="1221" spans="1:12" x14ac:dyDescent="0.2">
      <c r="A1221" t="s">
        <v>79</v>
      </c>
      <c r="B1221" s="3">
        <v>9.2805911758313421E-7</v>
      </c>
      <c r="D1221" t="s">
        <v>9</v>
      </c>
      <c r="E1221" t="s">
        <v>118</v>
      </c>
      <c r="F1221" s="2" t="s">
        <v>15</v>
      </c>
      <c r="I1221" s="3"/>
    </row>
    <row r="1222" spans="1:12" x14ac:dyDescent="0.2">
      <c r="A1222" t="s">
        <v>141</v>
      </c>
      <c r="B1222" s="3">
        <v>9.2805911758313421E-7</v>
      </c>
      <c r="D1222" t="s">
        <v>9</v>
      </c>
      <c r="E1222" t="s">
        <v>118</v>
      </c>
      <c r="F1222" s="2" t="s">
        <v>15</v>
      </c>
      <c r="I1222" s="3"/>
    </row>
    <row r="1223" spans="1:12" x14ac:dyDescent="0.2">
      <c r="A1223" t="s">
        <v>80</v>
      </c>
      <c r="B1223" s="3">
        <v>2.3255813953488372E-8</v>
      </c>
      <c r="D1223" t="s">
        <v>9</v>
      </c>
      <c r="E1223" t="s">
        <v>118</v>
      </c>
      <c r="F1223" s="2" t="s">
        <v>15</v>
      </c>
      <c r="I1223" s="3"/>
    </row>
    <row r="1224" spans="1:12" x14ac:dyDescent="0.2">
      <c r="A1224" t="s">
        <v>142</v>
      </c>
      <c r="B1224" s="3">
        <v>1.3084112149532712E-4</v>
      </c>
      <c r="D1224" t="s">
        <v>9</v>
      </c>
      <c r="E1224" t="s">
        <v>143</v>
      </c>
      <c r="F1224" s="2" t="s">
        <v>15</v>
      </c>
      <c r="I1224" s="3"/>
    </row>
    <row r="1226" spans="1:12" x14ac:dyDescent="0.2">
      <c r="A1226" s="1" t="s">
        <v>2</v>
      </c>
      <c r="B1226" s="1" t="s">
        <v>183</v>
      </c>
      <c r="C1226" s="2"/>
      <c r="D1226" s="2"/>
      <c r="E1226" s="2"/>
      <c r="F1226" s="2"/>
      <c r="G1226" s="2"/>
      <c r="H1226" s="2"/>
    </row>
    <row r="1227" spans="1:12" x14ac:dyDescent="0.2">
      <c r="A1227" s="2" t="s">
        <v>3</v>
      </c>
      <c r="B1227" s="2" t="s">
        <v>18</v>
      </c>
      <c r="C1227" s="2"/>
      <c r="D1227" s="2"/>
      <c r="E1227" s="2"/>
      <c r="F1227" s="2"/>
      <c r="G1227" s="2"/>
      <c r="H1227" s="2"/>
      <c r="I1227" s="2"/>
      <c r="J1227" s="2"/>
      <c r="K1227" s="2"/>
      <c r="L1227" s="2"/>
    </row>
    <row r="1228" spans="1:12" x14ac:dyDescent="0.2">
      <c r="A1228" s="2" t="s">
        <v>4</v>
      </c>
      <c r="B1228" s="2">
        <v>1</v>
      </c>
      <c r="C1228" s="2"/>
      <c r="D1228" s="2"/>
      <c r="E1228" s="2"/>
      <c r="F1228" s="2"/>
      <c r="G1228" s="2"/>
      <c r="H1228" s="2"/>
      <c r="I1228" s="2"/>
      <c r="J1228" s="2"/>
      <c r="K1228" s="2"/>
      <c r="L1228" s="2"/>
    </row>
    <row r="1229" spans="1:12" x14ac:dyDescent="0.2">
      <c r="A1229" s="2" t="s">
        <v>5</v>
      </c>
      <c r="B1229" s="2" t="s">
        <v>1</v>
      </c>
      <c r="C1229" s="2"/>
      <c r="D1229" s="2"/>
      <c r="E1229" s="2"/>
      <c r="F1229" s="2"/>
      <c r="G1229" s="2"/>
      <c r="H1229" s="2"/>
      <c r="I1229" s="2"/>
      <c r="J1229" s="2"/>
    </row>
    <row r="1230" spans="1:12" x14ac:dyDescent="0.2">
      <c r="A1230" s="2" t="s">
        <v>6</v>
      </c>
      <c r="B1230" s="2" t="s">
        <v>7</v>
      </c>
      <c r="C1230" s="2"/>
      <c r="D1230" s="2"/>
      <c r="E1230" s="2"/>
      <c r="F1230" s="2"/>
      <c r="G1230" s="2"/>
      <c r="H1230" s="2"/>
      <c r="I1230" s="2"/>
      <c r="J1230" s="2"/>
      <c r="K1230" s="2"/>
      <c r="L1230" s="2"/>
    </row>
    <row r="1231" spans="1:12" x14ac:dyDescent="0.2">
      <c r="A1231" s="2" t="s">
        <v>8</v>
      </c>
      <c r="B1231" s="2" t="s">
        <v>17</v>
      </c>
      <c r="C1231" s="2"/>
      <c r="D1231" s="2"/>
      <c r="E1231" s="2"/>
      <c r="F1231" s="2"/>
      <c r="G1231" s="2"/>
      <c r="H1231" s="2"/>
      <c r="I1231" s="2"/>
      <c r="J1231" s="2"/>
      <c r="K1231" s="2"/>
      <c r="L1231" s="2"/>
    </row>
    <row r="1232" spans="1:12" x14ac:dyDescent="0.2">
      <c r="A1232" s="1" t="s">
        <v>10</v>
      </c>
      <c r="B1232" s="2"/>
      <c r="C1232" s="2"/>
      <c r="D1232" s="2"/>
      <c r="E1232" s="2"/>
      <c r="F1232" s="2"/>
      <c r="G1232" s="2"/>
      <c r="H1232" s="2"/>
      <c r="I1232" s="2"/>
      <c r="J1232" s="2"/>
      <c r="K1232" s="2"/>
      <c r="L1232" s="2"/>
    </row>
    <row r="1233" spans="1:12" x14ac:dyDescent="0.2">
      <c r="A1233" s="2" t="s">
        <v>11</v>
      </c>
      <c r="B1233" s="2" t="s">
        <v>12</v>
      </c>
      <c r="C1233" s="2" t="s">
        <v>3</v>
      </c>
      <c r="D1233" s="2" t="s">
        <v>8</v>
      </c>
      <c r="E1233" s="2" t="s">
        <v>13</v>
      </c>
      <c r="F1233" s="2" t="s">
        <v>6</v>
      </c>
      <c r="G1233" s="2" t="s">
        <v>5</v>
      </c>
      <c r="H1233" s="2"/>
      <c r="I1233" s="2"/>
      <c r="J1233" s="2"/>
      <c r="K1233" s="2"/>
    </row>
    <row r="1234" spans="1:12" x14ac:dyDescent="0.2">
      <c r="A1234" s="2" t="str">
        <f>B1226</f>
        <v>biodiesel, burned in passenger train</v>
      </c>
      <c r="B1234" s="2">
        <v>1</v>
      </c>
      <c r="C1234" s="2" t="str">
        <f>B1227</f>
        <v>RER</v>
      </c>
      <c r="D1234" s="2" t="str">
        <f>B1231</f>
        <v>megajoule</v>
      </c>
      <c r="E1234" s="2"/>
      <c r="F1234" s="2" t="s">
        <v>19</v>
      </c>
      <c r="G1234" s="2" t="str">
        <f>B1229</f>
        <v>heat</v>
      </c>
      <c r="H1234" s="2"/>
      <c r="I1234" s="2"/>
      <c r="J1234" s="2"/>
      <c r="K1234" s="2"/>
      <c r="L1234" s="2"/>
    </row>
    <row r="1235" spans="1:12" x14ac:dyDescent="0.2">
      <c r="A1235" s="2" t="s">
        <v>184</v>
      </c>
      <c r="B1235" s="11">
        <f>1/43</f>
        <v>2.3255813953488372E-2</v>
      </c>
      <c r="C1235" t="s">
        <v>18</v>
      </c>
      <c r="D1235" t="s">
        <v>9</v>
      </c>
      <c r="F1235" t="s">
        <v>23</v>
      </c>
      <c r="G1235" t="s">
        <v>185</v>
      </c>
    </row>
    <row r="1236" spans="1:12" x14ac:dyDescent="0.2">
      <c r="A1236" t="s">
        <v>49</v>
      </c>
      <c r="B1236" s="3">
        <v>4.6511627906976748E-7</v>
      </c>
      <c r="D1236" t="s">
        <v>9</v>
      </c>
      <c r="E1236" t="s">
        <v>118</v>
      </c>
      <c r="F1236" s="2" t="s">
        <v>15</v>
      </c>
      <c r="H1236" s="3"/>
      <c r="I1236" s="3"/>
    </row>
    <row r="1237" spans="1:12" x14ac:dyDescent="0.2">
      <c r="A1237" t="s">
        <v>51</v>
      </c>
      <c r="B1237" s="3">
        <v>2.3255813953488372E-6</v>
      </c>
      <c r="D1237" t="s">
        <v>9</v>
      </c>
      <c r="E1237" t="s">
        <v>118</v>
      </c>
      <c r="F1237" s="2" t="s">
        <v>15</v>
      </c>
      <c r="H1237" s="3"/>
      <c r="I1237" s="3"/>
    </row>
    <row r="1238" spans="1:12" x14ac:dyDescent="0.2">
      <c r="A1238" t="s">
        <v>53</v>
      </c>
      <c r="B1238" s="3">
        <v>2.3255813953488374E-10</v>
      </c>
      <c r="D1238" t="s">
        <v>9</v>
      </c>
      <c r="E1238" t="s">
        <v>118</v>
      </c>
      <c r="F1238" s="2" t="s">
        <v>15</v>
      </c>
      <c r="I1238" s="3"/>
    </row>
    <row r="1239" spans="1:12" x14ac:dyDescent="0.2">
      <c r="A1239" t="s">
        <v>124</v>
      </c>
      <c r="B1239">
        <v>7.3027602695066293E-2</v>
      </c>
      <c r="D1239" t="s">
        <v>9</v>
      </c>
      <c r="E1239" t="s">
        <v>118</v>
      </c>
      <c r="F1239" s="2" t="s">
        <v>15</v>
      </c>
      <c r="I1239" s="3"/>
    </row>
    <row r="1240" spans="1:12" x14ac:dyDescent="0.2">
      <c r="A1240" t="s">
        <v>125</v>
      </c>
      <c r="B1240">
        <v>3.6731145403173224E-4</v>
      </c>
      <c r="D1240" t="s">
        <v>9</v>
      </c>
      <c r="E1240" t="s">
        <v>118</v>
      </c>
      <c r="F1240" s="2" t="s">
        <v>15</v>
      </c>
      <c r="I1240" s="3"/>
    </row>
    <row r="1241" spans="1:12" x14ac:dyDescent="0.2">
      <c r="A1241" t="s">
        <v>56</v>
      </c>
      <c r="B1241" s="3">
        <v>1.160617257118018E-9</v>
      </c>
      <c r="D1241" t="s">
        <v>9</v>
      </c>
      <c r="E1241" t="s">
        <v>118</v>
      </c>
      <c r="F1241" s="2" t="s">
        <v>15</v>
      </c>
      <c r="I1241" s="3"/>
    </row>
    <row r="1242" spans="1:12" x14ac:dyDescent="0.2">
      <c r="A1242" t="s">
        <v>58</v>
      </c>
      <c r="B1242" s="3">
        <v>3.9556618126494245E-8</v>
      </c>
      <c r="D1242" t="s">
        <v>9</v>
      </c>
      <c r="E1242" t="s">
        <v>118</v>
      </c>
      <c r="F1242" s="2" t="s">
        <v>15</v>
      </c>
      <c r="I1242" s="3"/>
    </row>
    <row r="1243" spans="1:12" x14ac:dyDescent="0.2">
      <c r="A1243" t="s">
        <v>59</v>
      </c>
      <c r="B1243" s="3">
        <v>2.3255813953488372E-6</v>
      </c>
      <c r="D1243" t="s">
        <v>9</v>
      </c>
      <c r="E1243" t="s">
        <v>118</v>
      </c>
      <c r="F1243" s="2" t="s">
        <v>15</v>
      </c>
      <c r="I1243" s="3"/>
    </row>
    <row r="1244" spans="1:12" x14ac:dyDescent="0.2">
      <c r="A1244" t="s">
        <v>64</v>
      </c>
      <c r="B1244" s="3">
        <v>2.5429254509889156E-12</v>
      </c>
      <c r="D1244" t="s">
        <v>9</v>
      </c>
      <c r="E1244" t="s">
        <v>118</v>
      </c>
      <c r="F1244" s="2" t="s">
        <v>15</v>
      </c>
      <c r="I1244" s="3"/>
    </row>
    <row r="1245" spans="1:12" x14ac:dyDescent="0.2">
      <c r="A1245" t="s">
        <v>65</v>
      </c>
      <c r="B1245" s="3">
        <v>4.651162790697675E-13</v>
      </c>
      <c r="D1245" t="s">
        <v>9</v>
      </c>
      <c r="E1245" t="s">
        <v>118</v>
      </c>
      <c r="F1245" s="2" t="s">
        <v>15</v>
      </c>
      <c r="I1245" s="3"/>
    </row>
    <row r="1246" spans="1:12" x14ac:dyDescent="0.2">
      <c r="A1246" t="s">
        <v>186</v>
      </c>
      <c r="B1246" s="3">
        <v>3.0210823733970879E-6</v>
      </c>
      <c r="D1246" t="s">
        <v>9</v>
      </c>
      <c r="E1246" t="s">
        <v>118</v>
      </c>
      <c r="F1246" s="2" t="s">
        <v>15</v>
      </c>
      <c r="I1246" s="3"/>
    </row>
    <row r="1247" spans="1:12" x14ac:dyDescent="0.2">
      <c r="A1247" t="s">
        <v>68</v>
      </c>
      <c r="B1247" s="3">
        <v>1.1758313410128234E-4</v>
      </c>
      <c r="D1247" t="s">
        <v>9</v>
      </c>
      <c r="E1247" t="s">
        <v>118</v>
      </c>
      <c r="F1247" s="2" t="s">
        <v>15</v>
      </c>
      <c r="I1247" s="3"/>
    </row>
    <row r="1248" spans="1:12" x14ac:dyDescent="0.2">
      <c r="A1248" t="s">
        <v>69</v>
      </c>
      <c r="B1248" s="3">
        <v>1.6235600956313845E-9</v>
      </c>
      <c r="D1248" t="s">
        <v>9</v>
      </c>
      <c r="E1248" t="s">
        <v>118</v>
      </c>
      <c r="F1248" s="2" t="s">
        <v>15</v>
      </c>
      <c r="I1248" s="3"/>
    </row>
    <row r="1249" spans="1:12" x14ac:dyDescent="0.2">
      <c r="A1249" t="s">
        <v>70</v>
      </c>
      <c r="B1249">
        <v>1.2758096066072594E-3</v>
      </c>
      <c r="D1249" t="s">
        <v>9</v>
      </c>
      <c r="E1249" t="s">
        <v>118</v>
      </c>
      <c r="F1249" s="2" t="s">
        <v>15</v>
      </c>
      <c r="I1249" s="3"/>
    </row>
    <row r="1250" spans="1:12" x14ac:dyDescent="0.2">
      <c r="A1250" t="s">
        <v>72</v>
      </c>
      <c r="B1250" s="3">
        <v>2.9836991958269943E-5</v>
      </c>
      <c r="D1250" t="s">
        <v>9</v>
      </c>
      <c r="E1250" t="s">
        <v>118</v>
      </c>
      <c r="F1250" s="2" t="s">
        <v>15</v>
      </c>
      <c r="I1250" s="3"/>
    </row>
    <row r="1251" spans="1:12" x14ac:dyDescent="0.2">
      <c r="A1251" t="s">
        <v>107</v>
      </c>
      <c r="B1251" s="3">
        <v>3.5524885894370795E-5</v>
      </c>
      <c r="D1251" t="s">
        <v>9</v>
      </c>
      <c r="E1251" t="s">
        <v>118</v>
      </c>
      <c r="F1251" s="2" t="s">
        <v>15</v>
      </c>
      <c r="I1251" s="3"/>
    </row>
    <row r="1252" spans="1:12" x14ac:dyDescent="0.2">
      <c r="A1252" t="s">
        <v>108</v>
      </c>
      <c r="B1252" s="3">
        <v>1.6163877417952619E-5</v>
      </c>
      <c r="D1252" t="s">
        <v>9</v>
      </c>
      <c r="E1252" t="s">
        <v>118</v>
      </c>
      <c r="F1252" s="2" t="s">
        <v>15</v>
      </c>
      <c r="I1252" s="3"/>
    </row>
    <row r="1253" spans="1:12" x14ac:dyDescent="0.2">
      <c r="A1253" t="s">
        <v>76</v>
      </c>
      <c r="B1253" s="3">
        <v>2.3255813953488374E-10</v>
      </c>
      <c r="D1253" t="s">
        <v>9</v>
      </c>
      <c r="E1253" t="s">
        <v>118</v>
      </c>
      <c r="F1253" s="2" t="s">
        <v>15</v>
      </c>
      <c r="I1253" s="3"/>
    </row>
    <row r="1254" spans="1:12" x14ac:dyDescent="0.2">
      <c r="A1254" t="s">
        <v>78</v>
      </c>
      <c r="B1254" s="3">
        <v>1.3931753966529016E-5</v>
      </c>
      <c r="D1254" t="s">
        <v>9</v>
      </c>
      <c r="E1254" t="s">
        <v>118</v>
      </c>
      <c r="F1254" s="2" t="s">
        <v>15</v>
      </c>
      <c r="I1254" s="3"/>
    </row>
    <row r="1255" spans="1:12" x14ac:dyDescent="0.2">
      <c r="A1255" t="s">
        <v>79</v>
      </c>
      <c r="B1255" s="3">
        <v>9.2805911758313421E-7</v>
      </c>
      <c r="D1255" t="s">
        <v>9</v>
      </c>
      <c r="E1255" t="s">
        <v>118</v>
      </c>
      <c r="F1255" s="2" t="s">
        <v>15</v>
      </c>
      <c r="I1255" s="3"/>
    </row>
    <row r="1256" spans="1:12" x14ac:dyDescent="0.2">
      <c r="A1256" t="s">
        <v>141</v>
      </c>
      <c r="B1256" s="3">
        <v>9.2805911758313421E-7</v>
      </c>
      <c r="D1256" t="s">
        <v>9</v>
      </c>
      <c r="E1256" t="s">
        <v>118</v>
      </c>
      <c r="F1256" s="2" t="s">
        <v>15</v>
      </c>
      <c r="I1256" s="3"/>
    </row>
    <row r="1257" spans="1:12" x14ac:dyDescent="0.2">
      <c r="A1257" t="s">
        <v>80</v>
      </c>
      <c r="B1257" s="3">
        <v>2.3255813953488372E-8</v>
      </c>
      <c r="D1257" t="s">
        <v>9</v>
      </c>
      <c r="E1257" t="s">
        <v>118</v>
      </c>
      <c r="F1257" s="2" t="s">
        <v>15</v>
      </c>
      <c r="I1257" s="3"/>
    </row>
    <row r="1258" spans="1:12" x14ac:dyDescent="0.2">
      <c r="A1258" t="s">
        <v>142</v>
      </c>
      <c r="B1258" s="3">
        <v>1.3084112149532712E-4</v>
      </c>
      <c r="D1258" t="s">
        <v>9</v>
      </c>
      <c r="E1258" t="s">
        <v>143</v>
      </c>
      <c r="F1258" s="2" t="s">
        <v>15</v>
      </c>
      <c r="I1258" s="3"/>
    </row>
    <row r="1260" spans="1:12" x14ac:dyDescent="0.2">
      <c r="A1260" s="1" t="s">
        <v>2</v>
      </c>
      <c r="B1260" s="1" t="s">
        <v>88</v>
      </c>
      <c r="C1260" s="2"/>
      <c r="D1260" s="2"/>
      <c r="E1260" s="2"/>
      <c r="F1260" s="2"/>
      <c r="G1260" s="2"/>
      <c r="H1260" s="2"/>
    </row>
    <row r="1261" spans="1:12" x14ac:dyDescent="0.2">
      <c r="A1261" s="2" t="s">
        <v>3</v>
      </c>
      <c r="B1261" s="2" t="s">
        <v>18</v>
      </c>
      <c r="C1261" s="2"/>
      <c r="D1261" s="2"/>
      <c r="E1261" s="2"/>
      <c r="F1261" s="2"/>
      <c r="G1261" s="2"/>
      <c r="H1261" s="2"/>
      <c r="I1261" s="2"/>
      <c r="J1261" s="2"/>
      <c r="K1261" s="2"/>
      <c r="L1261" s="2"/>
    </row>
    <row r="1262" spans="1:12" x14ac:dyDescent="0.2">
      <c r="A1262" s="2" t="s">
        <v>4</v>
      </c>
      <c r="B1262" s="2">
        <v>1</v>
      </c>
      <c r="C1262" s="2"/>
      <c r="D1262" s="2"/>
      <c r="E1262" s="2"/>
      <c r="F1262" s="2"/>
      <c r="G1262" s="2"/>
      <c r="H1262" s="2"/>
      <c r="I1262" s="2"/>
      <c r="J1262" s="2"/>
      <c r="K1262" s="2"/>
      <c r="L1262" s="2"/>
    </row>
    <row r="1263" spans="1:12" x14ac:dyDescent="0.2">
      <c r="A1263" s="2" t="s">
        <v>5</v>
      </c>
      <c r="B1263" s="2" t="s">
        <v>1</v>
      </c>
      <c r="C1263" s="2"/>
      <c r="D1263" s="2"/>
      <c r="E1263" s="2"/>
      <c r="F1263" s="2"/>
      <c r="G1263" s="2"/>
      <c r="H1263" s="2"/>
      <c r="I1263" s="2"/>
      <c r="J1263" s="2"/>
    </row>
    <row r="1264" spans="1:12" x14ac:dyDescent="0.2">
      <c r="A1264" s="2" t="s">
        <v>6</v>
      </c>
      <c r="B1264" s="2" t="s">
        <v>7</v>
      </c>
      <c r="C1264" s="2"/>
      <c r="D1264" s="2"/>
      <c r="E1264" s="2"/>
      <c r="F1264" s="2"/>
      <c r="G1264" s="2"/>
      <c r="H1264" s="2"/>
      <c r="I1264" s="2"/>
      <c r="J1264" s="2"/>
      <c r="K1264" s="2"/>
      <c r="L1264" s="2"/>
    </row>
    <row r="1265" spans="1:12" x14ac:dyDescent="0.2">
      <c r="A1265" s="2" t="s">
        <v>8</v>
      </c>
      <c r="B1265" s="2" t="s">
        <v>17</v>
      </c>
      <c r="C1265" s="2"/>
      <c r="D1265" s="2"/>
      <c r="E1265" s="2"/>
      <c r="F1265" s="2"/>
      <c r="G1265" s="2"/>
      <c r="H1265" s="2"/>
      <c r="I1265" s="2"/>
      <c r="J1265" s="2"/>
      <c r="K1265" s="2"/>
      <c r="L1265" s="2"/>
    </row>
    <row r="1266" spans="1:12" x14ac:dyDescent="0.2">
      <c r="A1266" s="1" t="s">
        <v>10</v>
      </c>
      <c r="B1266" s="2"/>
      <c r="C1266" s="2"/>
      <c r="D1266" s="2"/>
      <c r="E1266" s="2"/>
      <c r="F1266" s="2"/>
      <c r="G1266" s="2"/>
      <c r="H1266" s="2"/>
      <c r="I1266" s="2"/>
      <c r="J1266" s="2"/>
      <c r="K1266" s="2"/>
      <c r="L1266" s="2"/>
    </row>
    <row r="1267" spans="1:12" x14ac:dyDescent="0.2">
      <c r="A1267" s="2" t="s">
        <v>11</v>
      </c>
      <c r="B1267" s="2" t="s">
        <v>12</v>
      </c>
      <c r="C1267" s="2" t="s">
        <v>3</v>
      </c>
      <c r="D1267" s="2" t="s">
        <v>8</v>
      </c>
      <c r="E1267" s="2" t="s">
        <v>13</v>
      </c>
      <c r="F1267" s="2" t="s">
        <v>6</v>
      </c>
      <c r="G1267" s="2" t="s">
        <v>5</v>
      </c>
      <c r="H1267" s="2"/>
      <c r="I1267" s="2"/>
      <c r="J1267" s="2"/>
      <c r="K1267" s="2"/>
    </row>
    <row r="1268" spans="1:12" x14ac:dyDescent="0.2">
      <c r="A1268" s="2" t="str">
        <f>B1260</f>
        <v>diesel, burned in passenger car</v>
      </c>
      <c r="B1268" s="2">
        <v>1</v>
      </c>
      <c r="C1268" s="2" t="str">
        <f>B1261</f>
        <v>RER</v>
      </c>
      <c r="D1268" s="2" t="str">
        <f>B1265</f>
        <v>megajoule</v>
      </c>
      <c r="E1268" s="2"/>
      <c r="F1268" s="2" t="s">
        <v>19</v>
      </c>
      <c r="G1268" s="2" t="str">
        <f>B1263</f>
        <v>heat</v>
      </c>
      <c r="H1268" s="2"/>
      <c r="I1268" s="2"/>
      <c r="J1268" s="2"/>
      <c r="K1268" s="2"/>
      <c r="L1268" s="2"/>
    </row>
    <row r="1269" spans="1:12" x14ac:dyDescent="0.2">
      <c r="A1269" s="2" t="s">
        <v>121</v>
      </c>
      <c r="B1269">
        <f>1/43</f>
        <v>2.3255813953488372E-2</v>
      </c>
      <c r="C1269" t="s">
        <v>27</v>
      </c>
      <c r="D1269" t="s">
        <v>9</v>
      </c>
      <c r="F1269" t="s">
        <v>23</v>
      </c>
      <c r="G1269" t="s">
        <v>45</v>
      </c>
    </row>
    <row r="1270" spans="1:12" x14ac:dyDescent="0.2">
      <c r="A1270" s="2" t="s">
        <v>148</v>
      </c>
      <c r="B1270">
        <f>150/200000/2.15</f>
        <v>3.4883720930232559E-4</v>
      </c>
      <c r="C1270" t="s">
        <v>115</v>
      </c>
      <c r="D1270" t="s">
        <v>9</v>
      </c>
      <c r="F1270" t="s">
        <v>23</v>
      </c>
      <c r="G1270" t="s">
        <v>149</v>
      </c>
    </row>
    <row r="1271" spans="1:12" x14ac:dyDescent="0.2">
      <c r="A1271" t="s">
        <v>46</v>
      </c>
      <c r="B1271" s="3">
        <v>7.1455665432553858E-7</v>
      </c>
      <c r="D1271" t="s">
        <v>9</v>
      </c>
      <c r="E1271" t="s">
        <v>14</v>
      </c>
      <c r="F1271" s="2" t="s">
        <v>15</v>
      </c>
      <c r="H1271" s="3"/>
    </row>
    <row r="1272" spans="1:12" x14ac:dyDescent="0.2">
      <c r="A1272" t="s">
        <v>47</v>
      </c>
      <c r="B1272" s="3">
        <v>3.2468920124586623E-7</v>
      </c>
      <c r="D1272" t="s">
        <v>9</v>
      </c>
      <c r="E1272" t="s">
        <v>14</v>
      </c>
      <c r="F1272" s="2" t="s">
        <v>15</v>
      </c>
      <c r="H1272" s="3"/>
    </row>
    <row r="1273" spans="1:12" x14ac:dyDescent="0.2">
      <c r="A1273" t="s">
        <v>48</v>
      </c>
      <c r="B1273" s="3">
        <v>3.9534349472964383E-7</v>
      </c>
      <c r="D1273" t="s">
        <v>9</v>
      </c>
      <c r="E1273" t="s">
        <v>14</v>
      </c>
      <c r="F1273" s="2" t="s">
        <v>15</v>
      </c>
      <c r="H1273" s="3"/>
    </row>
    <row r="1274" spans="1:12" x14ac:dyDescent="0.2">
      <c r="A1274" t="s">
        <v>49</v>
      </c>
      <c r="B1274" s="3">
        <v>3.7209280955662761E-7</v>
      </c>
      <c r="D1274" t="s">
        <v>9</v>
      </c>
      <c r="E1274" t="s">
        <v>14</v>
      </c>
      <c r="F1274" s="2" t="s">
        <v>15</v>
      </c>
      <c r="H1274" s="3"/>
    </row>
    <row r="1275" spans="1:12" x14ac:dyDescent="0.2">
      <c r="A1275" t="s">
        <v>50</v>
      </c>
      <c r="B1275" s="3">
        <v>9.4995966427857817E-8</v>
      </c>
      <c r="D1275" t="s">
        <v>9</v>
      </c>
      <c r="E1275" t="s">
        <v>14</v>
      </c>
      <c r="F1275" s="2" t="s">
        <v>15</v>
      </c>
      <c r="H1275" s="3"/>
    </row>
    <row r="1276" spans="1:12" x14ac:dyDescent="0.2">
      <c r="A1276" t="s">
        <v>51</v>
      </c>
      <c r="B1276" s="3">
        <v>2.186743705223342E-7</v>
      </c>
      <c r="D1276" t="s">
        <v>9</v>
      </c>
      <c r="E1276" t="s">
        <v>14</v>
      </c>
      <c r="F1276" s="2" t="s">
        <v>15</v>
      </c>
      <c r="H1276" s="3"/>
    </row>
    <row r="1277" spans="1:12" x14ac:dyDescent="0.2">
      <c r="A1277" t="s">
        <v>52</v>
      </c>
      <c r="B1277" s="3">
        <v>1.2147463123534157E-8</v>
      </c>
      <c r="D1277" t="s">
        <v>9</v>
      </c>
      <c r="E1277" t="s">
        <v>14</v>
      </c>
      <c r="F1277" s="2" t="s">
        <v>15</v>
      </c>
      <c r="H1277" s="3"/>
    </row>
    <row r="1278" spans="1:12" x14ac:dyDescent="0.2">
      <c r="A1278" t="s">
        <v>53</v>
      </c>
      <c r="B1278" s="3">
        <v>2.3255800597289225E-10</v>
      </c>
      <c r="D1278" t="s">
        <v>9</v>
      </c>
      <c r="E1278" t="s">
        <v>14</v>
      </c>
      <c r="F1278" s="2" t="s">
        <v>15</v>
      </c>
      <c r="H1278" s="3"/>
    </row>
    <row r="1279" spans="1:12" x14ac:dyDescent="0.2">
      <c r="A1279" t="s">
        <v>54</v>
      </c>
      <c r="B1279">
        <f>B1269*3.15</f>
        <v>7.3255813953488375E-2</v>
      </c>
      <c r="D1279" t="s">
        <v>9</v>
      </c>
      <c r="E1279" t="s">
        <v>14</v>
      </c>
      <c r="F1279" s="2" t="s">
        <v>15</v>
      </c>
      <c r="H1279" s="3"/>
    </row>
    <row r="1280" spans="1:12" x14ac:dyDescent="0.2">
      <c r="A1280" t="s">
        <v>55</v>
      </c>
      <c r="B1280" s="3">
        <v>2.1069404153243686E-5</v>
      </c>
      <c r="D1280" t="s">
        <v>9</v>
      </c>
      <c r="E1280" t="s">
        <v>14</v>
      </c>
      <c r="F1280" s="2" t="s">
        <v>15</v>
      </c>
      <c r="H1280" s="3"/>
    </row>
    <row r="1281" spans="1:8" x14ac:dyDescent="0.2">
      <c r="A1281" t="s">
        <v>56</v>
      </c>
      <c r="B1281" s="3">
        <v>1.1627900298644613E-9</v>
      </c>
      <c r="D1281" t="s">
        <v>9</v>
      </c>
      <c r="E1281" t="s">
        <v>14</v>
      </c>
      <c r="F1281" s="2" t="s">
        <v>15</v>
      </c>
      <c r="H1281" s="3"/>
    </row>
    <row r="1282" spans="1:8" x14ac:dyDescent="0.2">
      <c r="A1282" t="s">
        <v>57</v>
      </c>
      <c r="B1282" s="3">
        <v>2.3255800597289222E-12</v>
      </c>
      <c r="D1282" t="s">
        <v>9</v>
      </c>
      <c r="E1282" t="s">
        <v>14</v>
      </c>
      <c r="F1282" s="2" t="s">
        <v>15</v>
      </c>
      <c r="H1282" s="3"/>
    </row>
    <row r="1283" spans="1:8" x14ac:dyDescent="0.2">
      <c r="A1283" t="s">
        <v>58</v>
      </c>
      <c r="B1283" s="3">
        <v>3.9534861015391682E-8</v>
      </c>
      <c r="D1283" t="s">
        <v>9</v>
      </c>
      <c r="E1283" t="s">
        <v>14</v>
      </c>
      <c r="F1283" s="2" t="s">
        <v>15</v>
      </c>
      <c r="H1283" s="3"/>
    </row>
    <row r="1284" spans="1:8" x14ac:dyDescent="0.2">
      <c r="A1284" t="s">
        <v>156</v>
      </c>
      <c r="B1284" s="3">
        <v>7.1789570411210658E-8</v>
      </c>
      <c r="D1284" t="s">
        <v>9</v>
      </c>
      <c r="E1284" t="s">
        <v>14</v>
      </c>
      <c r="F1284" s="2" t="s">
        <v>15</v>
      </c>
      <c r="H1284" s="3"/>
    </row>
    <row r="1285" spans="1:8" x14ac:dyDescent="0.2">
      <c r="A1285" t="s">
        <v>59</v>
      </c>
      <c r="B1285" s="3">
        <v>1.1627900298644611E-6</v>
      </c>
      <c r="D1285" t="s">
        <v>9</v>
      </c>
      <c r="E1285" t="s">
        <v>14</v>
      </c>
      <c r="F1285" s="2" t="s">
        <v>15</v>
      </c>
      <c r="H1285" s="3"/>
    </row>
    <row r="1286" spans="1:8" x14ac:dyDescent="0.2">
      <c r="A1286" t="s">
        <v>60</v>
      </c>
      <c r="B1286" s="3">
        <v>3.646242366932188E-8</v>
      </c>
      <c r="D1286" t="s">
        <v>9</v>
      </c>
      <c r="E1286" t="s">
        <v>14</v>
      </c>
      <c r="F1286" s="2" t="s">
        <v>15</v>
      </c>
      <c r="H1286" s="3"/>
    </row>
    <row r="1287" spans="1:8" x14ac:dyDescent="0.2">
      <c r="A1287" t="s">
        <v>61</v>
      </c>
      <c r="B1287" s="3">
        <v>1.2114072625668476E-6</v>
      </c>
      <c r="D1287" t="s">
        <v>9</v>
      </c>
      <c r="E1287" t="s">
        <v>14</v>
      </c>
      <c r="F1287" s="2" t="s">
        <v>15</v>
      </c>
      <c r="H1287" s="3"/>
    </row>
    <row r="1288" spans="1:8" x14ac:dyDescent="0.2">
      <c r="A1288" t="s">
        <v>62</v>
      </c>
      <c r="B1288" s="3">
        <v>1.3252688602888143E-6</v>
      </c>
      <c r="D1288" t="s">
        <v>9</v>
      </c>
      <c r="E1288" t="s">
        <v>14</v>
      </c>
      <c r="F1288" s="2" t="s">
        <v>15</v>
      </c>
      <c r="H1288" s="3"/>
    </row>
    <row r="1289" spans="1:8" x14ac:dyDescent="0.2">
      <c r="A1289" t="s">
        <v>63</v>
      </c>
      <c r="B1289" s="3">
        <v>2.2087814338146904E-8</v>
      </c>
      <c r="D1289" t="s">
        <v>9</v>
      </c>
      <c r="E1289" t="s">
        <v>14</v>
      </c>
      <c r="F1289" s="2" t="s">
        <v>15</v>
      </c>
      <c r="H1289" s="3"/>
    </row>
    <row r="1290" spans="1:8" x14ac:dyDescent="0.2">
      <c r="A1290" t="s">
        <v>64</v>
      </c>
      <c r="B1290" s="3">
        <v>1.9186035492763611E-15</v>
      </c>
      <c r="D1290" t="s">
        <v>9</v>
      </c>
      <c r="E1290" t="s">
        <v>14</v>
      </c>
      <c r="F1290" s="2" t="s">
        <v>15</v>
      </c>
      <c r="H1290" s="3"/>
    </row>
    <row r="1291" spans="1:8" x14ac:dyDescent="0.2">
      <c r="A1291" t="s">
        <v>65</v>
      </c>
      <c r="B1291" s="3">
        <v>4.6511601194578451E-13</v>
      </c>
      <c r="D1291" t="s">
        <v>9</v>
      </c>
      <c r="E1291" t="s">
        <v>14</v>
      </c>
      <c r="F1291" s="2" t="s">
        <v>15</v>
      </c>
      <c r="H1291" s="3"/>
    </row>
    <row r="1292" spans="1:8" x14ac:dyDescent="0.2">
      <c r="A1292" t="s">
        <v>66</v>
      </c>
      <c r="B1292" s="3">
        <v>6.6447090752701953E-7</v>
      </c>
      <c r="D1292" t="s">
        <v>9</v>
      </c>
      <c r="E1292" t="s">
        <v>14</v>
      </c>
      <c r="F1292" s="2" t="s">
        <v>15</v>
      </c>
      <c r="H1292" s="3"/>
    </row>
    <row r="1293" spans="1:8" x14ac:dyDescent="0.2">
      <c r="A1293" t="s">
        <v>67</v>
      </c>
      <c r="B1293" s="3">
        <v>1.3252688602888143E-7</v>
      </c>
      <c r="D1293" t="s">
        <v>9</v>
      </c>
      <c r="E1293" t="s">
        <v>14</v>
      </c>
      <c r="F1293" s="2" t="s">
        <v>15</v>
      </c>
      <c r="H1293" s="3"/>
    </row>
    <row r="1294" spans="1:8" x14ac:dyDescent="0.2">
      <c r="A1294" t="s">
        <v>68</v>
      </c>
      <c r="B1294" s="3">
        <v>5.8566933256401625E-6</v>
      </c>
      <c r="D1294" t="s">
        <v>9</v>
      </c>
      <c r="E1294" t="s">
        <v>14</v>
      </c>
      <c r="F1294" s="2" t="s">
        <v>15</v>
      </c>
      <c r="H1294" s="3"/>
    </row>
    <row r="1295" spans="1:8" x14ac:dyDescent="0.2">
      <c r="A1295" t="s">
        <v>69</v>
      </c>
      <c r="B1295" s="3">
        <v>1.6279060418102458E-9</v>
      </c>
      <c r="D1295" t="s">
        <v>9</v>
      </c>
      <c r="E1295" t="s">
        <v>14</v>
      </c>
      <c r="F1295" s="2" t="s">
        <v>15</v>
      </c>
      <c r="H1295" s="3"/>
    </row>
    <row r="1296" spans="1:8" x14ac:dyDescent="0.2">
      <c r="A1296" t="s">
        <v>70</v>
      </c>
      <c r="B1296">
        <v>2.2614048584510013E-4</v>
      </c>
      <c r="D1296" t="s">
        <v>9</v>
      </c>
      <c r="E1296" t="s">
        <v>14</v>
      </c>
      <c r="F1296" s="2" t="s">
        <v>15</v>
      </c>
      <c r="H1296" s="3"/>
    </row>
    <row r="1297" spans="1:12" x14ac:dyDescent="0.2">
      <c r="A1297" t="s">
        <v>71</v>
      </c>
      <c r="B1297" s="3">
        <v>4.2883696301401334E-9</v>
      </c>
      <c r="D1297" t="s">
        <v>9</v>
      </c>
      <c r="E1297" t="s">
        <v>14</v>
      </c>
      <c r="F1297" s="2" t="s">
        <v>15</v>
      </c>
      <c r="H1297" s="3"/>
    </row>
    <row r="1298" spans="1:12" x14ac:dyDescent="0.2">
      <c r="A1298" t="s">
        <v>72</v>
      </c>
      <c r="B1298" s="3">
        <v>6.3929447213629726E-7</v>
      </c>
      <c r="D1298" t="s">
        <v>9</v>
      </c>
      <c r="E1298" t="s">
        <v>14</v>
      </c>
      <c r="F1298" s="2" t="s">
        <v>15</v>
      </c>
      <c r="H1298" s="3"/>
    </row>
    <row r="1299" spans="1:12" x14ac:dyDescent="0.2">
      <c r="A1299" t="s">
        <v>73</v>
      </c>
      <c r="B1299" s="3">
        <v>4.417562867629381E-9</v>
      </c>
      <c r="D1299" t="s">
        <v>9</v>
      </c>
      <c r="E1299" t="s">
        <v>14</v>
      </c>
      <c r="F1299" s="2" t="s">
        <v>15</v>
      </c>
      <c r="H1299" s="3"/>
    </row>
    <row r="1300" spans="1:12" x14ac:dyDescent="0.2">
      <c r="A1300" t="s">
        <v>74</v>
      </c>
      <c r="B1300" s="3">
        <v>1.2147463123534157E-8</v>
      </c>
      <c r="D1300" t="s">
        <v>9</v>
      </c>
      <c r="E1300" t="s">
        <v>14</v>
      </c>
      <c r="F1300" s="2" t="s">
        <v>15</v>
      </c>
      <c r="H1300" s="3"/>
    </row>
    <row r="1301" spans="1:12" x14ac:dyDescent="0.2">
      <c r="A1301" t="s">
        <v>75</v>
      </c>
      <c r="B1301" s="3">
        <v>3.9768082958024133E-7</v>
      </c>
      <c r="D1301" t="s">
        <v>9</v>
      </c>
      <c r="E1301" t="s">
        <v>14</v>
      </c>
      <c r="F1301" s="2" t="s">
        <v>15</v>
      </c>
      <c r="H1301" s="3"/>
    </row>
    <row r="1302" spans="1:12" x14ac:dyDescent="0.2">
      <c r="A1302" t="s">
        <v>76</v>
      </c>
      <c r="B1302" s="3">
        <v>2.3255800597289225E-10</v>
      </c>
      <c r="D1302" t="s">
        <v>9</v>
      </c>
      <c r="E1302" t="s">
        <v>14</v>
      </c>
      <c r="F1302" s="2" t="s">
        <v>15</v>
      </c>
      <c r="H1302" s="3"/>
    </row>
    <row r="1303" spans="1:12" x14ac:dyDescent="0.2">
      <c r="A1303" t="s">
        <v>77</v>
      </c>
      <c r="B1303" s="3">
        <v>4.0869969387591558E-8</v>
      </c>
      <c r="D1303" t="s">
        <v>9</v>
      </c>
      <c r="E1303" t="s">
        <v>14</v>
      </c>
      <c r="F1303" s="2" t="s">
        <v>15</v>
      </c>
      <c r="H1303" s="3"/>
    </row>
    <row r="1304" spans="1:12" x14ac:dyDescent="0.2">
      <c r="A1304" t="s">
        <v>78</v>
      </c>
      <c r="B1304" s="3">
        <v>4.651160119457845E-7</v>
      </c>
      <c r="D1304" t="s">
        <v>9</v>
      </c>
      <c r="E1304" t="s">
        <v>14</v>
      </c>
      <c r="F1304" s="2" t="s">
        <v>15</v>
      </c>
      <c r="H1304" s="3"/>
    </row>
    <row r="1305" spans="1:12" x14ac:dyDescent="0.2">
      <c r="A1305" t="s">
        <v>79</v>
      </c>
      <c r="B1305" s="3">
        <v>7.619711612948033E-8</v>
      </c>
      <c r="D1305" t="s">
        <v>9</v>
      </c>
      <c r="E1305" t="s">
        <v>14</v>
      </c>
      <c r="F1305" s="2" t="s">
        <v>15</v>
      </c>
      <c r="H1305" s="3"/>
    </row>
    <row r="1306" spans="1:12" x14ac:dyDescent="0.2">
      <c r="A1306" t="s">
        <v>80</v>
      </c>
      <c r="B1306" s="3">
        <v>2.3255800597289226E-8</v>
      </c>
      <c r="D1306" t="s">
        <v>9</v>
      </c>
      <c r="E1306" t="s">
        <v>14</v>
      </c>
      <c r="F1306" s="2" t="s">
        <v>15</v>
      </c>
      <c r="H1306" s="3"/>
    </row>
    <row r="1307" spans="1:12" x14ac:dyDescent="0.2">
      <c r="A1307" t="s">
        <v>81</v>
      </c>
      <c r="B1307" s="3">
        <v>6.7382024692940973E-8</v>
      </c>
      <c r="D1307" t="s">
        <v>9</v>
      </c>
      <c r="E1307" t="s">
        <v>14</v>
      </c>
      <c r="F1307" s="2" t="s">
        <v>15</v>
      </c>
      <c r="H1307" s="3"/>
    </row>
    <row r="1308" spans="1:12" x14ac:dyDescent="0.2">
      <c r="A1308" t="s">
        <v>82</v>
      </c>
      <c r="B1308" s="3">
        <v>2.9821053643838246E-8</v>
      </c>
      <c r="D1308" t="s">
        <v>9</v>
      </c>
      <c r="E1308" t="s">
        <v>14</v>
      </c>
      <c r="F1308" s="2" t="s">
        <v>15</v>
      </c>
      <c r="H1308" s="3"/>
    </row>
    <row r="1309" spans="1:12" x14ac:dyDescent="0.2">
      <c r="F1309" s="2"/>
      <c r="H1309" s="3"/>
    </row>
    <row r="1310" spans="1:12" x14ac:dyDescent="0.2">
      <c r="A1310" s="1" t="s">
        <v>2</v>
      </c>
      <c r="B1310" s="1" t="s">
        <v>123</v>
      </c>
      <c r="C1310" s="2"/>
      <c r="D1310" s="2"/>
      <c r="E1310" s="2"/>
      <c r="F1310" s="2"/>
      <c r="G1310" s="2"/>
      <c r="H1310" s="2"/>
    </row>
    <row r="1311" spans="1:12" x14ac:dyDescent="0.2">
      <c r="A1311" s="2" t="s">
        <v>3</v>
      </c>
      <c r="B1311" s="2" t="s">
        <v>18</v>
      </c>
      <c r="C1311" s="2"/>
      <c r="D1311" s="2"/>
      <c r="E1311" s="2"/>
      <c r="F1311" s="2"/>
      <c r="G1311" s="2"/>
      <c r="H1311" s="2"/>
      <c r="I1311" s="2"/>
      <c r="J1311" s="2"/>
      <c r="K1311" s="2"/>
      <c r="L1311" s="2"/>
    </row>
    <row r="1312" spans="1:12" x14ac:dyDescent="0.2">
      <c r="A1312" s="2" t="s">
        <v>4</v>
      </c>
      <c r="B1312" s="2">
        <v>1</v>
      </c>
      <c r="C1312" s="2"/>
      <c r="D1312" s="2"/>
      <c r="E1312" s="2"/>
      <c r="F1312" s="2"/>
      <c r="G1312" s="2"/>
      <c r="H1312" s="2"/>
      <c r="I1312" s="2"/>
      <c r="J1312" s="2"/>
      <c r="K1312" s="2"/>
      <c r="L1312" s="2"/>
    </row>
    <row r="1313" spans="1:12" x14ac:dyDescent="0.2">
      <c r="A1313" s="2" t="s">
        <v>5</v>
      </c>
      <c r="B1313" s="2" t="s">
        <v>1</v>
      </c>
      <c r="C1313" s="2"/>
      <c r="D1313" s="2"/>
      <c r="E1313" s="2"/>
      <c r="F1313" s="2"/>
      <c r="G1313" s="2"/>
      <c r="H1313" s="2"/>
      <c r="I1313" s="2"/>
      <c r="J1313" s="2"/>
    </row>
    <row r="1314" spans="1:12" x14ac:dyDescent="0.2">
      <c r="A1314" s="2" t="s">
        <v>6</v>
      </c>
      <c r="B1314" s="2" t="s">
        <v>7</v>
      </c>
      <c r="C1314" s="2"/>
      <c r="D1314" s="2"/>
      <c r="E1314" s="2"/>
      <c r="F1314" s="2"/>
      <c r="G1314" s="2"/>
      <c r="H1314" s="2"/>
      <c r="I1314" s="2"/>
      <c r="J1314" s="2"/>
      <c r="K1314" s="2"/>
      <c r="L1314" s="2"/>
    </row>
    <row r="1315" spans="1:12" x14ac:dyDescent="0.2">
      <c r="A1315" s="2" t="s">
        <v>8</v>
      </c>
      <c r="B1315" s="2" t="s">
        <v>17</v>
      </c>
      <c r="C1315" s="2"/>
      <c r="D1315" s="2"/>
      <c r="E1315" s="2"/>
      <c r="F1315" s="2"/>
      <c r="G1315" s="2"/>
      <c r="H1315" s="2"/>
      <c r="I1315" s="2"/>
      <c r="J1315" s="2"/>
      <c r="K1315" s="2"/>
      <c r="L1315" s="2"/>
    </row>
    <row r="1316" spans="1:12" x14ac:dyDescent="0.2">
      <c r="A1316" s="1" t="s">
        <v>10</v>
      </c>
      <c r="B1316" s="2"/>
      <c r="C1316" s="2"/>
      <c r="D1316" s="2"/>
      <c r="E1316" s="2"/>
      <c r="F1316" s="2"/>
      <c r="G1316" s="2"/>
      <c r="H1316" s="2"/>
      <c r="I1316" s="2"/>
      <c r="J1316" s="2"/>
      <c r="K1316" s="2"/>
      <c r="L1316" s="2"/>
    </row>
    <row r="1317" spans="1:12" x14ac:dyDescent="0.2">
      <c r="A1317" s="2" t="s">
        <v>11</v>
      </c>
      <c r="B1317" s="2" t="s">
        <v>12</v>
      </c>
      <c r="C1317" s="2" t="s">
        <v>3</v>
      </c>
      <c r="D1317" s="2" t="s">
        <v>8</v>
      </c>
      <c r="E1317" s="2" t="s">
        <v>13</v>
      </c>
      <c r="F1317" s="2" t="s">
        <v>6</v>
      </c>
      <c r="G1317" s="2" t="s">
        <v>5</v>
      </c>
      <c r="H1317" s="2"/>
      <c r="I1317" s="2"/>
      <c r="J1317" s="2"/>
      <c r="K1317" s="2"/>
    </row>
    <row r="1318" spans="1:12" x14ac:dyDescent="0.2">
      <c r="A1318" s="2" t="str">
        <f>B1310</f>
        <v>biodiesel, burned in passenger car</v>
      </c>
      <c r="B1318" s="2">
        <v>1</v>
      </c>
      <c r="C1318" s="2" t="str">
        <f>B1311</f>
        <v>RER</v>
      </c>
      <c r="D1318" s="2" t="str">
        <f>B1315</f>
        <v>megajoule</v>
      </c>
      <c r="E1318" s="2"/>
      <c r="F1318" s="2" t="s">
        <v>19</v>
      </c>
      <c r="G1318" s="2" t="str">
        <f>B1313</f>
        <v>heat</v>
      </c>
      <c r="H1318" s="2"/>
      <c r="I1318" s="2"/>
      <c r="J1318" s="2"/>
      <c r="K1318" s="2"/>
      <c r="L1318" s="2"/>
    </row>
    <row r="1319" spans="1:12" x14ac:dyDescent="0.2">
      <c r="A1319" s="2" t="s">
        <v>126</v>
      </c>
      <c r="B1319">
        <f>1/43</f>
        <v>2.3255813953488372E-2</v>
      </c>
      <c r="C1319" t="s">
        <v>18</v>
      </c>
      <c r="D1319" t="s">
        <v>9</v>
      </c>
      <c r="F1319" t="s">
        <v>23</v>
      </c>
      <c r="G1319" t="s">
        <v>127</v>
      </c>
    </row>
    <row r="1320" spans="1:12" x14ac:dyDescent="0.2">
      <c r="A1320" s="2" t="s">
        <v>148</v>
      </c>
      <c r="B1320">
        <f>150/200000/2.15</f>
        <v>3.4883720930232559E-4</v>
      </c>
      <c r="C1320" t="s">
        <v>115</v>
      </c>
      <c r="D1320" t="s">
        <v>9</v>
      </c>
      <c r="F1320" t="s">
        <v>23</v>
      </c>
      <c r="G1320" t="s">
        <v>149</v>
      </c>
    </row>
    <row r="1321" spans="1:12" x14ac:dyDescent="0.2">
      <c r="A1321" t="s">
        <v>46</v>
      </c>
      <c r="B1321" s="3">
        <v>7.1455665432553858E-7</v>
      </c>
      <c r="D1321" t="s">
        <v>9</v>
      </c>
      <c r="E1321" t="s">
        <v>14</v>
      </c>
      <c r="F1321" s="2" t="s">
        <v>15</v>
      </c>
      <c r="H1321" s="3"/>
    </row>
    <row r="1322" spans="1:12" x14ac:dyDescent="0.2">
      <c r="A1322" t="s">
        <v>47</v>
      </c>
      <c r="B1322" s="3">
        <v>3.2468920124586623E-7</v>
      </c>
      <c r="D1322" t="s">
        <v>9</v>
      </c>
      <c r="E1322" t="s">
        <v>14</v>
      </c>
      <c r="F1322" s="2" t="s">
        <v>15</v>
      </c>
      <c r="H1322" s="3"/>
    </row>
    <row r="1323" spans="1:12" x14ac:dyDescent="0.2">
      <c r="A1323" t="s">
        <v>48</v>
      </c>
      <c r="B1323" s="3">
        <v>3.9534349472964383E-7</v>
      </c>
      <c r="D1323" t="s">
        <v>9</v>
      </c>
      <c r="E1323" t="s">
        <v>14</v>
      </c>
      <c r="F1323" s="2" t="s">
        <v>15</v>
      </c>
      <c r="H1323" s="3"/>
    </row>
    <row r="1324" spans="1:12" x14ac:dyDescent="0.2">
      <c r="A1324" t="s">
        <v>49</v>
      </c>
      <c r="B1324" s="3">
        <v>3.7209280955662761E-7</v>
      </c>
      <c r="D1324" t="s">
        <v>9</v>
      </c>
      <c r="E1324" t="s">
        <v>14</v>
      </c>
      <c r="F1324" s="2" t="s">
        <v>15</v>
      </c>
      <c r="H1324" s="3"/>
    </row>
    <row r="1325" spans="1:12" x14ac:dyDescent="0.2">
      <c r="A1325" t="s">
        <v>50</v>
      </c>
      <c r="B1325" s="3">
        <v>9.4995966427857817E-8</v>
      </c>
      <c r="D1325" t="s">
        <v>9</v>
      </c>
      <c r="E1325" t="s">
        <v>14</v>
      </c>
      <c r="F1325" s="2" t="s">
        <v>15</v>
      </c>
      <c r="H1325" s="3"/>
    </row>
    <row r="1326" spans="1:12" x14ac:dyDescent="0.2">
      <c r="A1326" t="s">
        <v>51</v>
      </c>
      <c r="B1326" s="3">
        <v>2.186743705223342E-7</v>
      </c>
      <c r="D1326" t="s">
        <v>9</v>
      </c>
      <c r="E1326" t="s">
        <v>14</v>
      </c>
      <c r="F1326" s="2" t="s">
        <v>15</v>
      </c>
      <c r="H1326" s="3"/>
    </row>
    <row r="1327" spans="1:12" x14ac:dyDescent="0.2">
      <c r="A1327" t="s">
        <v>52</v>
      </c>
      <c r="B1327" s="3">
        <v>1.2147463123534157E-8</v>
      </c>
      <c r="D1327" t="s">
        <v>9</v>
      </c>
      <c r="E1327" t="s">
        <v>14</v>
      </c>
      <c r="F1327" s="2" t="s">
        <v>15</v>
      </c>
      <c r="H1327" s="3"/>
    </row>
    <row r="1328" spans="1:12" x14ac:dyDescent="0.2">
      <c r="A1328" t="s">
        <v>53</v>
      </c>
      <c r="B1328" s="3">
        <v>2.3255800597289225E-10</v>
      </c>
      <c r="D1328" t="s">
        <v>9</v>
      </c>
      <c r="E1328" t="s">
        <v>14</v>
      </c>
      <c r="F1328" s="2" t="s">
        <v>15</v>
      </c>
      <c r="H1328" s="3"/>
    </row>
    <row r="1329" spans="1:8" x14ac:dyDescent="0.2">
      <c r="A1329" t="s">
        <v>124</v>
      </c>
      <c r="B1329">
        <f>B1319*3.15</f>
        <v>7.3255813953488375E-2</v>
      </c>
      <c r="D1329" t="s">
        <v>9</v>
      </c>
      <c r="E1329" t="s">
        <v>14</v>
      </c>
      <c r="F1329" s="2" t="s">
        <v>15</v>
      </c>
      <c r="H1329" s="3"/>
    </row>
    <row r="1330" spans="1:8" x14ac:dyDescent="0.2">
      <c r="A1330" t="s">
        <v>125</v>
      </c>
      <c r="B1330" s="3">
        <v>2.1069404153243686E-5</v>
      </c>
      <c r="D1330" t="s">
        <v>9</v>
      </c>
      <c r="E1330" t="s">
        <v>14</v>
      </c>
      <c r="F1330" s="2" t="s">
        <v>15</v>
      </c>
      <c r="H1330" s="3"/>
    </row>
    <row r="1331" spans="1:8" x14ac:dyDescent="0.2">
      <c r="A1331" t="s">
        <v>56</v>
      </c>
      <c r="B1331" s="3">
        <v>1.1627900298644613E-9</v>
      </c>
      <c r="D1331" t="s">
        <v>9</v>
      </c>
      <c r="E1331" t="s">
        <v>14</v>
      </c>
      <c r="F1331" s="2" t="s">
        <v>15</v>
      </c>
      <c r="H1331" s="3"/>
    </row>
    <row r="1332" spans="1:8" x14ac:dyDescent="0.2">
      <c r="A1332" t="s">
        <v>57</v>
      </c>
      <c r="B1332" s="3">
        <v>2.3255800597289222E-12</v>
      </c>
      <c r="D1332" t="s">
        <v>9</v>
      </c>
      <c r="E1332" t="s">
        <v>14</v>
      </c>
      <c r="F1332" s="2" t="s">
        <v>15</v>
      </c>
      <c r="H1332" s="3"/>
    </row>
    <row r="1333" spans="1:8" x14ac:dyDescent="0.2">
      <c r="A1333" t="s">
        <v>58</v>
      </c>
      <c r="B1333" s="3">
        <v>3.9534861015391682E-8</v>
      </c>
      <c r="D1333" t="s">
        <v>9</v>
      </c>
      <c r="E1333" t="s">
        <v>14</v>
      </c>
      <c r="F1333" s="2" t="s">
        <v>15</v>
      </c>
      <c r="H1333" s="3"/>
    </row>
    <row r="1334" spans="1:8" x14ac:dyDescent="0.2">
      <c r="A1334" t="s">
        <v>156</v>
      </c>
      <c r="B1334" s="3">
        <v>7.1789570411210658E-8</v>
      </c>
      <c r="D1334" t="s">
        <v>9</v>
      </c>
      <c r="E1334" t="s">
        <v>14</v>
      </c>
      <c r="F1334" s="2" t="s">
        <v>15</v>
      </c>
      <c r="H1334" s="3"/>
    </row>
    <row r="1335" spans="1:8" x14ac:dyDescent="0.2">
      <c r="A1335" t="s">
        <v>59</v>
      </c>
      <c r="B1335" s="3">
        <v>1.1627900298644611E-6</v>
      </c>
      <c r="D1335" t="s">
        <v>9</v>
      </c>
      <c r="E1335" t="s">
        <v>14</v>
      </c>
      <c r="F1335" s="2" t="s">
        <v>15</v>
      </c>
      <c r="H1335" s="3"/>
    </row>
    <row r="1336" spans="1:8" x14ac:dyDescent="0.2">
      <c r="A1336" t="s">
        <v>60</v>
      </c>
      <c r="B1336" s="3">
        <v>3.646242366932188E-8</v>
      </c>
      <c r="D1336" t="s">
        <v>9</v>
      </c>
      <c r="E1336" t="s">
        <v>14</v>
      </c>
      <c r="F1336" s="2" t="s">
        <v>15</v>
      </c>
      <c r="H1336" s="3"/>
    </row>
    <row r="1337" spans="1:8" x14ac:dyDescent="0.2">
      <c r="A1337" t="s">
        <v>61</v>
      </c>
      <c r="B1337" s="3">
        <v>1.2114072625668476E-6</v>
      </c>
      <c r="D1337" t="s">
        <v>9</v>
      </c>
      <c r="E1337" t="s">
        <v>14</v>
      </c>
      <c r="F1337" s="2" t="s">
        <v>15</v>
      </c>
      <c r="H1337" s="3"/>
    </row>
    <row r="1338" spans="1:8" x14ac:dyDescent="0.2">
      <c r="A1338" t="s">
        <v>62</v>
      </c>
      <c r="B1338" s="3">
        <v>1.3252688602888143E-6</v>
      </c>
      <c r="D1338" t="s">
        <v>9</v>
      </c>
      <c r="E1338" t="s">
        <v>14</v>
      </c>
      <c r="F1338" s="2" t="s">
        <v>15</v>
      </c>
      <c r="H1338" s="3"/>
    </row>
    <row r="1339" spans="1:8" x14ac:dyDescent="0.2">
      <c r="A1339" t="s">
        <v>63</v>
      </c>
      <c r="B1339" s="3">
        <v>2.2087814338146904E-8</v>
      </c>
      <c r="D1339" t="s">
        <v>9</v>
      </c>
      <c r="E1339" t="s">
        <v>14</v>
      </c>
      <c r="F1339" s="2" t="s">
        <v>15</v>
      </c>
      <c r="H1339" s="3"/>
    </row>
    <row r="1340" spans="1:8" x14ac:dyDescent="0.2">
      <c r="A1340" t="s">
        <v>64</v>
      </c>
      <c r="B1340" s="3">
        <v>1.9186035492763611E-15</v>
      </c>
      <c r="D1340" t="s">
        <v>9</v>
      </c>
      <c r="E1340" t="s">
        <v>14</v>
      </c>
      <c r="F1340" s="2" t="s">
        <v>15</v>
      </c>
      <c r="H1340" s="3"/>
    </row>
    <row r="1341" spans="1:8" x14ac:dyDescent="0.2">
      <c r="A1341" t="s">
        <v>65</v>
      </c>
      <c r="B1341" s="3">
        <v>4.6511601194578451E-13</v>
      </c>
      <c r="D1341" t="s">
        <v>9</v>
      </c>
      <c r="E1341" t="s">
        <v>14</v>
      </c>
      <c r="F1341" s="2" t="s">
        <v>15</v>
      </c>
      <c r="H1341" s="3"/>
    </row>
    <row r="1342" spans="1:8" x14ac:dyDescent="0.2">
      <c r="A1342" t="s">
        <v>66</v>
      </c>
      <c r="B1342" s="3">
        <v>6.6447090752701953E-7</v>
      </c>
      <c r="D1342" t="s">
        <v>9</v>
      </c>
      <c r="E1342" t="s">
        <v>14</v>
      </c>
      <c r="F1342" s="2" t="s">
        <v>15</v>
      </c>
      <c r="H1342" s="3"/>
    </row>
    <row r="1343" spans="1:8" x14ac:dyDescent="0.2">
      <c r="A1343" t="s">
        <v>67</v>
      </c>
      <c r="B1343" s="3">
        <v>1.3252688602888143E-7</v>
      </c>
      <c r="D1343" t="s">
        <v>9</v>
      </c>
      <c r="E1343" t="s">
        <v>14</v>
      </c>
      <c r="F1343" s="2" t="s">
        <v>15</v>
      </c>
      <c r="H1343" s="3"/>
    </row>
    <row r="1344" spans="1:8" x14ac:dyDescent="0.2">
      <c r="A1344" t="s">
        <v>68</v>
      </c>
      <c r="B1344" s="3">
        <v>5.8566933256401625E-6</v>
      </c>
      <c r="D1344" t="s">
        <v>9</v>
      </c>
      <c r="E1344" t="s">
        <v>14</v>
      </c>
      <c r="F1344" s="2" t="s">
        <v>15</v>
      </c>
      <c r="H1344" s="3"/>
    </row>
    <row r="1345" spans="1:8" x14ac:dyDescent="0.2">
      <c r="A1345" t="s">
        <v>69</v>
      </c>
      <c r="B1345" s="3">
        <v>1.6279060418102458E-9</v>
      </c>
      <c r="D1345" t="s">
        <v>9</v>
      </c>
      <c r="E1345" t="s">
        <v>14</v>
      </c>
      <c r="F1345" s="2" t="s">
        <v>15</v>
      </c>
      <c r="H1345" s="3"/>
    </row>
    <row r="1346" spans="1:8" x14ac:dyDescent="0.2">
      <c r="A1346" t="s">
        <v>70</v>
      </c>
      <c r="B1346">
        <v>2.2614048584510013E-4</v>
      </c>
      <c r="D1346" t="s">
        <v>9</v>
      </c>
      <c r="E1346" t="s">
        <v>14</v>
      </c>
      <c r="F1346" s="2" t="s">
        <v>15</v>
      </c>
      <c r="H1346" s="3"/>
    </row>
    <row r="1347" spans="1:8" x14ac:dyDescent="0.2">
      <c r="A1347" t="s">
        <v>71</v>
      </c>
      <c r="B1347" s="3">
        <v>4.2883696301401334E-9</v>
      </c>
      <c r="D1347" t="s">
        <v>9</v>
      </c>
      <c r="E1347" t="s">
        <v>14</v>
      </c>
      <c r="F1347" s="2" t="s">
        <v>15</v>
      </c>
      <c r="H1347" s="3"/>
    </row>
    <row r="1348" spans="1:8" x14ac:dyDescent="0.2">
      <c r="A1348" t="s">
        <v>72</v>
      </c>
      <c r="B1348" s="3">
        <v>6.3929447213629726E-7</v>
      </c>
      <c r="D1348" t="s">
        <v>9</v>
      </c>
      <c r="E1348" t="s">
        <v>14</v>
      </c>
      <c r="F1348" s="2" t="s">
        <v>15</v>
      </c>
      <c r="H1348" s="3"/>
    </row>
    <row r="1349" spans="1:8" x14ac:dyDescent="0.2">
      <c r="A1349" t="s">
        <v>73</v>
      </c>
      <c r="B1349" s="3">
        <v>4.417562867629381E-9</v>
      </c>
      <c r="D1349" t="s">
        <v>9</v>
      </c>
      <c r="E1349" t="s">
        <v>14</v>
      </c>
      <c r="F1349" s="2" t="s">
        <v>15</v>
      </c>
      <c r="H1349" s="3"/>
    </row>
    <row r="1350" spans="1:8" x14ac:dyDescent="0.2">
      <c r="A1350" t="s">
        <v>74</v>
      </c>
      <c r="B1350" s="3">
        <v>1.2147463123534157E-8</v>
      </c>
      <c r="D1350" t="s">
        <v>9</v>
      </c>
      <c r="E1350" t="s">
        <v>14</v>
      </c>
      <c r="F1350" s="2" t="s">
        <v>15</v>
      </c>
      <c r="H1350" s="3"/>
    </row>
    <row r="1351" spans="1:8" x14ac:dyDescent="0.2">
      <c r="A1351" t="s">
        <v>75</v>
      </c>
      <c r="B1351" s="3">
        <v>3.9768082958024133E-7</v>
      </c>
      <c r="D1351" t="s">
        <v>9</v>
      </c>
      <c r="E1351" t="s">
        <v>14</v>
      </c>
      <c r="F1351" s="2" t="s">
        <v>15</v>
      </c>
      <c r="H1351" s="3"/>
    </row>
    <row r="1352" spans="1:8" x14ac:dyDescent="0.2">
      <c r="A1352" t="s">
        <v>76</v>
      </c>
      <c r="B1352" s="3">
        <v>2.3255800597289225E-10</v>
      </c>
      <c r="D1352" t="s">
        <v>9</v>
      </c>
      <c r="E1352" t="s">
        <v>14</v>
      </c>
      <c r="F1352" s="2" t="s">
        <v>15</v>
      </c>
      <c r="H1352" s="3"/>
    </row>
    <row r="1353" spans="1:8" x14ac:dyDescent="0.2">
      <c r="A1353" t="s">
        <v>77</v>
      </c>
      <c r="B1353" s="3">
        <v>4.0869969387591558E-8</v>
      </c>
      <c r="D1353" t="s">
        <v>9</v>
      </c>
      <c r="E1353" t="s">
        <v>14</v>
      </c>
      <c r="F1353" s="2" t="s">
        <v>15</v>
      </c>
      <c r="H1353" s="3"/>
    </row>
    <row r="1354" spans="1:8" x14ac:dyDescent="0.2">
      <c r="A1354" t="s">
        <v>78</v>
      </c>
      <c r="B1354" s="3">
        <v>4.651160119457845E-7</v>
      </c>
      <c r="D1354" t="s">
        <v>9</v>
      </c>
      <c r="E1354" t="s">
        <v>14</v>
      </c>
      <c r="F1354" s="2" t="s">
        <v>15</v>
      </c>
      <c r="H1354" s="3"/>
    </row>
    <row r="1355" spans="1:8" x14ac:dyDescent="0.2">
      <c r="A1355" t="s">
        <v>79</v>
      </c>
      <c r="B1355" s="3">
        <v>7.619711612948033E-8</v>
      </c>
      <c r="D1355" t="s">
        <v>9</v>
      </c>
      <c r="E1355" t="s">
        <v>14</v>
      </c>
      <c r="F1355" s="2" t="s">
        <v>15</v>
      </c>
      <c r="H1355" s="3"/>
    </row>
    <row r="1356" spans="1:8" x14ac:dyDescent="0.2">
      <c r="A1356" t="s">
        <v>80</v>
      </c>
      <c r="B1356" s="3">
        <v>2.3255800597289226E-8</v>
      </c>
      <c r="D1356" t="s">
        <v>9</v>
      </c>
      <c r="E1356" t="s">
        <v>14</v>
      </c>
      <c r="F1356" s="2" t="s">
        <v>15</v>
      </c>
      <c r="H1356" s="3"/>
    </row>
    <row r="1357" spans="1:8" x14ac:dyDescent="0.2">
      <c r="A1357" t="s">
        <v>81</v>
      </c>
      <c r="B1357" s="3">
        <v>6.7382024692940973E-8</v>
      </c>
      <c r="D1357" t="s">
        <v>9</v>
      </c>
      <c r="E1357" t="s">
        <v>14</v>
      </c>
      <c r="F1357" s="2" t="s">
        <v>15</v>
      </c>
      <c r="H1357" s="3"/>
    </row>
    <row r="1358" spans="1:8" x14ac:dyDescent="0.2">
      <c r="A1358" t="s">
        <v>82</v>
      </c>
      <c r="B1358" s="3">
        <v>2.9821053643838246E-8</v>
      </c>
      <c r="D1358" t="s">
        <v>9</v>
      </c>
      <c r="E1358" t="s">
        <v>14</v>
      </c>
      <c r="F1358" s="2" t="s">
        <v>15</v>
      </c>
      <c r="H1358" s="3"/>
    </row>
    <row r="1359" spans="1:8" x14ac:dyDescent="0.2">
      <c r="F1359" s="2"/>
      <c r="H1359" s="3"/>
    </row>
    <row r="1360" spans="1:8" x14ac:dyDescent="0.2">
      <c r="A1360" s="1" t="s">
        <v>2</v>
      </c>
      <c r="B1360" s="1" t="s">
        <v>89</v>
      </c>
      <c r="C1360" s="2"/>
      <c r="D1360" s="2"/>
      <c r="E1360" s="2"/>
      <c r="F1360" s="2"/>
      <c r="G1360" s="2"/>
      <c r="H1360" s="2"/>
    </row>
    <row r="1361" spans="1:12" x14ac:dyDescent="0.2">
      <c r="A1361" s="2" t="s">
        <v>3</v>
      </c>
      <c r="B1361" s="2" t="s">
        <v>18</v>
      </c>
      <c r="C1361" s="2"/>
      <c r="D1361" s="2"/>
      <c r="E1361" s="2"/>
      <c r="F1361" s="2"/>
      <c r="G1361" s="2"/>
      <c r="H1361" s="2"/>
      <c r="I1361" s="2"/>
      <c r="J1361" s="2"/>
      <c r="K1361" s="2"/>
      <c r="L1361" s="2"/>
    </row>
    <row r="1362" spans="1:12" x14ac:dyDescent="0.2">
      <c r="A1362" s="2" t="s">
        <v>4</v>
      </c>
      <c r="B1362" s="2">
        <v>1</v>
      </c>
      <c r="C1362" s="2"/>
      <c r="D1362" s="2"/>
      <c r="E1362" s="2"/>
      <c r="F1362" s="2"/>
      <c r="G1362" s="2"/>
      <c r="H1362" s="2"/>
      <c r="I1362" s="2"/>
      <c r="J1362" s="2"/>
      <c r="K1362" s="2"/>
      <c r="L1362" s="2"/>
    </row>
    <row r="1363" spans="1:12" x14ac:dyDescent="0.2">
      <c r="A1363" s="2" t="s">
        <v>5</v>
      </c>
      <c r="B1363" s="2" t="s">
        <v>1</v>
      </c>
      <c r="C1363" s="2"/>
      <c r="D1363" s="2"/>
      <c r="E1363" s="2"/>
      <c r="F1363" s="2"/>
      <c r="G1363" s="2"/>
      <c r="H1363" s="2"/>
      <c r="I1363" s="2"/>
      <c r="J1363" s="2"/>
    </row>
    <row r="1364" spans="1:12" x14ac:dyDescent="0.2">
      <c r="A1364" s="2" t="s">
        <v>6</v>
      </c>
      <c r="B1364" s="2" t="s">
        <v>7</v>
      </c>
      <c r="C1364" s="2"/>
      <c r="D1364" s="2"/>
      <c r="E1364" s="2"/>
      <c r="F1364" s="2"/>
      <c r="G1364" s="2"/>
      <c r="H1364" s="2"/>
      <c r="I1364" s="2"/>
      <c r="J1364" s="2"/>
      <c r="K1364" s="2"/>
      <c r="L1364" s="2"/>
    </row>
    <row r="1365" spans="1:12" x14ac:dyDescent="0.2">
      <c r="A1365" s="2" t="s">
        <v>8</v>
      </c>
      <c r="B1365" s="2" t="s">
        <v>17</v>
      </c>
      <c r="C1365" s="2"/>
      <c r="D1365" s="2"/>
      <c r="E1365" s="2"/>
      <c r="F1365" s="2"/>
      <c r="G1365" s="2"/>
      <c r="H1365" s="2"/>
      <c r="I1365" s="2"/>
      <c r="J1365" s="2"/>
      <c r="K1365" s="2"/>
      <c r="L1365" s="2"/>
    </row>
    <row r="1366" spans="1:12" x14ac:dyDescent="0.2">
      <c r="A1366" s="1" t="s">
        <v>10</v>
      </c>
      <c r="B1366" s="2"/>
      <c r="C1366" s="2"/>
      <c r="D1366" s="2"/>
      <c r="E1366" s="2"/>
      <c r="F1366" s="2"/>
      <c r="G1366" s="2"/>
      <c r="H1366" s="2"/>
      <c r="I1366" s="2"/>
      <c r="J1366" s="2"/>
      <c r="K1366" s="2"/>
      <c r="L1366" s="2"/>
    </row>
    <row r="1367" spans="1:12" x14ac:dyDescent="0.2">
      <c r="A1367" s="2" t="s">
        <v>11</v>
      </c>
      <c r="B1367" s="2" t="s">
        <v>12</v>
      </c>
      <c r="C1367" s="2" t="s">
        <v>3</v>
      </c>
      <c r="D1367" s="2" t="s">
        <v>8</v>
      </c>
      <c r="E1367" s="2" t="s">
        <v>13</v>
      </c>
      <c r="F1367" s="2" t="s">
        <v>6</v>
      </c>
      <c r="G1367" s="2" t="s">
        <v>5</v>
      </c>
      <c r="H1367" s="2"/>
      <c r="I1367" s="2"/>
      <c r="J1367" s="2"/>
      <c r="K1367" s="2"/>
    </row>
    <row r="1368" spans="1:12" x14ac:dyDescent="0.2">
      <c r="A1368" s="2" t="str">
        <f>B1360</f>
        <v>petrol, burned in passenger car</v>
      </c>
      <c r="B1368" s="2">
        <v>1</v>
      </c>
      <c r="C1368" s="2" t="str">
        <f>B1361</f>
        <v>RER</v>
      </c>
      <c r="D1368" s="2" t="str">
        <f>B1365</f>
        <v>megajoule</v>
      </c>
      <c r="E1368" s="2"/>
      <c r="F1368" s="2" t="s">
        <v>19</v>
      </c>
      <c r="G1368" s="2" t="str">
        <f>B1363</f>
        <v>heat</v>
      </c>
      <c r="H1368" s="2"/>
      <c r="I1368" s="2"/>
      <c r="J1368" s="2"/>
      <c r="K1368" s="2"/>
      <c r="L1368" s="2"/>
    </row>
    <row r="1369" spans="1:12" x14ac:dyDescent="0.2">
      <c r="A1369" t="s">
        <v>122</v>
      </c>
      <c r="B1369">
        <f>1/42.6</f>
        <v>2.3474178403755867E-2</v>
      </c>
      <c r="C1369" t="s">
        <v>27</v>
      </c>
      <c r="D1369" t="s">
        <v>9</v>
      </c>
      <c r="F1369" t="s">
        <v>23</v>
      </c>
      <c r="G1369" t="s">
        <v>83</v>
      </c>
    </row>
    <row r="1370" spans="1:12" x14ac:dyDescent="0.2">
      <c r="A1370" s="2" t="s">
        <v>148</v>
      </c>
      <c r="B1370">
        <f>150/200000/2.15</f>
        <v>3.4883720930232559E-4</v>
      </c>
      <c r="C1370" t="s">
        <v>115</v>
      </c>
      <c r="D1370" t="s">
        <v>9</v>
      </c>
      <c r="F1370" t="s">
        <v>23</v>
      </c>
      <c r="G1370" t="s">
        <v>149</v>
      </c>
    </row>
    <row r="1371" spans="1:12" x14ac:dyDescent="0.2">
      <c r="A1371" t="s">
        <v>84</v>
      </c>
      <c r="B1371" s="3">
        <v>1.4547114129662022E-7</v>
      </c>
      <c r="D1371" t="s">
        <v>9</v>
      </c>
      <c r="E1371" t="s">
        <v>14</v>
      </c>
      <c r="F1371" s="2" t="s">
        <v>15</v>
      </c>
      <c r="H1371" s="3"/>
    </row>
    <row r="1372" spans="1:12" x14ac:dyDescent="0.2">
      <c r="A1372" t="s">
        <v>155</v>
      </c>
      <c r="B1372" s="3">
        <v>2.3599288167039204E-6</v>
      </c>
      <c r="D1372" t="s">
        <v>9</v>
      </c>
      <c r="E1372" t="s">
        <v>14</v>
      </c>
      <c r="F1372" s="2" t="s">
        <v>15</v>
      </c>
      <c r="H1372" s="3"/>
    </row>
    <row r="1373" spans="1:12" x14ac:dyDescent="0.2">
      <c r="A1373" t="s">
        <v>46</v>
      </c>
      <c r="B1373" s="3">
        <v>6.4176573052336623E-8</v>
      </c>
      <c r="D1373" t="s">
        <v>9</v>
      </c>
      <c r="E1373" t="s">
        <v>14</v>
      </c>
      <c r="F1373" s="2" t="s">
        <v>15</v>
      </c>
      <c r="H1373" s="3"/>
    </row>
    <row r="1374" spans="1:12" x14ac:dyDescent="0.2">
      <c r="A1374" t="s">
        <v>47</v>
      </c>
      <c r="B1374" s="3">
        <v>5.2181249284002014E-8</v>
      </c>
      <c r="D1374" t="s">
        <v>9</v>
      </c>
      <c r="E1374" t="s">
        <v>14</v>
      </c>
      <c r="F1374" s="2" t="s">
        <v>15</v>
      </c>
      <c r="H1374" s="3"/>
    </row>
    <row r="1375" spans="1:12" x14ac:dyDescent="0.2">
      <c r="A1375" t="s">
        <v>48</v>
      </c>
      <c r="B1375" s="3">
        <v>1.6258913648856724E-8</v>
      </c>
      <c r="D1375" t="s">
        <v>9</v>
      </c>
      <c r="E1375" t="s">
        <v>14</v>
      </c>
      <c r="F1375" s="2" t="s">
        <v>15</v>
      </c>
      <c r="H1375" s="3"/>
    </row>
    <row r="1376" spans="1:12" x14ac:dyDescent="0.2">
      <c r="A1376" t="s">
        <v>49</v>
      </c>
      <c r="B1376" s="3">
        <v>7.0422535211267627E-7</v>
      </c>
      <c r="D1376" t="s">
        <v>9</v>
      </c>
      <c r="E1376" t="s">
        <v>14</v>
      </c>
      <c r="F1376" s="2" t="s">
        <v>15</v>
      </c>
      <c r="H1376" s="3"/>
    </row>
    <row r="1377" spans="1:8" x14ac:dyDescent="0.2">
      <c r="A1377" t="s">
        <v>50</v>
      </c>
      <c r="B1377" s="3">
        <v>1.8823431144155847E-8</v>
      </c>
      <c r="D1377" t="s">
        <v>9</v>
      </c>
      <c r="E1377" t="s">
        <v>14</v>
      </c>
      <c r="F1377" s="2" t="s">
        <v>15</v>
      </c>
      <c r="H1377" s="3"/>
    </row>
    <row r="1378" spans="1:8" x14ac:dyDescent="0.2">
      <c r="A1378" t="s">
        <v>51</v>
      </c>
      <c r="B1378" s="3">
        <v>1.2876677795875375E-6</v>
      </c>
      <c r="D1378" t="s">
        <v>9</v>
      </c>
      <c r="E1378" t="s">
        <v>14</v>
      </c>
      <c r="F1378" s="2" t="s">
        <v>15</v>
      </c>
      <c r="H1378" s="3"/>
    </row>
    <row r="1379" spans="1:8" x14ac:dyDescent="0.2">
      <c r="A1379" t="s">
        <v>52</v>
      </c>
      <c r="B1379" s="3">
        <v>2.4210190597681178E-6</v>
      </c>
      <c r="D1379" t="s">
        <v>9</v>
      </c>
      <c r="E1379" t="s">
        <v>14</v>
      </c>
      <c r="F1379" s="2" t="s">
        <v>15</v>
      </c>
      <c r="H1379" s="3"/>
    </row>
    <row r="1380" spans="1:8" x14ac:dyDescent="0.2">
      <c r="A1380" t="s">
        <v>53</v>
      </c>
      <c r="B1380" s="3">
        <v>2.3474178403755876E-10</v>
      </c>
      <c r="D1380" t="s">
        <v>9</v>
      </c>
      <c r="E1380" t="s">
        <v>14</v>
      </c>
      <c r="F1380" s="2" t="s">
        <v>15</v>
      </c>
      <c r="H1380" s="3"/>
    </row>
    <row r="1381" spans="1:8" x14ac:dyDescent="0.2">
      <c r="A1381" t="s">
        <v>54</v>
      </c>
      <c r="B1381">
        <v>7.4647887323943687E-2</v>
      </c>
      <c r="D1381" t="s">
        <v>9</v>
      </c>
      <c r="E1381" t="s">
        <v>14</v>
      </c>
      <c r="F1381" s="2" t="s">
        <v>15</v>
      </c>
      <c r="H1381" s="3"/>
    </row>
    <row r="1382" spans="1:8" x14ac:dyDescent="0.2">
      <c r="A1382" t="s">
        <v>55</v>
      </c>
      <c r="B1382">
        <v>1.2822587476495615E-4</v>
      </c>
      <c r="D1382" t="s">
        <v>9</v>
      </c>
      <c r="E1382" t="s">
        <v>14</v>
      </c>
      <c r="F1382" s="2" t="s">
        <v>15</v>
      </c>
      <c r="H1382" s="3"/>
    </row>
    <row r="1383" spans="1:8" x14ac:dyDescent="0.2">
      <c r="A1383" t="s">
        <v>56</v>
      </c>
      <c r="B1383" s="3">
        <v>1.173708920187794E-9</v>
      </c>
      <c r="D1383" t="s">
        <v>9</v>
      </c>
      <c r="E1383" t="s">
        <v>14</v>
      </c>
      <c r="F1383" s="2" t="s">
        <v>15</v>
      </c>
      <c r="H1383" s="3"/>
    </row>
    <row r="1384" spans="1:8" x14ac:dyDescent="0.2">
      <c r="A1384" t="s">
        <v>57</v>
      </c>
      <c r="B1384" s="3">
        <v>2.3474178403755881E-12</v>
      </c>
      <c r="D1384" t="s">
        <v>9</v>
      </c>
      <c r="E1384" t="s">
        <v>14</v>
      </c>
      <c r="F1384" s="2" t="s">
        <v>15</v>
      </c>
      <c r="H1384" s="3"/>
    </row>
    <row r="1385" spans="1:8" x14ac:dyDescent="0.2">
      <c r="A1385" t="s">
        <v>58</v>
      </c>
      <c r="B1385" s="3">
        <v>3.9906103286384993E-8</v>
      </c>
      <c r="D1385" t="s">
        <v>9</v>
      </c>
      <c r="E1385" t="s">
        <v>14</v>
      </c>
      <c r="F1385" s="2" t="s">
        <v>15</v>
      </c>
      <c r="H1385" s="3"/>
    </row>
    <row r="1386" spans="1:8" x14ac:dyDescent="0.2">
      <c r="A1386" t="s">
        <v>156</v>
      </c>
      <c r="B1386" s="3">
        <v>9.7553481893140337E-8</v>
      </c>
      <c r="D1386" t="s">
        <v>9</v>
      </c>
      <c r="E1386" t="s">
        <v>14</v>
      </c>
      <c r="F1386" s="2" t="s">
        <v>15</v>
      </c>
      <c r="H1386" s="3"/>
    </row>
    <row r="1387" spans="1:8" x14ac:dyDescent="0.2">
      <c r="A1387" t="s">
        <v>59</v>
      </c>
      <c r="B1387" s="3">
        <v>3.0516431924882642E-6</v>
      </c>
      <c r="D1387" t="s">
        <v>9</v>
      </c>
      <c r="E1387" t="s">
        <v>14</v>
      </c>
      <c r="F1387" s="2" t="s">
        <v>15</v>
      </c>
      <c r="H1387" s="3"/>
    </row>
    <row r="1388" spans="1:8" x14ac:dyDescent="0.2">
      <c r="A1388" t="s">
        <v>60</v>
      </c>
      <c r="B1388" s="3">
        <v>3.738595604189168E-7</v>
      </c>
      <c r="D1388" t="s">
        <v>9</v>
      </c>
      <c r="E1388" t="s">
        <v>14</v>
      </c>
      <c r="F1388" s="2" t="s">
        <v>15</v>
      </c>
      <c r="H1388" s="3"/>
    </row>
    <row r="1389" spans="1:8" x14ac:dyDescent="0.2">
      <c r="A1389" t="s">
        <v>85</v>
      </c>
      <c r="B1389" s="3">
        <v>8.4158173387917866E-9</v>
      </c>
      <c r="D1389" t="s">
        <v>9</v>
      </c>
      <c r="E1389" t="s">
        <v>14</v>
      </c>
      <c r="F1389" s="2" t="s">
        <v>15</v>
      </c>
      <c r="H1389" s="3"/>
    </row>
    <row r="1390" spans="1:8" x14ac:dyDescent="0.2">
      <c r="A1390" t="s">
        <v>61</v>
      </c>
      <c r="B1390" s="3">
        <v>6.2458409966156062E-7</v>
      </c>
      <c r="D1390" t="s">
        <v>9</v>
      </c>
      <c r="E1390" t="s">
        <v>14</v>
      </c>
      <c r="F1390" s="2" t="s">
        <v>15</v>
      </c>
      <c r="H1390" s="3"/>
    </row>
    <row r="1391" spans="1:8" x14ac:dyDescent="0.2">
      <c r="A1391" t="s">
        <v>62</v>
      </c>
      <c r="B1391" s="3">
        <v>1.4547114129662022E-7</v>
      </c>
      <c r="D1391" t="s">
        <v>9</v>
      </c>
      <c r="E1391" t="s">
        <v>14</v>
      </c>
      <c r="F1391" s="2" t="s">
        <v>15</v>
      </c>
      <c r="H1391" s="3"/>
    </row>
    <row r="1392" spans="1:8" x14ac:dyDescent="0.2">
      <c r="A1392" t="s">
        <v>63</v>
      </c>
      <c r="B1392" s="3">
        <v>6.3317491509246337E-8</v>
      </c>
      <c r="D1392" t="s">
        <v>9</v>
      </c>
      <c r="E1392" t="s">
        <v>14</v>
      </c>
      <c r="F1392" s="2" t="s">
        <v>15</v>
      </c>
      <c r="H1392" s="3"/>
    </row>
    <row r="1393" spans="1:8" x14ac:dyDescent="0.2">
      <c r="A1393" t="s">
        <v>86</v>
      </c>
      <c r="B1393" s="3">
        <v>1.3777122524373701E-7</v>
      </c>
      <c r="D1393" t="s">
        <v>9</v>
      </c>
      <c r="E1393" t="s">
        <v>14</v>
      </c>
      <c r="F1393" s="2" t="s">
        <v>15</v>
      </c>
      <c r="H1393" s="3"/>
    </row>
    <row r="1394" spans="1:8" x14ac:dyDescent="0.2">
      <c r="A1394" t="s">
        <v>64</v>
      </c>
      <c r="B1394" s="3">
        <v>3.5211267605633819E-11</v>
      </c>
      <c r="D1394" t="s">
        <v>9</v>
      </c>
      <c r="E1394" t="s">
        <v>14</v>
      </c>
      <c r="F1394" s="2" t="s">
        <v>15</v>
      </c>
      <c r="H1394" s="3"/>
    </row>
    <row r="1395" spans="1:8" x14ac:dyDescent="0.2">
      <c r="A1395" t="s">
        <v>65</v>
      </c>
      <c r="B1395" s="3">
        <v>1.6431924882629114E-12</v>
      </c>
      <c r="D1395" t="s">
        <v>9</v>
      </c>
      <c r="E1395" t="s">
        <v>14</v>
      </c>
      <c r="F1395" s="2" t="s">
        <v>15</v>
      </c>
      <c r="H1395" s="3"/>
    </row>
    <row r="1396" spans="1:8" x14ac:dyDescent="0.2">
      <c r="A1396" t="s">
        <v>66</v>
      </c>
      <c r="B1396" s="3">
        <v>5.7558463387048561E-6</v>
      </c>
      <c r="D1396" t="s">
        <v>9</v>
      </c>
      <c r="E1396" t="s">
        <v>14</v>
      </c>
      <c r="F1396" s="2" t="s">
        <v>15</v>
      </c>
      <c r="H1396" s="3"/>
    </row>
    <row r="1397" spans="1:8" x14ac:dyDescent="0.2">
      <c r="A1397" t="s">
        <v>67</v>
      </c>
      <c r="B1397" s="3">
        <v>4.2794987979867499E-9</v>
      </c>
      <c r="D1397" t="s">
        <v>9</v>
      </c>
      <c r="E1397" t="s">
        <v>14</v>
      </c>
      <c r="F1397" s="2" t="s">
        <v>15</v>
      </c>
      <c r="H1397" s="3"/>
    </row>
    <row r="1398" spans="1:8" x14ac:dyDescent="0.2">
      <c r="A1398" t="s">
        <v>68</v>
      </c>
      <c r="B1398" s="3">
        <v>2.1817489411000107E-5</v>
      </c>
      <c r="D1398" t="s">
        <v>9</v>
      </c>
      <c r="E1398" t="s">
        <v>14</v>
      </c>
      <c r="F1398" s="2" t="s">
        <v>15</v>
      </c>
      <c r="H1398" s="3"/>
    </row>
    <row r="1399" spans="1:8" x14ac:dyDescent="0.2">
      <c r="A1399" t="s">
        <v>69</v>
      </c>
      <c r="B1399" s="3">
        <v>1.6431924882629115E-9</v>
      </c>
      <c r="D1399" t="s">
        <v>9</v>
      </c>
      <c r="E1399" t="s">
        <v>14</v>
      </c>
      <c r="F1399" s="2" t="s">
        <v>15</v>
      </c>
      <c r="H1399" s="3"/>
    </row>
    <row r="1400" spans="1:8" x14ac:dyDescent="0.2">
      <c r="A1400" t="s">
        <v>70</v>
      </c>
      <c r="B1400" s="3">
        <v>1.0423522722828692E-5</v>
      </c>
      <c r="D1400" t="s">
        <v>9</v>
      </c>
      <c r="E1400" t="s">
        <v>14</v>
      </c>
      <c r="F1400" s="2" t="s">
        <v>15</v>
      </c>
      <c r="H1400" s="3"/>
    </row>
    <row r="1401" spans="1:8" x14ac:dyDescent="0.2">
      <c r="A1401" t="s">
        <v>71</v>
      </c>
      <c r="B1401" s="3">
        <v>8.1690140845070448E-10</v>
      </c>
      <c r="D1401" t="s">
        <v>9</v>
      </c>
      <c r="E1401" t="s">
        <v>14</v>
      </c>
      <c r="F1401" s="2" t="s">
        <v>15</v>
      </c>
      <c r="H1401" s="3"/>
    </row>
    <row r="1402" spans="1:8" x14ac:dyDescent="0.2">
      <c r="A1402" t="s">
        <v>72</v>
      </c>
      <c r="B1402" s="3">
        <v>3.3122366161369572E-7</v>
      </c>
      <c r="D1402" t="s">
        <v>9</v>
      </c>
      <c r="E1402" t="s">
        <v>14</v>
      </c>
      <c r="F1402" s="2" t="s">
        <v>15</v>
      </c>
      <c r="H1402" s="3"/>
    </row>
    <row r="1403" spans="1:8" x14ac:dyDescent="0.2">
      <c r="A1403" t="s">
        <v>73</v>
      </c>
      <c r="B1403" s="3">
        <v>2.7827878429139121E-6</v>
      </c>
      <c r="D1403" t="s">
        <v>9</v>
      </c>
      <c r="E1403" t="s">
        <v>14</v>
      </c>
      <c r="F1403" s="2" t="s">
        <v>15</v>
      </c>
      <c r="H1403" s="3"/>
    </row>
    <row r="1404" spans="1:8" x14ac:dyDescent="0.2">
      <c r="A1404" t="s">
        <v>74</v>
      </c>
      <c r="B1404" s="3">
        <v>1.789116858072825E-6</v>
      </c>
      <c r="D1404" t="s">
        <v>9</v>
      </c>
      <c r="E1404" t="s">
        <v>14</v>
      </c>
      <c r="F1404" s="2" t="s">
        <v>15</v>
      </c>
      <c r="H1404" s="3"/>
    </row>
    <row r="1405" spans="1:8" x14ac:dyDescent="0.2">
      <c r="A1405" t="s">
        <v>87</v>
      </c>
      <c r="B1405" s="3">
        <v>4.7122213530248159E-8</v>
      </c>
      <c r="D1405" t="s">
        <v>9</v>
      </c>
      <c r="E1405" t="s">
        <v>14</v>
      </c>
      <c r="F1405" s="2" t="s">
        <v>15</v>
      </c>
      <c r="H1405" s="3"/>
    </row>
    <row r="1406" spans="1:8" x14ac:dyDescent="0.2">
      <c r="A1406" t="s">
        <v>75</v>
      </c>
      <c r="B1406" s="3">
        <v>3.2676916472359795E-7</v>
      </c>
      <c r="D1406" t="s">
        <v>9</v>
      </c>
      <c r="E1406" t="s">
        <v>14</v>
      </c>
      <c r="F1406" s="2" t="s">
        <v>15</v>
      </c>
      <c r="H1406" s="3"/>
    </row>
    <row r="1407" spans="1:8" x14ac:dyDescent="0.2">
      <c r="A1407" t="s">
        <v>76</v>
      </c>
      <c r="B1407" s="3">
        <v>2.3474178403755876E-10</v>
      </c>
      <c r="D1407" t="s">
        <v>9</v>
      </c>
      <c r="E1407" t="s">
        <v>14</v>
      </c>
      <c r="F1407" s="2" t="s">
        <v>15</v>
      </c>
      <c r="H1407" s="3"/>
    </row>
    <row r="1408" spans="1:8" x14ac:dyDescent="0.2">
      <c r="A1408" t="s">
        <v>77</v>
      </c>
      <c r="B1408" s="3">
        <v>8.6417239667896019E-8</v>
      </c>
      <c r="D1408" t="s">
        <v>9</v>
      </c>
      <c r="E1408" t="s">
        <v>14</v>
      </c>
      <c r="F1408" s="2" t="s">
        <v>15</v>
      </c>
      <c r="H1408" s="3"/>
    </row>
    <row r="1409" spans="1:12" x14ac:dyDescent="0.2">
      <c r="A1409" t="s">
        <v>78</v>
      </c>
      <c r="B1409" s="3">
        <v>4.6948356807511755E-7</v>
      </c>
      <c r="D1409" t="s">
        <v>9</v>
      </c>
      <c r="E1409" t="s">
        <v>14</v>
      </c>
      <c r="F1409" s="2" t="s">
        <v>15</v>
      </c>
      <c r="H1409" s="3"/>
    </row>
    <row r="1410" spans="1:12" x14ac:dyDescent="0.2">
      <c r="A1410" t="s">
        <v>79</v>
      </c>
      <c r="B1410" s="3">
        <v>2.4137009577343855E-6</v>
      </c>
      <c r="D1410" t="s">
        <v>9</v>
      </c>
      <c r="E1410" t="s">
        <v>14</v>
      </c>
      <c r="F1410" s="2" t="s">
        <v>15</v>
      </c>
      <c r="H1410" s="3"/>
    </row>
    <row r="1411" spans="1:12" x14ac:dyDescent="0.2">
      <c r="A1411" t="s">
        <v>80</v>
      </c>
      <c r="B1411" s="3">
        <v>2.3474178403755879E-8</v>
      </c>
      <c r="D1411" t="s">
        <v>9</v>
      </c>
      <c r="E1411" t="s">
        <v>14</v>
      </c>
      <c r="F1411" s="2" t="s">
        <v>15</v>
      </c>
      <c r="H1411" s="3"/>
    </row>
    <row r="1412" spans="1:12" x14ac:dyDescent="0.2">
      <c r="A1412" t="s">
        <v>81</v>
      </c>
      <c r="B1412" s="3">
        <v>1.0417159155842839E-6</v>
      </c>
      <c r="D1412" t="s">
        <v>9</v>
      </c>
      <c r="E1412" t="s">
        <v>14</v>
      </c>
      <c r="F1412" s="2" t="s">
        <v>15</v>
      </c>
      <c r="H1412" s="3"/>
    </row>
    <row r="1413" spans="1:12" x14ac:dyDescent="0.2">
      <c r="A1413" t="s">
        <v>82</v>
      </c>
      <c r="B1413" s="3">
        <v>2.4967455068997787E-7</v>
      </c>
      <c r="D1413" t="s">
        <v>9</v>
      </c>
      <c r="E1413" t="s">
        <v>14</v>
      </c>
      <c r="F1413" s="2" t="s">
        <v>15</v>
      </c>
      <c r="H1413" s="3"/>
    </row>
    <row r="1415" spans="1:12" x14ac:dyDescent="0.2">
      <c r="A1415" s="1" t="s">
        <v>2</v>
      </c>
      <c r="B1415" s="1" t="s">
        <v>144</v>
      </c>
      <c r="C1415" s="2"/>
      <c r="D1415" s="2"/>
      <c r="E1415" s="2"/>
      <c r="F1415" s="2"/>
      <c r="G1415" s="2"/>
      <c r="H1415" s="2"/>
    </row>
    <row r="1416" spans="1:12" x14ac:dyDescent="0.2">
      <c r="A1416" s="2" t="s">
        <v>3</v>
      </c>
      <c r="B1416" s="2" t="s">
        <v>18</v>
      </c>
      <c r="C1416" s="2"/>
      <c r="D1416" s="2"/>
      <c r="E1416" s="2"/>
      <c r="F1416" s="2"/>
      <c r="G1416" s="2"/>
      <c r="H1416" s="2"/>
      <c r="I1416" s="2"/>
      <c r="J1416" s="2"/>
      <c r="K1416" s="2"/>
      <c r="L1416" s="2"/>
    </row>
    <row r="1417" spans="1:12" x14ac:dyDescent="0.2">
      <c r="A1417" t="s">
        <v>157</v>
      </c>
      <c r="B1417" t="s">
        <v>187</v>
      </c>
      <c r="C1417" s="2"/>
      <c r="D1417" s="2"/>
      <c r="E1417" s="2"/>
      <c r="F1417" s="2"/>
      <c r="G1417" s="2"/>
      <c r="H1417" s="2"/>
      <c r="I1417" s="2"/>
      <c r="J1417" s="2"/>
      <c r="K1417" s="2"/>
      <c r="L1417" s="2"/>
    </row>
    <row r="1418" spans="1:12" x14ac:dyDescent="0.2">
      <c r="A1418" s="2" t="s">
        <v>4</v>
      </c>
      <c r="B1418" s="2">
        <v>1</v>
      </c>
      <c r="C1418" s="2"/>
      <c r="D1418" s="2"/>
      <c r="E1418" s="2"/>
      <c r="F1418" s="2"/>
      <c r="G1418" s="2"/>
      <c r="H1418" s="2"/>
      <c r="I1418" s="2"/>
      <c r="J1418" s="2"/>
      <c r="K1418" s="2"/>
      <c r="L1418" s="2"/>
    </row>
    <row r="1419" spans="1:12" x14ac:dyDescent="0.2">
      <c r="A1419" s="2" t="s">
        <v>5</v>
      </c>
      <c r="B1419" s="2" t="s">
        <v>147</v>
      </c>
      <c r="C1419" s="2"/>
      <c r="D1419" s="2"/>
      <c r="E1419" s="2"/>
      <c r="F1419" s="2"/>
      <c r="G1419" s="2"/>
      <c r="H1419" s="2"/>
      <c r="I1419" s="2"/>
      <c r="J1419" s="2"/>
    </row>
    <row r="1420" spans="1:12" x14ac:dyDescent="0.2">
      <c r="A1420" s="2" t="s">
        <v>6</v>
      </c>
      <c r="B1420" s="2" t="s">
        <v>7</v>
      </c>
      <c r="C1420" s="2"/>
      <c r="D1420" s="2"/>
      <c r="E1420" s="2"/>
      <c r="F1420" s="2"/>
      <c r="G1420" s="2"/>
      <c r="H1420" s="2"/>
      <c r="I1420" s="2"/>
      <c r="J1420" s="2"/>
      <c r="K1420" s="2"/>
      <c r="L1420" s="2"/>
    </row>
    <row r="1421" spans="1:12" x14ac:dyDescent="0.2">
      <c r="A1421" s="2" t="s">
        <v>8</v>
      </c>
      <c r="B1421" s="2" t="s">
        <v>17</v>
      </c>
      <c r="C1421" s="2"/>
      <c r="D1421" s="2"/>
      <c r="E1421" s="2"/>
      <c r="F1421" s="2"/>
      <c r="G1421" s="2"/>
      <c r="H1421" s="2"/>
      <c r="I1421" s="2"/>
      <c r="J1421" s="2"/>
      <c r="K1421" s="2"/>
      <c r="L1421" s="2"/>
    </row>
    <row r="1422" spans="1:12" x14ac:dyDescent="0.2">
      <c r="A1422" s="1" t="s">
        <v>10</v>
      </c>
      <c r="B1422" s="2"/>
      <c r="C1422" s="2"/>
      <c r="D1422" s="2"/>
      <c r="E1422" s="2"/>
      <c r="F1422" s="2"/>
      <c r="G1422" s="2"/>
      <c r="H1422" s="2"/>
      <c r="I1422" s="2"/>
      <c r="J1422" s="2"/>
      <c r="K1422" s="2"/>
      <c r="L1422" s="2"/>
    </row>
    <row r="1423" spans="1:12" x14ac:dyDescent="0.2">
      <c r="A1423" s="2" t="s">
        <v>11</v>
      </c>
      <c r="B1423" s="2" t="s">
        <v>12</v>
      </c>
      <c r="C1423" s="2" t="s">
        <v>3</v>
      </c>
      <c r="D1423" s="2" t="s">
        <v>8</v>
      </c>
      <c r="E1423" s="2" t="s">
        <v>13</v>
      </c>
      <c r="F1423" s="2" t="s">
        <v>6</v>
      </c>
      <c r="G1423" s="2" t="s">
        <v>5</v>
      </c>
      <c r="H1423" t="s">
        <v>188</v>
      </c>
      <c r="I1423" t="s">
        <v>189</v>
      </c>
      <c r="J1423" t="s">
        <v>190</v>
      </c>
      <c r="K1423" t="s">
        <v>191</v>
      </c>
    </row>
    <row r="1424" spans="1:12" x14ac:dyDescent="0.2">
      <c r="A1424" s="2" t="str">
        <f>B1415</f>
        <v>electricity, used in passenger car</v>
      </c>
      <c r="B1424" s="2">
        <v>1</v>
      </c>
      <c r="C1424" s="2" t="str">
        <f>B1416</f>
        <v>RER</v>
      </c>
      <c r="D1424" s="2" t="str">
        <f>B1421</f>
        <v>megajoule</v>
      </c>
      <c r="E1424" s="2"/>
      <c r="F1424" s="2" t="s">
        <v>19</v>
      </c>
      <c r="G1424" s="2" t="str">
        <f>B1419</f>
        <v>electricity, low voltage</v>
      </c>
      <c r="H1424" s="2">
        <v>0</v>
      </c>
      <c r="J1424" s="2"/>
      <c r="K1424" s="2"/>
    </row>
    <row r="1425" spans="1:12" x14ac:dyDescent="0.2">
      <c r="A1425" s="2" t="s">
        <v>145</v>
      </c>
      <c r="B1425">
        <f>1/3.6</f>
        <v>0.27777777777777779</v>
      </c>
      <c r="C1425" t="s">
        <v>18</v>
      </c>
      <c r="D1425" t="s">
        <v>146</v>
      </c>
      <c r="F1425" t="s">
        <v>23</v>
      </c>
      <c r="G1425" t="s">
        <v>147</v>
      </c>
      <c r="H1425">
        <v>0</v>
      </c>
    </row>
    <row r="1426" spans="1:12" x14ac:dyDescent="0.2">
      <c r="A1426" s="2" t="s">
        <v>151</v>
      </c>
      <c r="B1426">
        <f>89.9/200000/0.75</f>
        <v>5.9933333333333334E-4</v>
      </c>
      <c r="C1426" t="s">
        <v>115</v>
      </c>
      <c r="D1426" t="s">
        <v>9</v>
      </c>
      <c r="F1426" t="s">
        <v>23</v>
      </c>
      <c r="G1426" t="s">
        <v>152</v>
      </c>
      <c r="H1426">
        <v>5</v>
      </c>
      <c r="I1426">
        <f t="shared" ref="I1426:I1431" si="6">B1426</f>
        <v>5.9933333333333334E-4</v>
      </c>
      <c r="J1426">
        <f>60/250000/0.75</f>
        <v>3.2000000000000003E-4</v>
      </c>
      <c r="K1426">
        <f>120/150000/0.75</f>
        <v>1.0666666666666667E-3</v>
      </c>
    </row>
    <row r="1427" spans="1:12" x14ac:dyDescent="0.2">
      <c r="A1427" t="s">
        <v>192</v>
      </c>
      <c r="B1427">
        <v>2.9804347826086958E-5</v>
      </c>
      <c r="C1427" t="s">
        <v>115</v>
      </c>
      <c r="D1427" t="s">
        <v>9</v>
      </c>
      <c r="F1427" t="s">
        <v>23</v>
      </c>
      <c r="G1427" t="s">
        <v>193</v>
      </c>
      <c r="H1427">
        <v>5</v>
      </c>
      <c r="I1427">
        <f t="shared" si="6"/>
        <v>2.9804347826086958E-5</v>
      </c>
      <c r="J1427">
        <f>(200000/250000)*B1427</f>
        <v>2.3843478260869569E-5</v>
      </c>
      <c r="K1427">
        <f>(200000/150000)*B1427</f>
        <v>3.9739130434782611E-5</v>
      </c>
    </row>
    <row r="1428" spans="1:12" x14ac:dyDescent="0.2">
      <c r="A1428" t="s">
        <v>194</v>
      </c>
      <c r="B1428">
        <f>8.94/200000/0.75</f>
        <v>5.9599999999999992E-5</v>
      </c>
      <c r="C1428" t="s">
        <v>115</v>
      </c>
      <c r="D1428" t="s">
        <v>9</v>
      </c>
      <c r="F1428" t="s">
        <v>23</v>
      </c>
      <c r="G1428" t="s">
        <v>195</v>
      </c>
      <c r="H1428">
        <v>5</v>
      </c>
      <c r="I1428">
        <f t="shared" si="6"/>
        <v>5.9599999999999992E-5</v>
      </c>
      <c r="J1428">
        <f>8.94/250000/0.75</f>
        <v>4.7679999999999998E-5</v>
      </c>
      <c r="K1428">
        <f>8.94/150000/0.75</f>
        <v>7.9466666666666669E-5</v>
      </c>
    </row>
    <row r="1429" spans="1:12" x14ac:dyDescent="0.2">
      <c r="A1429" t="s">
        <v>196</v>
      </c>
      <c r="B1429">
        <v>2.6492753623188407E-5</v>
      </c>
      <c r="C1429" t="s">
        <v>115</v>
      </c>
      <c r="D1429" t="s">
        <v>9</v>
      </c>
      <c r="F1429" t="s">
        <v>23</v>
      </c>
      <c r="G1429" t="s">
        <v>197</v>
      </c>
      <c r="H1429">
        <v>5</v>
      </c>
      <c r="I1429">
        <f t="shared" si="6"/>
        <v>2.6492753623188407E-5</v>
      </c>
      <c r="J1429">
        <f>(200000/250000)*B1429</f>
        <v>2.1194202898550728E-5</v>
      </c>
      <c r="K1429">
        <f>(200000/150000)*B1429</f>
        <v>3.5323671497584541E-5</v>
      </c>
    </row>
    <row r="1430" spans="1:12" x14ac:dyDescent="0.2">
      <c r="A1430" t="s">
        <v>198</v>
      </c>
      <c r="B1430">
        <f>48/200000/0.75</f>
        <v>3.2000000000000003E-4</v>
      </c>
      <c r="C1430" s="2" t="s">
        <v>115</v>
      </c>
      <c r="D1430" t="s">
        <v>146</v>
      </c>
      <c r="F1430" t="s">
        <v>23</v>
      </c>
      <c r="G1430" t="s">
        <v>199</v>
      </c>
      <c r="H1430">
        <v>5</v>
      </c>
      <c r="I1430">
        <f t="shared" si="6"/>
        <v>3.2000000000000003E-4</v>
      </c>
      <c r="J1430">
        <f>30/250000/0.75</f>
        <v>1.6000000000000001E-4</v>
      </c>
      <c r="K1430">
        <f>80/150000/0.75</f>
        <v>7.1111111111111115E-4</v>
      </c>
    </row>
    <row r="1431" spans="1:12" x14ac:dyDescent="0.2">
      <c r="A1431" t="s">
        <v>200</v>
      </c>
      <c r="B1431">
        <f>5.96/200000/0.75</f>
        <v>3.9733333333333335E-5</v>
      </c>
      <c r="C1431" t="s">
        <v>115</v>
      </c>
      <c r="D1431" t="s">
        <v>9</v>
      </c>
      <c r="F1431" t="s">
        <v>23</v>
      </c>
      <c r="G1431" t="s">
        <v>201</v>
      </c>
      <c r="H1431">
        <v>5</v>
      </c>
      <c r="I1431">
        <f t="shared" si="6"/>
        <v>3.9733333333333335E-5</v>
      </c>
      <c r="J1431">
        <f>5.96/250000/0.75</f>
        <v>3.1786666666666665E-5</v>
      </c>
      <c r="K1431">
        <f>5.96/150000/0.75</f>
        <v>5.2977777777777782E-5</v>
      </c>
    </row>
    <row r="1433" spans="1:12" x14ac:dyDescent="0.2">
      <c r="A1433" s="1" t="s">
        <v>2</v>
      </c>
      <c r="B1433" s="1" t="s">
        <v>205</v>
      </c>
      <c r="C1433" s="2"/>
      <c r="D1433" s="2"/>
      <c r="E1433" s="2"/>
      <c r="F1433" s="2"/>
      <c r="G1433" s="2"/>
      <c r="H1433" s="2"/>
    </row>
    <row r="1434" spans="1:12" x14ac:dyDescent="0.2">
      <c r="A1434" s="2" t="s">
        <v>3</v>
      </c>
      <c r="B1434" s="2" t="s">
        <v>18</v>
      </c>
      <c r="C1434" s="2"/>
      <c r="D1434" s="2"/>
      <c r="E1434" s="2"/>
      <c r="F1434" s="2"/>
      <c r="G1434" s="2"/>
      <c r="H1434" s="2"/>
      <c r="I1434" s="2"/>
      <c r="J1434" s="2"/>
      <c r="K1434" s="2"/>
      <c r="L1434" s="2"/>
    </row>
    <row r="1435" spans="1:12" x14ac:dyDescent="0.2">
      <c r="A1435" s="2" t="s">
        <v>4</v>
      </c>
      <c r="B1435" s="2">
        <v>1</v>
      </c>
      <c r="C1435" s="2"/>
      <c r="D1435" s="2"/>
      <c r="E1435" s="2"/>
      <c r="F1435" s="2"/>
      <c r="G1435" s="2"/>
      <c r="H1435" s="2"/>
      <c r="I1435" s="2"/>
      <c r="J1435" s="2"/>
      <c r="K1435" s="2"/>
      <c r="L1435" s="2"/>
    </row>
    <row r="1436" spans="1:12" x14ac:dyDescent="0.2">
      <c r="A1436" s="2" t="s">
        <v>5</v>
      </c>
      <c r="B1436" s="2" t="s">
        <v>1</v>
      </c>
      <c r="C1436" s="2"/>
      <c r="D1436" s="2"/>
      <c r="E1436" s="2"/>
      <c r="F1436" s="2"/>
      <c r="G1436" s="2"/>
      <c r="H1436" s="2"/>
      <c r="I1436" s="2"/>
      <c r="J1436" s="2"/>
    </row>
    <row r="1437" spans="1:12" x14ac:dyDescent="0.2">
      <c r="A1437" s="2" t="s">
        <v>6</v>
      </c>
      <c r="B1437" s="2" t="s">
        <v>7</v>
      </c>
      <c r="C1437" s="2"/>
      <c r="D1437" s="2"/>
      <c r="E1437" s="2"/>
      <c r="F1437" s="2"/>
      <c r="G1437" s="2"/>
      <c r="H1437" s="2"/>
      <c r="I1437" s="2"/>
      <c r="J1437" s="2"/>
      <c r="K1437" s="2"/>
      <c r="L1437" s="2"/>
    </row>
    <row r="1438" spans="1:12" x14ac:dyDescent="0.2">
      <c r="A1438" t="s">
        <v>157</v>
      </c>
      <c r="B1438" t="s">
        <v>202</v>
      </c>
      <c r="C1438" s="2"/>
      <c r="D1438" s="2"/>
      <c r="E1438" s="2"/>
      <c r="F1438" s="2"/>
      <c r="G1438" s="2"/>
      <c r="H1438" s="2"/>
      <c r="I1438" s="2"/>
      <c r="J1438" s="2"/>
      <c r="K1438" s="2"/>
      <c r="L1438" s="2"/>
    </row>
    <row r="1439" spans="1:12" x14ac:dyDescent="0.2">
      <c r="A1439" s="2" t="s">
        <v>8</v>
      </c>
      <c r="B1439" s="2" t="s">
        <v>17</v>
      </c>
      <c r="C1439" s="2"/>
      <c r="D1439" s="2"/>
      <c r="E1439" s="2"/>
      <c r="F1439" s="2"/>
      <c r="G1439" s="2"/>
      <c r="H1439" s="2"/>
      <c r="I1439" s="2"/>
      <c r="J1439" s="2"/>
      <c r="K1439" s="2"/>
      <c r="L1439" s="2"/>
    </row>
    <row r="1440" spans="1:12" x14ac:dyDescent="0.2">
      <c r="A1440" s="1" t="s">
        <v>10</v>
      </c>
      <c r="B1440" s="2"/>
      <c r="C1440" s="2"/>
      <c r="D1440" s="2"/>
      <c r="E1440" s="2"/>
      <c r="F1440" s="2"/>
      <c r="G1440" s="2"/>
      <c r="H1440" s="2"/>
      <c r="I1440" s="2"/>
      <c r="J1440" s="2"/>
      <c r="K1440" s="2"/>
      <c r="L1440" s="2"/>
    </row>
    <row r="1441" spans="1:15" x14ac:dyDescent="0.2">
      <c r="A1441" s="2" t="s">
        <v>11</v>
      </c>
      <c r="B1441" s="2" t="s">
        <v>12</v>
      </c>
      <c r="C1441" s="2" t="s">
        <v>3</v>
      </c>
      <c r="D1441" s="2" t="s">
        <v>8</v>
      </c>
      <c r="E1441" s="2" t="s">
        <v>13</v>
      </c>
      <c r="F1441" s="2" t="s">
        <v>6</v>
      </c>
      <c r="G1441" s="2" t="s">
        <v>5</v>
      </c>
      <c r="H1441" t="s">
        <v>188</v>
      </c>
      <c r="I1441" t="s">
        <v>189</v>
      </c>
      <c r="J1441" t="s">
        <v>190</v>
      </c>
      <c r="K1441" t="s">
        <v>191</v>
      </c>
    </row>
    <row r="1442" spans="1:15" x14ac:dyDescent="0.2">
      <c r="A1442" s="2" t="str">
        <f>B1433</f>
        <v>hydrogen, used in passenger car</v>
      </c>
      <c r="B1442" s="2">
        <v>1</v>
      </c>
      <c r="C1442" s="2" t="str">
        <f>B1434</f>
        <v>RER</v>
      </c>
      <c r="D1442" s="2" t="str">
        <f>B1439</f>
        <v>megajoule</v>
      </c>
      <c r="E1442" s="2"/>
      <c r="F1442" s="2" t="s">
        <v>19</v>
      </c>
      <c r="G1442" s="2" t="str">
        <f>B1436</f>
        <v>heat</v>
      </c>
      <c r="H1442" s="2"/>
      <c r="J1442" s="2"/>
      <c r="K1442" s="2"/>
    </row>
    <row r="1443" spans="1:15" s="4" customFormat="1" x14ac:dyDescent="0.2">
      <c r="A1443" s="2" t="s">
        <v>164</v>
      </c>
      <c r="B1443" s="14">
        <f>1/120</f>
        <v>8.3333333333333332E-3</v>
      </c>
      <c r="C1443" s="4" t="s">
        <v>18</v>
      </c>
      <c r="D1443" s="4" t="s">
        <v>9</v>
      </c>
      <c r="F1443" s="4" t="s">
        <v>23</v>
      </c>
      <c r="G1443" s="2" t="s">
        <v>165</v>
      </c>
      <c r="K1443" s="7"/>
      <c r="L1443"/>
      <c r="M1443"/>
      <c r="O1443" s="6"/>
    </row>
    <row r="1444" spans="1:15" s="4" customFormat="1" x14ac:dyDescent="0.2">
      <c r="A1444" s="2" t="s">
        <v>120</v>
      </c>
      <c r="B1444" s="9">
        <f>0.56%*B1443</f>
        <v>4.6666666666666672E-5</v>
      </c>
      <c r="D1444" s="4" t="s">
        <v>9</v>
      </c>
      <c r="E1444" s="4" t="s">
        <v>118</v>
      </c>
      <c r="F1444" s="2" t="s">
        <v>15</v>
      </c>
      <c r="K1444" s="7"/>
      <c r="L1444" s="17"/>
      <c r="M1444"/>
      <c r="O1444" s="6"/>
    </row>
    <row r="1445" spans="1:15" s="4" customFormat="1" x14ac:dyDescent="0.2">
      <c r="A1445" s="2" t="s">
        <v>99</v>
      </c>
      <c r="B1445" s="9">
        <f>B1443*9/1000</f>
        <v>7.4999999999999993E-5</v>
      </c>
      <c r="D1445" s="2" t="s">
        <v>95</v>
      </c>
      <c r="E1445" s="4" t="s">
        <v>118</v>
      </c>
      <c r="F1445" s="2" t="s">
        <v>15</v>
      </c>
      <c r="L1445"/>
      <c r="M1445"/>
      <c r="O1445" s="6"/>
    </row>
    <row r="1446" spans="1:15" x14ac:dyDescent="0.2">
      <c r="A1446" t="s">
        <v>192</v>
      </c>
      <c r="B1446" s="18">
        <f>4.47/200000/1.5</f>
        <v>1.4899999999999998E-5</v>
      </c>
      <c r="C1446" t="s">
        <v>115</v>
      </c>
      <c r="D1446" t="s">
        <v>9</v>
      </c>
      <c r="F1446" t="s">
        <v>23</v>
      </c>
      <c r="G1446" t="s">
        <v>193</v>
      </c>
      <c r="H1446">
        <v>5</v>
      </c>
      <c r="I1446">
        <f>B1446</f>
        <v>1.4899999999999998E-5</v>
      </c>
      <c r="J1446">
        <f>4.47/250000/1.5</f>
        <v>1.1919999999999999E-5</v>
      </c>
      <c r="K1446">
        <f>4.47/150000/1.5</f>
        <v>1.9866666666666667E-5</v>
      </c>
    </row>
    <row r="1447" spans="1:15" x14ac:dyDescent="0.2">
      <c r="A1447" t="s">
        <v>151</v>
      </c>
      <c r="B1447" s="18">
        <v>2.3890980215666521E-4</v>
      </c>
      <c r="C1447" t="s">
        <v>115</v>
      </c>
      <c r="D1447" t="s">
        <v>9</v>
      </c>
      <c r="F1447" t="s">
        <v>23</v>
      </c>
      <c r="G1447" t="s">
        <v>152</v>
      </c>
      <c r="H1447">
        <v>5</v>
      </c>
      <c r="I1447">
        <f>B1447</f>
        <v>2.3890980215666521E-4</v>
      </c>
      <c r="J1447">
        <f>(200000/250000)*B1447</f>
        <v>1.9112784172533218E-4</v>
      </c>
      <c r="K1447">
        <f>(200000/150000)*B1447</f>
        <v>3.1854640287555362E-4</v>
      </c>
    </row>
    <row r="1448" spans="1:15" x14ac:dyDescent="0.2">
      <c r="A1448" t="s">
        <v>194</v>
      </c>
      <c r="B1448" s="18">
        <v>2.4565217391304346E-5</v>
      </c>
      <c r="C1448" t="s">
        <v>115</v>
      </c>
      <c r="D1448" t="s">
        <v>9</v>
      </c>
      <c r="F1448" t="s">
        <v>23</v>
      </c>
      <c r="G1448" t="s">
        <v>195</v>
      </c>
    </row>
    <row r="1449" spans="1:15" x14ac:dyDescent="0.2">
      <c r="A1449" t="s">
        <v>196</v>
      </c>
      <c r="B1449" s="18">
        <v>1.0917874396135266E-5</v>
      </c>
      <c r="C1449" t="s">
        <v>115</v>
      </c>
      <c r="D1449" t="s">
        <v>9</v>
      </c>
      <c r="F1449" t="s">
        <v>23</v>
      </c>
      <c r="G1449" t="s">
        <v>197</v>
      </c>
      <c r="H1449">
        <v>5</v>
      </c>
      <c r="I1449">
        <f>B1449</f>
        <v>1.0917874396135266E-5</v>
      </c>
      <c r="J1449">
        <f>(200000/250000)*B1449</f>
        <v>8.7342995169082132E-6</v>
      </c>
      <c r="K1449">
        <f>(200000/150000)*B1449</f>
        <v>1.4557165861513688E-5</v>
      </c>
    </row>
    <row r="1450" spans="1:15" x14ac:dyDescent="0.2">
      <c r="A1450" t="s">
        <v>198</v>
      </c>
      <c r="B1450" s="18">
        <f>(23.75*0.2)/1.8/200000</f>
        <v>1.3194444444444444E-5</v>
      </c>
      <c r="C1450" s="2" t="s">
        <v>115</v>
      </c>
      <c r="D1450" t="s">
        <v>146</v>
      </c>
      <c r="F1450" t="s">
        <v>23</v>
      </c>
      <c r="G1450" t="s">
        <v>199</v>
      </c>
      <c r="H1450">
        <v>5</v>
      </c>
      <c r="I1450">
        <f>B1450</f>
        <v>1.3194444444444444E-5</v>
      </c>
      <c r="J1450" s="19">
        <f>(11.7*0.2)/1.8/200000</f>
        <v>6.4999999999999988E-6</v>
      </c>
      <c r="K1450" s="19">
        <f>(36*0.2)/1.8/200000</f>
        <v>2.0000000000000002E-5</v>
      </c>
    </row>
    <row r="1451" spans="1:15" x14ac:dyDescent="0.2">
      <c r="A1451" t="s">
        <v>203</v>
      </c>
      <c r="B1451" s="18">
        <f>102/1.8/200000</f>
        <v>2.833333333333333E-4</v>
      </c>
      <c r="C1451" t="s">
        <v>18</v>
      </c>
      <c r="D1451" t="s">
        <v>9</v>
      </c>
      <c r="F1451" t="s">
        <v>23</v>
      </c>
      <c r="G1451" t="s">
        <v>204</v>
      </c>
      <c r="H1451">
        <v>5</v>
      </c>
      <c r="I1451">
        <f>B1451</f>
        <v>2.833333333333333E-4</v>
      </c>
      <c r="J1451" s="19">
        <f>78/1.8/200000</f>
        <v>2.1666666666666668E-4</v>
      </c>
      <c r="K1451" s="19">
        <f>117/1.8/200000</f>
        <v>3.2499999999999999E-4</v>
      </c>
    </row>
    <row r="1452" spans="1:15" x14ac:dyDescent="0.2">
      <c r="A1452" s="17" t="s">
        <v>114</v>
      </c>
      <c r="B1452" s="18">
        <f>45/1.8/200000</f>
        <v>1.25E-4</v>
      </c>
      <c r="C1452" t="s">
        <v>115</v>
      </c>
      <c r="D1452" t="s">
        <v>8</v>
      </c>
      <c r="F1452" t="s">
        <v>23</v>
      </c>
      <c r="G1452" t="s">
        <v>116</v>
      </c>
      <c r="H1452" s="18">
        <v>5</v>
      </c>
      <c r="I1452">
        <f>B1452</f>
        <v>1.25E-4</v>
      </c>
      <c r="J1452" s="19">
        <f>22/1.8/200000</f>
        <v>6.1111111111111107E-5</v>
      </c>
      <c r="K1452" s="19">
        <f>68/1.8/200000</f>
        <v>1.8888888888888888E-4</v>
      </c>
    </row>
    <row r="1453" spans="1:15" x14ac:dyDescent="0.2">
      <c r="B1453" s="3"/>
    </row>
    <row r="1454" spans="1:15" x14ac:dyDescent="0.2">
      <c r="A1454" s="1" t="s">
        <v>2</v>
      </c>
      <c r="B1454" s="1" t="s">
        <v>92</v>
      </c>
      <c r="C1454" s="2"/>
      <c r="D1454" s="2"/>
      <c r="E1454" s="2"/>
      <c r="F1454" s="2"/>
      <c r="G1454" s="2"/>
      <c r="H1454" s="2"/>
    </row>
    <row r="1455" spans="1:15" x14ac:dyDescent="0.2">
      <c r="A1455" s="2" t="s">
        <v>3</v>
      </c>
      <c r="B1455" s="2" t="s">
        <v>18</v>
      </c>
      <c r="C1455" s="2"/>
      <c r="D1455" s="2"/>
      <c r="E1455" s="2"/>
      <c r="F1455" s="2"/>
      <c r="G1455" s="2"/>
      <c r="H1455" s="2"/>
      <c r="I1455" s="2"/>
      <c r="J1455" s="2"/>
      <c r="K1455" s="2"/>
      <c r="L1455" s="2"/>
    </row>
    <row r="1456" spans="1:15" x14ac:dyDescent="0.2">
      <c r="A1456" s="2" t="s">
        <v>4</v>
      </c>
      <c r="B1456" s="2">
        <v>1</v>
      </c>
      <c r="C1456" s="2"/>
      <c r="D1456" s="2"/>
      <c r="E1456" s="2"/>
      <c r="F1456" s="2"/>
      <c r="G1456" s="2"/>
      <c r="H1456" s="2"/>
      <c r="I1456" s="2"/>
      <c r="J1456" s="2"/>
      <c r="K1456" s="2"/>
      <c r="L1456" s="2"/>
    </row>
    <row r="1457" spans="1:12" x14ac:dyDescent="0.2">
      <c r="A1457" s="2" t="s">
        <v>5</v>
      </c>
      <c r="B1457" s="2" t="s">
        <v>1</v>
      </c>
      <c r="C1457" s="2"/>
      <c r="D1457" s="2"/>
      <c r="E1457" s="2"/>
      <c r="F1457" s="2"/>
      <c r="G1457" s="2"/>
      <c r="H1457" s="2"/>
      <c r="I1457" s="2"/>
      <c r="J1457" s="2"/>
    </row>
    <row r="1458" spans="1:12" x14ac:dyDescent="0.2">
      <c r="A1458" s="2" t="s">
        <v>6</v>
      </c>
      <c r="B1458" s="2" t="s">
        <v>7</v>
      </c>
      <c r="C1458" s="2"/>
      <c r="D1458" s="2"/>
      <c r="E1458" s="2"/>
      <c r="F1458" s="2"/>
      <c r="G1458" s="2"/>
      <c r="H1458" s="2"/>
      <c r="I1458" s="2"/>
      <c r="J1458" s="2"/>
      <c r="K1458" s="2"/>
      <c r="L1458" s="2"/>
    </row>
    <row r="1459" spans="1:12" x14ac:dyDescent="0.2">
      <c r="A1459" s="2" t="s">
        <v>8</v>
      </c>
      <c r="B1459" s="2" t="s">
        <v>17</v>
      </c>
      <c r="C1459" s="2"/>
      <c r="D1459" s="2"/>
      <c r="E1459" s="2"/>
      <c r="F1459" s="2"/>
      <c r="G1459" s="2"/>
      <c r="H1459" s="2"/>
      <c r="I1459" s="2"/>
      <c r="J1459" s="2"/>
      <c r="K1459" s="2"/>
      <c r="L1459" s="2"/>
    </row>
    <row r="1460" spans="1:12" x14ac:dyDescent="0.2">
      <c r="A1460" s="1" t="s">
        <v>10</v>
      </c>
      <c r="B1460" s="2"/>
      <c r="C1460" s="2"/>
      <c r="D1460" s="2"/>
      <c r="E1460" s="2"/>
      <c r="F1460" s="2"/>
      <c r="G1460" s="2"/>
      <c r="H1460" s="2"/>
      <c r="I1460" s="2"/>
      <c r="J1460" s="2"/>
      <c r="K1460" s="2"/>
      <c r="L1460" s="2"/>
    </row>
    <row r="1461" spans="1:12" x14ac:dyDescent="0.2">
      <c r="A1461" s="2" t="s">
        <v>11</v>
      </c>
      <c r="B1461" s="2" t="s">
        <v>12</v>
      </c>
      <c r="C1461" s="2" t="s">
        <v>3</v>
      </c>
      <c r="D1461" s="2" t="s">
        <v>8</v>
      </c>
      <c r="E1461" s="2" t="s">
        <v>13</v>
      </c>
      <c r="F1461" s="2" t="s">
        <v>6</v>
      </c>
      <c r="G1461" s="2" t="s">
        <v>5</v>
      </c>
      <c r="H1461" s="2"/>
      <c r="I1461" s="2"/>
      <c r="J1461" s="2"/>
      <c r="K1461" s="2"/>
    </row>
    <row r="1462" spans="1:12" x14ac:dyDescent="0.2">
      <c r="A1462" s="2" t="str">
        <f>B1454</f>
        <v>compressed gas, burned in passenger car</v>
      </c>
      <c r="B1462" s="2">
        <v>1</v>
      </c>
      <c r="C1462" s="2" t="str">
        <f>B1455</f>
        <v>RER</v>
      </c>
      <c r="D1462" s="2" t="str">
        <f>B1459</f>
        <v>megajoule</v>
      </c>
      <c r="E1462" s="2"/>
      <c r="F1462" s="2" t="s">
        <v>19</v>
      </c>
      <c r="G1462" s="2" t="str">
        <f>B1457</f>
        <v>heat</v>
      </c>
      <c r="H1462" s="2"/>
      <c r="I1462" s="2"/>
      <c r="J1462" s="2"/>
      <c r="K1462" s="2"/>
      <c r="L1462" s="2"/>
    </row>
    <row r="1463" spans="1:12" x14ac:dyDescent="0.2">
      <c r="A1463" t="s">
        <v>93</v>
      </c>
      <c r="B1463">
        <f>1/36</f>
        <v>2.7777777777777776E-2</v>
      </c>
      <c r="C1463" t="s">
        <v>27</v>
      </c>
      <c r="D1463" t="s">
        <v>95</v>
      </c>
      <c r="F1463" t="s">
        <v>23</v>
      </c>
      <c r="G1463" t="s">
        <v>94</v>
      </c>
    </row>
    <row r="1464" spans="1:12" x14ac:dyDescent="0.2">
      <c r="A1464" s="2" t="s">
        <v>148</v>
      </c>
      <c r="B1464">
        <f>150/200000/2.15</f>
        <v>3.4883720930232559E-4</v>
      </c>
      <c r="C1464" t="s">
        <v>115</v>
      </c>
      <c r="D1464" t="s">
        <v>9</v>
      </c>
      <c r="F1464" t="s">
        <v>23</v>
      </c>
      <c r="G1464" t="s">
        <v>149</v>
      </c>
    </row>
    <row r="1465" spans="1:12" x14ac:dyDescent="0.2">
      <c r="A1465" t="s">
        <v>49</v>
      </c>
      <c r="B1465" s="3">
        <v>4.4166666666666577E-6</v>
      </c>
      <c r="D1465" t="s">
        <v>9</v>
      </c>
      <c r="E1465" t="s">
        <v>14</v>
      </c>
      <c r="F1465" s="2" t="s">
        <v>15</v>
      </c>
      <c r="H1465" s="3"/>
    </row>
    <row r="1466" spans="1:12" x14ac:dyDescent="0.2">
      <c r="A1466" t="s">
        <v>51</v>
      </c>
      <c r="B1466" s="3">
        <v>7.5082705379565517E-7</v>
      </c>
      <c r="D1466" t="s">
        <v>9</v>
      </c>
      <c r="E1466" t="s">
        <v>14</v>
      </c>
      <c r="F1466" s="2" t="s">
        <v>15</v>
      </c>
      <c r="H1466" s="3"/>
    </row>
    <row r="1467" spans="1:12" x14ac:dyDescent="0.2">
      <c r="A1467" t="s">
        <v>54</v>
      </c>
      <c r="B1467">
        <v>5.5944444444444442E-2</v>
      </c>
      <c r="D1467" t="s">
        <v>9</v>
      </c>
      <c r="E1467" t="s">
        <v>14</v>
      </c>
      <c r="F1467" s="2" t="s">
        <v>15</v>
      </c>
      <c r="H1467" s="3"/>
    </row>
    <row r="1468" spans="1:12" x14ac:dyDescent="0.2">
      <c r="A1468" t="s">
        <v>55</v>
      </c>
      <c r="B1468">
        <v>2.6360440412565261E-4</v>
      </c>
      <c r="D1468" t="s">
        <v>9</v>
      </c>
      <c r="E1468" t="s">
        <v>14</v>
      </c>
      <c r="F1468" s="2" t="s">
        <v>15</v>
      </c>
      <c r="H1468" s="3"/>
    </row>
    <row r="1469" spans="1:12" x14ac:dyDescent="0.2">
      <c r="A1469" t="s">
        <v>59</v>
      </c>
      <c r="B1469" s="3">
        <v>9.6666666666666532E-7</v>
      </c>
      <c r="D1469" t="s">
        <v>9</v>
      </c>
      <c r="E1469" t="s">
        <v>14</v>
      </c>
      <c r="F1469" s="2" t="s">
        <v>15</v>
      </c>
      <c r="H1469" s="3"/>
    </row>
    <row r="1470" spans="1:12" x14ac:dyDescent="0.2">
      <c r="A1470" t="s">
        <v>65</v>
      </c>
      <c r="B1470" s="3">
        <v>2.7750000000000002E-10</v>
      </c>
      <c r="D1470" t="s">
        <v>9</v>
      </c>
      <c r="E1470" t="s">
        <v>14</v>
      </c>
      <c r="F1470" s="2" t="s">
        <v>15</v>
      </c>
      <c r="H1470" s="3"/>
    </row>
    <row r="1471" spans="1:12" x14ac:dyDescent="0.2">
      <c r="A1471" t="s">
        <v>66</v>
      </c>
      <c r="B1471" s="3">
        <v>1.606690212560312E-5</v>
      </c>
      <c r="D1471" t="s">
        <v>9</v>
      </c>
      <c r="E1471" t="s">
        <v>14</v>
      </c>
      <c r="F1471" s="2" t="s">
        <v>15</v>
      </c>
      <c r="H1471" s="3"/>
    </row>
    <row r="1472" spans="1:12" x14ac:dyDescent="0.2">
      <c r="A1472" t="s">
        <v>68</v>
      </c>
      <c r="B1472" s="3">
        <v>6.8382126269474045E-6</v>
      </c>
      <c r="D1472" t="s">
        <v>9</v>
      </c>
      <c r="E1472" t="s">
        <v>14</v>
      </c>
      <c r="F1472" s="2" t="s">
        <v>15</v>
      </c>
      <c r="H1472" s="3"/>
    </row>
    <row r="1473" spans="1:12" x14ac:dyDescent="0.2">
      <c r="A1473" t="s">
        <v>70</v>
      </c>
      <c r="B1473" s="3">
        <v>2.9605693862641999E-6</v>
      </c>
      <c r="D1473" t="s">
        <v>9</v>
      </c>
      <c r="E1473" t="s">
        <v>14</v>
      </c>
      <c r="F1473" s="2" t="s">
        <v>15</v>
      </c>
      <c r="H1473" s="3"/>
    </row>
    <row r="1474" spans="1:12" x14ac:dyDescent="0.2">
      <c r="A1474" t="s">
        <v>72</v>
      </c>
      <c r="B1474" s="3">
        <v>1.4636237937232238E-7</v>
      </c>
      <c r="D1474" t="s">
        <v>9</v>
      </c>
      <c r="E1474" t="s">
        <v>14</v>
      </c>
      <c r="F1474" s="2" t="s">
        <v>15</v>
      </c>
      <c r="H1474" s="3"/>
    </row>
    <row r="1475" spans="1:12" x14ac:dyDescent="0.2">
      <c r="A1475" t="s">
        <v>78</v>
      </c>
      <c r="B1475" s="3">
        <v>5.6430000000000142E-7</v>
      </c>
      <c r="D1475" t="s">
        <v>9</v>
      </c>
      <c r="E1475" t="s">
        <v>14</v>
      </c>
      <c r="F1475" s="2" t="s">
        <v>15</v>
      </c>
      <c r="H1475" s="3"/>
    </row>
    <row r="1476" spans="1:12" x14ac:dyDescent="0.2">
      <c r="A1476" t="s">
        <v>79</v>
      </c>
      <c r="B1476" s="3">
        <v>2.2336471011856279E-6</v>
      </c>
      <c r="D1476" t="s">
        <v>9</v>
      </c>
      <c r="E1476" t="s">
        <v>14</v>
      </c>
      <c r="F1476" s="2" t="s">
        <v>15</v>
      </c>
      <c r="H1476" s="3"/>
    </row>
    <row r="1478" spans="1:12" x14ac:dyDescent="0.2">
      <c r="A1478" s="1" t="s">
        <v>2</v>
      </c>
      <c r="B1478" s="1" t="s">
        <v>294</v>
      </c>
      <c r="C1478" s="2"/>
      <c r="D1478" s="2"/>
      <c r="E1478" s="2"/>
      <c r="F1478" s="2"/>
      <c r="G1478" s="2"/>
      <c r="H1478" s="2"/>
    </row>
    <row r="1479" spans="1:12" x14ac:dyDescent="0.2">
      <c r="A1479" s="2" t="s">
        <v>3</v>
      </c>
      <c r="B1479" s="2" t="s">
        <v>18</v>
      </c>
      <c r="C1479" s="2"/>
      <c r="D1479" s="2"/>
      <c r="E1479" s="2"/>
      <c r="F1479" s="2"/>
      <c r="G1479" s="2"/>
      <c r="H1479" s="2"/>
      <c r="I1479" s="2"/>
      <c r="J1479" s="2"/>
      <c r="K1479" s="2"/>
      <c r="L1479" s="2"/>
    </row>
    <row r="1480" spans="1:12" x14ac:dyDescent="0.2">
      <c r="A1480" s="2" t="s">
        <v>4</v>
      </c>
      <c r="B1480" s="2">
        <v>1</v>
      </c>
      <c r="C1480" s="2"/>
      <c r="D1480" s="2"/>
      <c r="E1480" s="2"/>
      <c r="F1480" s="2"/>
      <c r="G1480" s="2"/>
      <c r="H1480" s="2"/>
      <c r="I1480" s="2"/>
      <c r="J1480" s="2"/>
      <c r="K1480" s="2"/>
      <c r="L1480" s="2"/>
    </row>
    <row r="1481" spans="1:12" x14ac:dyDescent="0.2">
      <c r="A1481" s="2" t="s">
        <v>5</v>
      </c>
      <c r="B1481" s="2" t="s">
        <v>1</v>
      </c>
      <c r="C1481" s="2"/>
      <c r="D1481" s="2"/>
      <c r="E1481" s="2"/>
      <c r="F1481" s="2"/>
      <c r="G1481" s="2"/>
      <c r="H1481" s="2"/>
      <c r="I1481" s="2"/>
      <c r="J1481" s="2"/>
    </row>
    <row r="1482" spans="1:12" x14ac:dyDescent="0.2">
      <c r="A1482" s="2" t="s">
        <v>6</v>
      </c>
      <c r="B1482" s="2" t="s">
        <v>7</v>
      </c>
      <c r="C1482" s="2"/>
      <c r="D1482" s="2"/>
      <c r="E1482" s="2"/>
      <c r="F1482" s="2"/>
      <c r="G1482" s="2"/>
      <c r="H1482" s="2"/>
      <c r="I1482" s="2"/>
      <c r="J1482" s="2"/>
      <c r="K1482" s="2"/>
      <c r="L1482" s="2"/>
    </row>
    <row r="1483" spans="1:12" x14ac:dyDescent="0.2">
      <c r="A1483" s="2" t="s">
        <v>8</v>
      </c>
      <c r="B1483" s="2" t="s">
        <v>17</v>
      </c>
      <c r="C1483" s="2"/>
      <c r="D1483" s="2"/>
      <c r="E1483" s="2"/>
      <c r="F1483" s="2"/>
      <c r="G1483" s="2"/>
      <c r="H1483" s="2"/>
      <c r="I1483" s="2"/>
      <c r="J1483" s="2"/>
      <c r="K1483" s="2"/>
      <c r="L1483" s="2"/>
    </row>
    <row r="1484" spans="1:12" x14ac:dyDescent="0.2">
      <c r="A1484" s="1" t="s">
        <v>10</v>
      </c>
      <c r="B1484" s="2"/>
      <c r="C1484" s="2"/>
      <c r="D1484" s="2"/>
      <c r="E1484" s="2"/>
      <c r="F1484" s="2"/>
      <c r="G1484" s="2"/>
      <c r="H1484" s="2"/>
      <c r="I1484" s="2"/>
      <c r="J1484" s="2"/>
      <c r="K1484" s="2"/>
      <c r="L1484" s="2"/>
    </row>
    <row r="1485" spans="1:12" x14ac:dyDescent="0.2">
      <c r="A1485" s="2" t="s">
        <v>11</v>
      </c>
      <c r="B1485" s="2" t="s">
        <v>12</v>
      </c>
      <c r="C1485" s="2" t="s">
        <v>3</v>
      </c>
      <c r="D1485" s="2" t="s">
        <v>8</v>
      </c>
      <c r="E1485" s="2" t="s">
        <v>13</v>
      </c>
      <c r="F1485" s="2" t="s">
        <v>6</v>
      </c>
      <c r="G1485" s="2" t="s">
        <v>5</v>
      </c>
      <c r="H1485" s="2"/>
      <c r="I1485" s="2"/>
      <c r="J1485" s="2"/>
      <c r="K1485" s="2"/>
    </row>
    <row r="1486" spans="1:12" x14ac:dyDescent="0.2">
      <c r="A1486" s="2" t="str">
        <f>B1478</f>
        <v>compressed gas, synthetic, burned in passenger car</v>
      </c>
      <c r="B1486" s="2">
        <v>1</v>
      </c>
      <c r="C1486" s="2" t="str">
        <f>B1479</f>
        <v>RER</v>
      </c>
      <c r="D1486" s="2" t="str">
        <f>B1483</f>
        <v>megajoule</v>
      </c>
      <c r="E1486" s="2"/>
      <c r="F1486" s="2" t="s">
        <v>19</v>
      </c>
      <c r="G1486" s="2" t="str">
        <f>B1481</f>
        <v>heat</v>
      </c>
      <c r="H1486" s="2"/>
      <c r="I1486" s="2"/>
      <c r="J1486" s="2"/>
      <c r="K1486" s="2"/>
      <c r="L1486" s="2"/>
    </row>
    <row r="1487" spans="1:12" x14ac:dyDescent="0.2">
      <c r="A1487" t="s">
        <v>292</v>
      </c>
      <c r="B1487">
        <f>1/47.5</f>
        <v>2.1052631578947368E-2</v>
      </c>
      <c r="C1487" t="s">
        <v>18</v>
      </c>
      <c r="D1487" t="s">
        <v>95</v>
      </c>
      <c r="F1487" t="s">
        <v>23</v>
      </c>
      <c r="G1487" t="s">
        <v>293</v>
      </c>
    </row>
    <row r="1488" spans="1:12" x14ac:dyDescent="0.2">
      <c r="A1488" s="2" t="s">
        <v>148</v>
      </c>
      <c r="B1488">
        <f>150/200000/2.15</f>
        <v>3.4883720930232559E-4</v>
      </c>
      <c r="C1488" t="s">
        <v>115</v>
      </c>
      <c r="D1488" t="s">
        <v>9</v>
      </c>
      <c r="F1488" t="s">
        <v>23</v>
      </c>
      <c r="G1488" t="s">
        <v>149</v>
      </c>
    </row>
    <row r="1489" spans="1:12" x14ac:dyDescent="0.2">
      <c r="A1489" t="s">
        <v>49</v>
      </c>
      <c r="B1489" s="3">
        <v>4.4166666666666577E-6</v>
      </c>
      <c r="D1489" t="s">
        <v>9</v>
      </c>
      <c r="E1489" t="s">
        <v>14</v>
      </c>
      <c r="F1489" s="2" t="s">
        <v>15</v>
      </c>
      <c r="H1489" s="3"/>
    </row>
    <row r="1490" spans="1:12" x14ac:dyDescent="0.2">
      <c r="A1490" t="s">
        <v>51</v>
      </c>
      <c r="B1490" s="3">
        <v>7.5082705379565517E-7</v>
      </c>
      <c r="D1490" t="s">
        <v>9</v>
      </c>
      <c r="E1490" t="s">
        <v>14</v>
      </c>
      <c r="F1490" s="2" t="s">
        <v>15</v>
      </c>
      <c r="H1490" s="3"/>
    </row>
    <row r="1491" spans="1:12" x14ac:dyDescent="0.2">
      <c r="A1491" t="s">
        <v>124</v>
      </c>
      <c r="B1491">
        <v>5.5944444444444442E-2</v>
      </c>
      <c r="D1491" t="s">
        <v>9</v>
      </c>
      <c r="E1491" t="s">
        <v>14</v>
      </c>
      <c r="F1491" s="2" t="s">
        <v>15</v>
      </c>
      <c r="H1491" s="3"/>
    </row>
    <row r="1492" spans="1:12" x14ac:dyDescent="0.2">
      <c r="A1492" t="s">
        <v>125</v>
      </c>
      <c r="B1492">
        <v>2.6360440412565261E-4</v>
      </c>
      <c r="D1492" t="s">
        <v>9</v>
      </c>
      <c r="E1492" t="s">
        <v>14</v>
      </c>
      <c r="F1492" s="2" t="s">
        <v>15</v>
      </c>
      <c r="H1492" s="3"/>
    </row>
    <row r="1493" spans="1:12" x14ac:dyDescent="0.2">
      <c r="A1493" t="s">
        <v>59</v>
      </c>
      <c r="B1493" s="3">
        <v>9.6666666666666532E-7</v>
      </c>
      <c r="D1493" t="s">
        <v>9</v>
      </c>
      <c r="E1493" t="s">
        <v>14</v>
      </c>
      <c r="F1493" s="2" t="s">
        <v>15</v>
      </c>
      <c r="H1493" s="3"/>
    </row>
    <row r="1494" spans="1:12" x14ac:dyDescent="0.2">
      <c r="A1494" t="s">
        <v>65</v>
      </c>
      <c r="B1494" s="3">
        <v>2.7750000000000002E-10</v>
      </c>
      <c r="D1494" t="s">
        <v>9</v>
      </c>
      <c r="E1494" t="s">
        <v>14</v>
      </c>
      <c r="F1494" s="2" t="s">
        <v>15</v>
      </c>
      <c r="H1494" s="3"/>
    </row>
    <row r="1495" spans="1:12" x14ac:dyDescent="0.2">
      <c r="A1495" t="s">
        <v>186</v>
      </c>
      <c r="B1495" s="3">
        <v>1.606690212560312E-5</v>
      </c>
      <c r="D1495" t="s">
        <v>9</v>
      </c>
      <c r="E1495" t="s">
        <v>14</v>
      </c>
      <c r="F1495" s="2" t="s">
        <v>15</v>
      </c>
      <c r="H1495" s="3"/>
    </row>
    <row r="1496" spans="1:12" x14ac:dyDescent="0.2">
      <c r="A1496" t="s">
        <v>68</v>
      </c>
      <c r="B1496" s="3">
        <v>6.8382126269474045E-6</v>
      </c>
      <c r="D1496" t="s">
        <v>9</v>
      </c>
      <c r="E1496" t="s">
        <v>14</v>
      </c>
      <c r="F1496" s="2" t="s">
        <v>15</v>
      </c>
      <c r="H1496" s="3"/>
    </row>
    <row r="1497" spans="1:12" x14ac:dyDescent="0.2">
      <c r="A1497" t="s">
        <v>70</v>
      </c>
      <c r="B1497" s="3">
        <v>2.9605693862641999E-6</v>
      </c>
      <c r="D1497" t="s">
        <v>9</v>
      </c>
      <c r="E1497" t="s">
        <v>14</v>
      </c>
      <c r="F1497" s="2" t="s">
        <v>15</v>
      </c>
      <c r="H1497" s="3"/>
    </row>
    <row r="1498" spans="1:12" x14ac:dyDescent="0.2">
      <c r="A1498" t="s">
        <v>72</v>
      </c>
      <c r="B1498" s="3">
        <v>1.4636237937232238E-7</v>
      </c>
      <c r="D1498" t="s">
        <v>9</v>
      </c>
      <c r="E1498" t="s">
        <v>14</v>
      </c>
      <c r="F1498" s="2" t="s">
        <v>15</v>
      </c>
      <c r="H1498" s="3"/>
    </row>
    <row r="1499" spans="1:12" x14ac:dyDescent="0.2">
      <c r="A1499" t="s">
        <v>78</v>
      </c>
      <c r="B1499" s="3">
        <v>5.6430000000000142E-7</v>
      </c>
      <c r="D1499" t="s">
        <v>9</v>
      </c>
      <c r="E1499" t="s">
        <v>14</v>
      </c>
      <c r="F1499" s="2" t="s">
        <v>15</v>
      </c>
      <c r="H1499" s="3"/>
    </row>
    <row r="1500" spans="1:12" x14ac:dyDescent="0.2">
      <c r="A1500" t="s">
        <v>79</v>
      </c>
      <c r="B1500" s="3">
        <v>2.2336471011856279E-6</v>
      </c>
      <c r="D1500" t="s">
        <v>9</v>
      </c>
      <c r="E1500" t="s">
        <v>14</v>
      </c>
      <c r="F1500" s="2" t="s">
        <v>15</v>
      </c>
      <c r="H1500" s="3"/>
    </row>
    <row r="1502" spans="1:12" x14ac:dyDescent="0.2">
      <c r="A1502" s="1" t="s">
        <v>2</v>
      </c>
      <c r="B1502" s="1" t="s">
        <v>282</v>
      </c>
      <c r="C1502" s="2"/>
      <c r="D1502" s="2"/>
      <c r="E1502" s="2"/>
      <c r="F1502" s="2"/>
      <c r="G1502" s="2"/>
      <c r="H1502" s="2"/>
    </row>
    <row r="1503" spans="1:12" x14ac:dyDescent="0.2">
      <c r="A1503" s="2" t="s">
        <v>3</v>
      </c>
      <c r="B1503" s="2" t="s">
        <v>18</v>
      </c>
      <c r="C1503" s="2"/>
      <c r="D1503" s="2"/>
      <c r="E1503" s="2"/>
      <c r="F1503" s="2"/>
      <c r="G1503" s="2"/>
      <c r="H1503" s="2"/>
      <c r="I1503" s="2"/>
      <c r="J1503" s="2"/>
      <c r="K1503" s="2"/>
      <c r="L1503" s="2"/>
    </row>
    <row r="1504" spans="1:12" x14ac:dyDescent="0.2">
      <c r="A1504" s="2" t="s">
        <v>4</v>
      </c>
      <c r="B1504" s="2">
        <v>1</v>
      </c>
      <c r="C1504" s="2"/>
      <c r="D1504" s="2"/>
      <c r="E1504" s="2"/>
      <c r="F1504" s="2"/>
      <c r="G1504" s="2"/>
      <c r="H1504" s="2"/>
      <c r="I1504" s="2"/>
      <c r="J1504" s="2"/>
      <c r="K1504" s="2"/>
      <c r="L1504" s="2"/>
    </row>
    <row r="1505" spans="1:12" x14ac:dyDescent="0.2">
      <c r="A1505" s="2" t="s">
        <v>5</v>
      </c>
      <c r="B1505" s="2" t="s">
        <v>1</v>
      </c>
      <c r="C1505" s="2"/>
      <c r="D1505" s="2"/>
      <c r="E1505" s="2"/>
      <c r="F1505" s="2"/>
      <c r="G1505" s="2"/>
      <c r="H1505" s="2"/>
      <c r="I1505" s="2"/>
      <c r="J1505" s="2"/>
    </row>
    <row r="1506" spans="1:12" x14ac:dyDescent="0.2">
      <c r="A1506" s="2" t="s">
        <v>6</v>
      </c>
      <c r="B1506" s="2" t="s">
        <v>7</v>
      </c>
      <c r="C1506" s="2"/>
      <c r="D1506" s="2"/>
      <c r="E1506" s="2"/>
      <c r="F1506" s="2"/>
      <c r="G1506" s="2"/>
      <c r="H1506" s="2"/>
      <c r="I1506" s="2"/>
      <c r="J1506" s="2"/>
      <c r="K1506" s="2"/>
      <c r="L1506" s="2"/>
    </row>
    <row r="1507" spans="1:12" x14ac:dyDescent="0.2">
      <c r="A1507" s="2" t="s">
        <v>8</v>
      </c>
      <c r="B1507" s="2" t="s">
        <v>17</v>
      </c>
      <c r="C1507" s="2"/>
      <c r="D1507" s="2"/>
      <c r="E1507" s="2"/>
      <c r="F1507" s="2"/>
      <c r="G1507" s="2"/>
      <c r="H1507" s="2"/>
      <c r="I1507" s="2"/>
      <c r="J1507" s="2"/>
      <c r="K1507" s="2"/>
      <c r="L1507" s="2"/>
    </row>
    <row r="1508" spans="1:12" x14ac:dyDescent="0.2">
      <c r="A1508" s="1" t="s">
        <v>10</v>
      </c>
      <c r="B1508" s="2"/>
      <c r="C1508" s="2"/>
      <c r="D1508" s="2"/>
      <c r="E1508" s="2"/>
      <c r="F1508" s="2"/>
      <c r="G1508" s="2"/>
      <c r="H1508" s="2"/>
      <c r="I1508" s="2"/>
      <c r="J1508" s="2"/>
      <c r="K1508" s="2"/>
      <c r="L1508" s="2"/>
    </row>
    <row r="1509" spans="1:12" x14ac:dyDescent="0.2">
      <c r="A1509" s="2" t="s">
        <v>11</v>
      </c>
      <c r="B1509" s="2" t="s">
        <v>12</v>
      </c>
      <c r="C1509" s="2" t="s">
        <v>3</v>
      </c>
      <c r="D1509" s="2" t="s">
        <v>8</v>
      </c>
      <c r="E1509" s="2" t="s">
        <v>13</v>
      </c>
      <c r="F1509" s="2" t="s">
        <v>6</v>
      </c>
      <c r="G1509" s="2" t="s">
        <v>5</v>
      </c>
      <c r="H1509" s="2"/>
      <c r="I1509" s="2"/>
      <c r="J1509" s="2"/>
      <c r="K1509" s="2"/>
    </row>
    <row r="1510" spans="1:12" x14ac:dyDescent="0.2">
      <c r="A1510" s="2" t="str">
        <f>B1502</f>
        <v>biomethane, burned in passenger car</v>
      </c>
      <c r="B1510" s="2">
        <v>1</v>
      </c>
      <c r="C1510" s="2" t="str">
        <f>B1503</f>
        <v>RER</v>
      </c>
      <c r="D1510" s="2" t="str">
        <f>B1507</f>
        <v>megajoule</v>
      </c>
      <c r="E1510" s="2"/>
      <c r="F1510" s="2" t="s">
        <v>19</v>
      </c>
      <c r="G1510" s="2" t="str">
        <f>B1505</f>
        <v>heat</v>
      </c>
      <c r="H1510" s="2"/>
      <c r="I1510" s="2"/>
      <c r="J1510" s="2"/>
      <c r="K1510" s="2"/>
      <c r="L1510" s="2"/>
    </row>
    <row r="1511" spans="1:12" x14ac:dyDescent="0.2">
      <c r="A1511" t="s">
        <v>279</v>
      </c>
      <c r="B1511">
        <f>1/47.5</f>
        <v>2.1052631578947368E-2</v>
      </c>
      <c r="C1511" t="s">
        <v>18</v>
      </c>
      <c r="D1511" t="s">
        <v>95</v>
      </c>
      <c r="F1511" t="s">
        <v>23</v>
      </c>
      <c r="G1511" t="s">
        <v>280</v>
      </c>
    </row>
    <row r="1512" spans="1:12" x14ac:dyDescent="0.2">
      <c r="A1512" s="2" t="s">
        <v>148</v>
      </c>
      <c r="B1512">
        <f>150/200000/2.15</f>
        <v>3.4883720930232559E-4</v>
      </c>
      <c r="C1512" t="s">
        <v>115</v>
      </c>
      <c r="D1512" t="s">
        <v>9</v>
      </c>
      <c r="F1512" t="s">
        <v>23</v>
      </c>
      <c r="G1512" t="s">
        <v>149</v>
      </c>
    </row>
    <row r="1513" spans="1:12" x14ac:dyDescent="0.2">
      <c r="A1513" t="s">
        <v>49</v>
      </c>
      <c r="B1513" s="3">
        <v>4.4166666666666577E-6</v>
      </c>
      <c r="D1513" t="s">
        <v>9</v>
      </c>
      <c r="E1513" t="s">
        <v>14</v>
      </c>
      <c r="F1513" s="2" t="s">
        <v>15</v>
      </c>
      <c r="H1513" s="3"/>
    </row>
    <row r="1514" spans="1:12" x14ac:dyDescent="0.2">
      <c r="A1514" t="s">
        <v>51</v>
      </c>
      <c r="B1514" s="3">
        <v>7.5082705379565517E-7</v>
      </c>
      <c r="D1514" t="s">
        <v>9</v>
      </c>
      <c r="E1514" t="s">
        <v>14</v>
      </c>
      <c r="F1514" s="2" t="s">
        <v>15</v>
      </c>
      <c r="H1514" s="3"/>
    </row>
    <row r="1515" spans="1:12" x14ac:dyDescent="0.2">
      <c r="A1515" t="s">
        <v>54</v>
      </c>
      <c r="B1515">
        <v>5.5944444444444442E-2</v>
      </c>
      <c r="D1515" t="s">
        <v>9</v>
      </c>
      <c r="E1515" t="s">
        <v>14</v>
      </c>
      <c r="F1515" s="2" t="s">
        <v>15</v>
      </c>
      <c r="H1515" s="3"/>
    </row>
    <row r="1516" spans="1:12" x14ac:dyDescent="0.2">
      <c r="A1516" t="s">
        <v>55</v>
      </c>
      <c r="B1516">
        <v>2.6360440412565261E-4</v>
      </c>
      <c r="D1516" t="s">
        <v>9</v>
      </c>
      <c r="E1516" t="s">
        <v>14</v>
      </c>
      <c r="F1516" s="2" t="s">
        <v>15</v>
      </c>
      <c r="H1516" s="3"/>
    </row>
    <row r="1517" spans="1:12" x14ac:dyDescent="0.2">
      <c r="A1517" t="s">
        <v>59</v>
      </c>
      <c r="B1517" s="3">
        <v>9.6666666666666532E-7</v>
      </c>
      <c r="D1517" t="s">
        <v>9</v>
      </c>
      <c r="E1517" t="s">
        <v>14</v>
      </c>
      <c r="F1517" s="2" t="s">
        <v>15</v>
      </c>
      <c r="H1517" s="3"/>
    </row>
    <row r="1518" spans="1:12" x14ac:dyDescent="0.2">
      <c r="A1518" t="s">
        <v>65</v>
      </c>
      <c r="B1518" s="3">
        <v>2.7750000000000002E-10</v>
      </c>
      <c r="D1518" t="s">
        <v>9</v>
      </c>
      <c r="E1518" t="s">
        <v>14</v>
      </c>
      <c r="F1518" s="2" t="s">
        <v>15</v>
      </c>
      <c r="H1518" s="3"/>
    </row>
    <row r="1519" spans="1:12" x14ac:dyDescent="0.2">
      <c r="A1519" t="s">
        <v>66</v>
      </c>
      <c r="B1519" s="3">
        <v>1.606690212560312E-5</v>
      </c>
      <c r="D1519" t="s">
        <v>9</v>
      </c>
      <c r="E1519" t="s">
        <v>14</v>
      </c>
      <c r="F1519" s="2" t="s">
        <v>15</v>
      </c>
      <c r="H1519" s="3"/>
    </row>
    <row r="1520" spans="1:12" x14ac:dyDescent="0.2">
      <c r="A1520" t="s">
        <v>68</v>
      </c>
      <c r="B1520" s="3">
        <v>6.8382126269474045E-6</v>
      </c>
      <c r="D1520" t="s">
        <v>9</v>
      </c>
      <c r="E1520" t="s">
        <v>14</v>
      </c>
      <c r="F1520" s="2" t="s">
        <v>15</v>
      </c>
      <c r="H1520" s="3"/>
    </row>
    <row r="1521" spans="1:8" x14ac:dyDescent="0.2">
      <c r="A1521" t="s">
        <v>70</v>
      </c>
      <c r="B1521" s="3">
        <v>2.9605693862641999E-6</v>
      </c>
      <c r="D1521" t="s">
        <v>9</v>
      </c>
      <c r="E1521" t="s">
        <v>14</v>
      </c>
      <c r="F1521" s="2" t="s">
        <v>15</v>
      </c>
      <c r="H1521" s="3"/>
    </row>
    <row r="1522" spans="1:8" x14ac:dyDescent="0.2">
      <c r="A1522" t="s">
        <v>72</v>
      </c>
      <c r="B1522" s="3">
        <v>1.4636237937232238E-7</v>
      </c>
      <c r="D1522" t="s">
        <v>9</v>
      </c>
      <c r="E1522" t="s">
        <v>14</v>
      </c>
      <c r="F1522" s="2" t="s">
        <v>15</v>
      </c>
      <c r="H1522" s="3"/>
    </row>
    <row r="1523" spans="1:8" x14ac:dyDescent="0.2">
      <c r="A1523" t="s">
        <v>78</v>
      </c>
      <c r="B1523" s="3">
        <v>5.6430000000000142E-7</v>
      </c>
      <c r="D1523" t="s">
        <v>9</v>
      </c>
      <c r="E1523" t="s">
        <v>14</v>
      </c>
      <c r="F1523" s="2" t="s">
        <v>15</v>
      </c>
      <c r="H1523" s="3"/>
    </row>
    <row r="1524" spans="1:8" x14ac:dyDescent="0.2">
      <c r="A1524" t="s">
        <v>79</v>
      </c>
      <c r="B1524" s="3">
        <v>2.2336471011856279E-6</v>
      </c>
      <c r="D1524" t="s">
        <v>9</v>
      </c>
      <c r="E1524" t="s">
        <v>14</v>
      </c>
      <c r="F1524" s="2" t="s">
        <v>15</v>
      </c>
      <c r="H1524" s="3"/>
    </row>
  </sheetData>
  <autoFilter ref="A1:O1477" xr:uid="{9F0C42E2-D17A-554B-A2D9-4F73B84316EE}"/>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2023-11-02T11:15:41Z</dcterms:created>
  <dcterms:modified xsi:type="dcterms:W3CDTF">2025-03-20T17:32:31Z</dcterms:modified>
</cp:coreProperties>
</file>