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B1CA439-FE84-0D43-A629-CFDF1A366636}" xr6:coauthVersionLast="47" xr6:coauthVersionMax="47" xr10:uidLastSave="{00000000-0000-0000-0000-000000000000}"/>
  <bookViews>
    <workbookView xWindow="160" yWindow="920" windowWidth="14860" windowHeight="18560" xr2:uid="{B8299F2D-33B8-E148-B485-6429887DEB23}"/>
  </bookViews>
  <sheets>
    <sheet name="Inventories" sheetId="1" r:id="rId1"/>
    <sheet name="Parameters" sheetId="2" r:id="rId2"/>
  </sheets>
  <definedNames>
    <definedName name="_xlnm._FilterDatabase" localSheetId="0" hidden="1">Inventories!$A$1:$O$2090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64" i="1" l="1"/>
  <c r="L1960" i="1"/>
  <c r="K1964" i="1"/>
  <c r="K1960" i="1"/>
  <c r="J1964" i="1"/>
  <c r="B1964" i="1"/>
  <c r="B1965" i="1"/>
  <c r="B1963" i="1"/>
  <c r="B1962" i="1"/>
  <c r="B1961" i="1"/>
  <c r="B1960" i="1"/>
  <c r="J1960"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860" i="1"/>
  <c r="B1899" i="1" s="1"/>
  <c r="B1859" i="1"/>
  <c r="B1897" i="1" s="1"/>
  <c r="B1858" i="1"/>
  <c r="B1857" i="1"/>
  <c r="B1856" i="1"/>
  <c r="B1855" i="1"/>
  <c r="B1854" i="1"/>
  <c r="B1853" i="1"/>
  <c r="B1852" i="1"/>
  <c r="B1851" i="1"/>
  <c r="B1850" i="1"/>
  <c r="B1849" i="1"/>
  <c r="B1848" i="1"/>
  <c r="B1847" i="1"/>
  <c r="B1846" i="1"/>
  <c r="B1845" i="1"/>
  <c r="B1844" i="1"/>
  <c r="B1843" i="1"/>
  <c r="B1842" i="1"/>
  <c r="B1841" i="1"/>
  <c r="B1840" i="1"/>
  <c r="B1839" i="1"/>
  <c r="B1838" i="1"/>
  <c r="L1865" i="1" s="1"/>
  <c r="B1837" i="1"/>
  <c r="B1836" i="1"/>
  <c r="B1865" i="1" s="1"/>
  <c r="B1835" i="1"/>
  <c r="B1834" i="1"/>
  <c r="B1833" i="1"/>
  <c r="B1832" i="1"/>
  <c r="B1831" i="1"/>
  <c r="B1830" i="1"/>
  <c r="B1866" i="1" s="1"/>
  <c r="B1829" i="1"/>
  <c r="B1828" i="1"/>
  <c r="B1827" i="1"/>
  <c r="B1826" i="1"/>
  <c r="B1825" i="1"/>
  <c r="B1824" i="1"/>
  <c r="B1771" i="1"/>
  <c r="B1806" i="1" s="1"/>
  <c r="B1770" i="1"/>
  <c r="B1804" i="1" s="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682" i="1"/>
  <c r="B1717" i="1" s="1"/>
  <c r="B1681" i="1"/>
  <c r="B1715" i="1" s="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593" i="1"/>
  <c r="B1628" i="1" s="1"/>
  <c r="B1592" i="1"/>
  <c r="B1626" i="1" s="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766" i="1"/>
  <c r="B765" i="1"/>
  <c r="B764" i="1"/>
  <c r="B763" i="1"/>
  <c r="B762" i="1"/>
  <c r="K1866" i="1" l="1"/>
  <c r="K1867" i="1" s="1"/>
  <c r="K1777" i="1"/>
  <c r="K1778" i="1" s="1"/>
  <c r="L1777" i="1"/>
  <c r="L1778" i="1" s="1"/>
  <c r="L1866" i="1"/>
  <c r="L1867" i="1" s="1"/>
  <c r="J1865" i="1"/>
  <c r="K1865" i="1"/>
  <c r="B1867" i="1"/>
  <c r="J1867" i="1" s="1"/>
  <c r="J1866" i="1"/>
  <c r="B1776" i="1"/>
  <c r="J1776" i="1" s="1"/>
  <c r="L1776" i="1"/>
  <c r="L1687" i="1"/>
  <c r="B1777" i="1"/>
  <c r="B1778" i="1" s="1"/>
  <c r="J1778" i="1" s="1"/>
  <c r="K1776" i="1"/>
  <c r="K1688" i="1"/>
  <c r="K1689" i="1" s="1"/>
  <c r="L1688" i="1"/>
  <c r="L1689" i="1" s="1"/>
  <c r="B1687" i="1"/>
  <c r="J1687" i="1" s="1"/>
  <c r="K1687" i="1"/>
  <c r="B1688" i="1"/>
  <c r="J1688" i="1" s="1"/>
  <c r="B1599" i="1"/>
  <c r="B1600" i="1" s="1"/>
  <c r="J1600" i="1" s="1"/>
  <c r="K1599" i="1"/>
  <c r="K1600" i="1" s="1"/>
  <c r="L1598" i="1"/>
  <c r="L1599" i="1"/>
  <c r="L1600" i="1" s="1"/>
  <c r="B1598" i="1"/>
  <c r="J1598" i="1" s="1"/>
  <c r="K1598" i="1"/>
  <c r="B705" i="1"/>
  <c r="B706" i="1"/>
  <c r="B707" i="1"/>
  <c r="B708" i="1"/>
  <c r="B709" i="1"/>
  <c r="AB11" i="2"/>
  <c r="AA11" i="2"/>
  <c r="Z11" i="2"/>
  <c r="B768" i="1"/>
  <c r="B767"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11" i="1"/>
  <c r="B710"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948" i="1"/>
  <c r="B965" i="1" s="1"/>
  <c r="B947" i="1"/>
  <c r="B964" i="1" s="1"/>
  <c r="B946" i="1"/>
  <c r="B945" i="1"/>
  <c r="B944" i="1"/>
  <c r="B943" i="1"/>
  <c r="B942" i="1"/>
  <c r="B941" i="1"/>
  <c r="B940" i="1"/>
  <c r="B939" i="1"/>
  <c r="B938" i="1"/>
  <c r="B937" i="1"/>
  <c r="B936" i="1"/>
  <c r="B935" i="1"/>
  <c r="B934" i="1"/>
  <c r="B933" i="1"/>
  <c r="B932" i="1"/>
  <c r="B876" i="1"/>
  <c r="B893" i="1" s="1"/>
  <c r="B875" i="1"/>
  <c r="B892" i="1" s="1"/>
  <c r="B874" i="1"/>
  <c r="B873" i="1"/>
  <c r="B872" i="1"/>
  <c r="B871" i="1"/>
  <c r="B870" i="1"/>
  <c r="B869" i="1"/>
  <c r="B868" i="1"/>
  <c r="B867" i="1"/>
  <c r="B866" i="1"/>
  <c r="B865" i="1"/>
  <c r="B864" i="1"/>
  <c r="B863" i="1"/>
  <c r="B862" i="1"/>
  <c r="B861" i="1"/>
  <c r="B860" i="1"/>
  <c r="J1777" i="1" l="1"/>
  <c r="B1689" i="1"/>
  <c r="J1689" i="1" s="1"/>
  <c r="J1599" i="1"/>
  <c r="B779" i="1"/>
  <c r="B776" i="1"/>
  <c r="B777" i="1"/>
  <c r="B778" i="1"/>
  <c r="B721" i="1"/>
  <c r="B719" i="1"/>
  <c r="B722" i="1"/>
  <c r="B723" i="1"/>
  <c r="B720" i="1"/>
  <c r="K717" i="1"/>
  <c r="K773" i="1"/>
  <c r="L775" i="1"/>
  <c r="K772" i="1"/>
  <c r="B772" i="1"/>
  <c r="L717" i="1"/>
  <c r="B717" i="1"/>
  <c r="B775" i="1"/>
  <c r="L772" i="1"/>
  <c r="K775" i="1"/>
  <c r="B773" i="1"/>
  <c r="L773" i="1"/>
  <c r="L718" i="1"/>
  <c r="K718" i="1"/>
  <c r="B718" i="1"/>
  <c r="J718" i="1" s="1"/>
  <c r="K955" i="1"/>
  <c r="B716" i="1"/>
  <c r="J716" i="1" s="1"/>
  <c r="B953" i="1"/>
  <c r="K716" i="1"/>
  <c r="L716" i="1"/>
  <c r="J953" i="1"/>
  <c r="J955" i="1"/>
  <c r="B954" i="1"/>
  <c r="K953" i="1"/>
  <c r="B955" i="1"/>
  <c r="J954" i="1"/>
  <c r="K954" i="1"/>
  <c r="K881" i="1"/>
  <c r="B881" i="1"/>
  <c r="J881" i="1"/>
  <c r="B883" i="1"/>
  <c r="J882" i="1"/>
  <c r="K883" i="1"/>
  <c r="J883" i="1"/>
  <c r="B882" i="1"/>
  <c r="K882" i="1"/>
  <c r="B789" i="1"/>
  <c r="B790" i="1"/>
  <c r="B791" i="1"/>
  <c r="B792" i="1"/>
  <c r="B793" i="1"/>
  <c r="B794" i="1"/>
  <c r="B795" i="1"/>
  <c r="B796" i="1"/>
  <c r="B797" i="1"/>
  <c r="B798" i="1"/>
  <c r="B799" i="1"/>
  <c r="B800" i="1"/>
  <c r="B801" i="1"/>
  <c r="B802" i="1"/>
  <c r="B803" i="1"/>
  <c r="B820" i="1" s="1"/>
  <c r="B804" i="1"/>
  <c r="B821" i="1" s="1"/>
  <c r="B788" i="1"/>
  <c r="J810" i="1" l="1"/>
  <c r="J811" i="1"/>
  <c r="B811" i="1"/>
  <c r="B810" i="1"/>
  <c r="K809" i="1"/>
  <c r="J809" i="1"/>
  <c r="K811" i="1"/>
  <c r="K810" i="1"/>
  <c r="B809" i="1"/>
  <c r="G1270" i="1"/>
  <c r="B23" i="1"/>
  <c r="G22" i="1"/>
  <c r="E22" i="1"/>
  <c r="C22" i="1"/>
  <c r="A22" i="1"/>
  <c r="B106" i="1"/>
  <c r="B952" i="1" l="1"/>
  <c r="B1447" i="1" l="1"/>
  <c r="B2090" i="1"/>
  <c r="B808" i="1"/>
  <c r="B812" i="1" s="1"/>
  <c r="B254" i="1"/>
  <c r="B264" i="1" s="1"/>
  <c r="E2068" i="1" l="1"/>
  <c r="C2068" i="1"/>
  <c r="A2068" i="1"/>
  <c r="B1355" i="1"/>
  <c r="B1354" i="1"/>
  <c r="B1351" i="1"/>
  <c r="G1350" i="1"/>
  <c r="E1350" i="1"/>
  <c r="C1350" i="1"/>
  <c r="A1350" i="1"/>
  <c r="B956" i="1"/>
  <c r="G951" i="1"/>
  <c r="E951" i="1"/>
  <c r="A951" i="1"/>
  <c r="B456" i="1"/>
  <c r="B465" i="1" s="1"/>
  <c r="B1775" i="1"/>
  <c r="B1787" i="1" s="1"/>
  <c r="G1774" i="1"/>
  <c r="E1774" i="1"/>
  <c r="C1774" i="1"/>
  <c r="A1774" i="1"/>
  <c r="B1492" i="1"/>
  <c r="B1496" i="1" s="1"/>
  <c r="G1491" i="1"/>
  <c r="E1491" i="1"/>
  <c r="C1491" i="1"/>
  <c r="A1491" i="1"/>
  <c r="B1063" i="1"/>
  <c r="B1079" i="1" s="1"/>
  <c r="L1061" i="1"/>
  <c r="K1061" i="1"/>
  <c r="J1061" i="1"/>
  <c r="B1153" i="1"/>
  <c r="B1169" i="1" s="1"/>
  <c r="L1155" i="1"/>
  <c r="K1155" i="1"/>
  <c r="B1155" i="1"/>
  <c r="J1155" i="1" s="1"/>
  <c r="L1154" i="1"/>
  <c r="K1154" i="1"/>
  <c r="J1154" i="1"/>
  <c r="B1234" i="1"/>
  <c r="B1250" i="1" s="1"/>
  <c r="L1236" i="1"/>
  <c r="K1236" i="1"/>
  <c r="B1236" i="1"/>
  <c r="J1236" i="1" s="1"/>
  <c r="L1235" i="1"/>
  <c r="K1235" i="1"/>
  <c r="J1235" i="1"/>
  <c r="B536" i="1"/>
  <c r="B541" i="1" s="1"/>
  <c r="J538" i="1"/>
  <c r="L538" i="1" s="1"/>
  <c r="L537" i="1"/>
  <c r="K537" i="1"/>
  <c r="B537" i="1"/>
  <c r="J537" i="1" s="1"/>
  <c r="B2021" i="1"/>
  <c r="B2025" i="1" s="1"/>
  <c r="B2022" i="1"/>
  <c r="G2020" i="1"/>
  <c r="E2020" i="1"/>
  <c r="C2020" i="1"/>
  <c r="A2020" i="1"/>
  <c r="B231" i="1"/>
  <c r="B232" i="1" s="1"/>
  <c r="E229" i="1"/>
  <c r="C229" i="1"/>
  <c r="A229" i="1"/>
  <c r="B880" i="1"/>
  <c r="B884" i="1" s="1"/>
  <c r="G879" i="1"/>
  <c r="E879" i="1"/>
  <c r="A879" i="1"/>
  <c r="B2045" i="1"/>
  <c r="B2049" i="1" s="1"/>
  <c r="B2046" i="1"/>
  <c r="G2044" i="1"/>
  <c r="E2044" i="1"/>
  <c r="C2044" i="1"/>
  <c r="A2044" i="1"/>
  <c r="B403" i="1"/>
  <c r="B412" i="1" s="1"/>
  <c r="B564" i="1"/>
  <c r="B569" i="1" s="1"/>
  <c r="J566" i="1"/>
  <c r="L566" i="1" s="1"/>
  <c r="L565" i="1"/>
  <c r="K565" i="1"/>
  <c r="B565" i="1"/>
  <c r="J565" i="1" s="1"/>
  <c r="G1446" i="1"/>
  <c r="E1446" i="1"/>
  <c r="C1446" i="1"/>
  <c r="A1446" i="1"/>
  <c r="B1113" i="1"/>
  <c r="L1196" i="1"/>
  <c r="K1196" i="1"/>
  <c r="B1196" i="1"/>
  <c r="J1196" i="1" s="1"/>
  <c r="L1195" i="1"/>
  <c r="K1195" i="1"/>
  <c r="J1195" i="1"/>
  <c r="B1194" i="1"/>
  <c r="B1210" i="1" s="1"/>
  <c r="L1139" i="1"/>
  <c r="K1139" i="1"/>
  <c r="B1139" i="1"/>
  <c r="J1139" i="1" s="1"/>
  <c r="L1138" i="1"/>
  <c r="K1138" i="1"/>
  <c r="B1138" i="1"/>
  <c r="J1138" i="1" s="1"/>
  <c r="L1137" i="1"/>
  <c r="K1137" i="1"/>
  <c r="J1137" i="1"/>
  <c r="L1136" i="1"/>
  <c r="K1136" i="1"/>
  <c r="B1136" i="1"/>
  <c r="J1136" i="1" s="1"/>
  <c r="L1135" i="1"/>
  <c r="K1135" i="1"/>
  <c r="J1135" i="1"/>
  <c r="L1134" i="1"/>
  <c r="K1134" i="1"/>
  <c r="J1134" i="1"/>
  <c r="L1133" i="1"/>
  <c r="K1133" i="1"/>
  <c r="J1133" i="1"/>
  <c r="B1132" i="1"/>
  <c r="L1118" i="1"/>
  <c r="K1118" i="1"/>
  <c r="B1118" i="1"/>
  <c r="J1118" i="1" s="1"/>
  <c r="L1117" i="1"/>
  <c r="K1117" i="1"/>
  <c r="J1117" i="1"/>
  <c r="L1116" i="1"/>
  <c r="K1116" i="1"/>
  <c r="J1116" i="1"/>
  <c r="L1115" i="1"/>
  <c r="K1115" i="1"/>
  <c r="J1115" i="1"/>
  <c r="L1114" i="1"/>
  <c r="K1114" i="1"/>
  <c r="J1114" i="1"/>
  <c r="B1012" i="1"/>
  <c r="B1028" i="1" s="1"/>
  <c r="L1010" i="1"/>
  <c r="K1010" i="1"/>
  <c r="J1010" i="1"/>
  <c r="G807" i="1"/>
  <c r="E807" i="1"/>
  <c r="A807" i="1"/>
  <c r="J775" i="1"/>
  <c r="B774" i="1"/>
  <c r="B780" i="1" s="1"/>
  <c r="J773" i="1"/>
  <c r="J772" i="1"/>
  <c r="J717" i="1"/>
  <c r="B715" i="1"/>
  <c r="B666" i="1"/>
  <c r="L656" i="1"/>
  <c r="K656" i="1"/>
  <c r="B656" i="1"/>
  <c r="J656" i="1" s="1"/>
  <c r="L655" i="1"/>
  <c r="K655" i="1"/>
  <c r="J655" i="1"/>
  <c r="L654" i="1"/>
  <c r="K654" i="1"/>
  <c r="J654" i="1"/>
  <c r="L653" i="1"/>
  <c r="K653" i="1"/>
  <c r="J653" i="1"/>
  <c r="L652" i="1"/>
  <c r="K652" i="1"/>
  <c r="J652" i="1"/>
  <c r="B651" i="1"/>
  <c r="L637" i="1"/>
  <c r="K637" i="1"/>
  <c r="B637" i="1"/>
  <c r="J637" i="1" s="1"/>
  <c r="L636" i="1"/>
  <c r="K636" i="1"/>
  <c r="J636" i="1"/>
  <c r="L635" i="1"/>
  <c r="K635" i="1"/>
  <c r="J635" i="1"/>
  <c r="L634" i="1"/>
  <c r="K634" i="1"/>
  <c r="J634" i="1"/>
  <c r="L633" i="1"/>
  <c r="K633" i="1"/>
  <c r="J633" i="1"/>
  <c r="L632" i="1"/>
  <c r="K632" i="1"/>
  <c r="B632" i="1"/>
  <c r="J632" i="1" s="1"/>
  <c r="L631" i="1"/>
  <c r="K631" i="1"/>
  <c r="B631" i="1"/>
  <c r="J631" i="1" s="1"/>
  <c r="B630" i="1"/>
  <c r="B599" i="1"/>
  <c r="K599" i="1" s="1"/>
  <c r="L598" i="1"/>
  <c r="K598" i="1"/>
  <c r="B598" i="1"/>
  <c r="J598" i="1" s="1"/>
  <c r="J597" i="1"/>
  <c r="K597" i="1" s="1"/>
  <c r="J596" i="1"/>
  <c r="L596" i="1" s="1"/>
  <c r="J595" i="1"/>
  <c r="L595" i="1" s="1"/>
  <c r="J594" i="1"/>
  <c r="L594" i="1" s="1"/>
  <c r="B593" i="1"/>
  <c r="J510" i="1"/>
  <c r="L510" i="1" s="1"/>
  <c r="L509" i="1"/>
  <c r="K509" i="1"/>
  <c r="B509" i="1"/>
  <c r="J509" i="1" s="1"/>
  <c r="B508" i="1"/>
  <c r="B513" i="1" s="1"/>
  <c r="B350" i="1"/>
  <c r="B359" i="1" s="1"/>
  <c r="L1986" i="1"/>
  <c r="K1986" i="1"/>
  <c r="B1986" i="1"/>
  <c r="J1986" i="1" s="1"/>
  <c r="L1985" i="1"/>
  <c r="K1985" i="1"/>
  <c r="B1985" i="1"/>
  <c r="J1985" i="1" s="1"/>
  <c r="L1984" i="1"/>
  <c r="K1984" i="1"/>
  <c r="B1984" i="1"/>
  <c r="J1984" i="1" s="1"/>
  <c r="L1983" i="1"/>
  <c r="K1983" i="1"/>
  <c r="J1983" i="1"/>
  <c r="L1981" i="1"/>
  <c r="K1981" i="1"/>
  <c r="J1981" i="1"/>
  <c r="L1980" i="1"/>
  <c r="K1980" i="1"/>
  <c r="B1980" i="1"/>
  <c r="J1980" i="1" s="1"/>
  <c r="B1977" i="1"/>
  <c r="B1979" i="1" s="1"/>
  <c r="G1976" i="1"/>
  <c r="E1976" i="1"/>
  <c r="C1976" i="1"/>
  <c r="A1976" i="1"/>
  <c r="B1959" i="1"/>
  <c r="G1958" i="1"/>
  <c r="E1958" i="1"/>
  <c r="C1958" i="1"/>
  <c r="A1958" i="1"/>
  <c r="B1526" i="1"/>
  <c r="B1530" i="1" s="1"/>
  <c r="G1525" i="1"/>
  <c r="E1525" i="1"/>
  <c r="C1525" i="1"/>
  <c r="A1525"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K538" i="1" l="1"/>
  <c r="K566" i="1"/>
  <c r="L599" i="1"/>
  <c r="L597" i="1"/>
  <c r="K595" i="1"/>
  <c r="K510" i="1"/>
  <c r="K596" i="1"/>
  <c r="B1978" i="1"/>
  <c r="K594" i="1"/>
  <c r="J599" i="1"/>
  <c r="B255" i="1" l="1"/>
  <c r="B301" i="1"/>
  <c r="B1998" i="1"/>
  <c r="B1597" i="1"/>
  <c r="B1609" i="1" s="1"/>
  <c r="B1458" i="1"/>
  <c r="B1462" i="1" s="1"/>
  <c r="G1457" i="1"/>
  <c r="E1457" i="1"/>
  <c r="C1457" i="1"/>
  <c r="A1457" i="1"/>
  <c r="B300" i="1"/>
  <c r="B310" i="1" s="1"/>
  <c r="E299" i="1"/>
  <c r="C299" i="1"/>
  <c r="A299" i="1"/>
  <c r="B1316" i="1"/>
  <c r="B1315" i="1"/>
  <c r="B1312" i="1"/>
  <c r="G1311" i="1"/>
  <c r="E1311" i="1"/>
  <c r="C1311" i="1"/>
  <c r="A1311" i="1"/>
  <c r="B1432" i="1"/>
  <c r="G1430" i="1"/>
  <c r="E1430" i="1"/>
  <c r="C1430" i="1"/>
  <c r="A1430" i="1"/>
  <c r="E253" i="1"/>
  <c r="C253" i="1"/>
  <c r="A253" i="1"/>
  <c r="B1686" i="1"/>
  <c r="B1698" i="1" s="1"/>
  <c r="G1685" i="1"/>
  <c r="E1685" i="1"/>
  <c r="C1685" i="1"/>
  <c r="A1685" i="1"/>
  <c r="B139" i="1" l="1"/>
  <c r="B140" i="1"/>
  <c r="B142" i="1" s="1"/>
  <c r="B141" i="1" l="1"/>
  <c r="G138" i="1" l="1"/>
  <c r="E138" i="1"/>
  <c r="C138" i="1"/>
  <c r="A138" i="1"/>
  <c r="B1390" i="1"/>
  <c r="G1389" i="1"/>
  <c r="E1389" i="1"/>
  <c r="C1389" i="1"/>
  <c r="A1389" i="1"/>
  <c r="B1271" i="1"/>
  <c r="E1270" i="1"/>
  <c r="C1270" i="1"/>
  <c r="A1270" i="1"/>
  <c r="B1997" i="1"/>
  <c r="B2001" i="1" s="1"/>
  <c r="G1996" i="1"/>
  <c r="E1996" i="1"/>
  <c r="C1996" i="1"/>
  <c r="A1996" i="1"/>
  <c r="B1864" i="1"/>
  <c r="B1878" i="1" s="1"/>
  <c r="G1863" i="1"/>
  <c r="E1863" i="1"/>
  <c r="C1863" i="1"/>
  <c r="A1863" i="1"/>
  <c r="G1596" i="1"/>
  <c r="E1596" i="1"/>
  <c r="C1596" i="1"/>
  <c r="A1596" i="1"/>
  <c r="B197" i="1"/>
  <c r="G196" i="1"/>
  <c r="E196" i="1"/>
  <c r="C196" i="1"/>
  <c r="A196" i="1"/>
  <c r="B186" i="1"/>
  <c r="G185" i="1"/>
  <c r="E185" i="1"/>
  <c r="C185" i="1"/>
  <c r="A185" i="1"/>
  <c r="B164" i="1"/>
  <c r="G163" i="1"/>
  <c r="E163" i="1"/>
  <c r="C163" i="1"/>
  <c r="A163" i="1"/>
  <c r="B219" i="1"/>
  <c r="G218" i="1"/>
  <c r="E218" i="1"/>
  <c r="C218" i="1"/>
  <c r="A218" i="1"/>
  <c r="B117" i="1"/>
  <c r="G116" i="1"/>
  <c r="E116" i="1"/>
  <c r="C116" i="1"/>
  <c r="A116" i="1"/>
  <c r="B208" i="1"/>
  <c r="G207" i="1"/>
  <c r="E207" i="1"/>
  <c r="C207" i="1"/>
  <c r="A207"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<sst xmlns="http://schemas.openxmlformats.org/spreadsheetml/2006/main" count="6904" uniqueCount="378">
  <si>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</si>
  <si>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</si>
  <si>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</si>
  <si>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</si>
  <si>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</si>
  <si>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</si>
  <si>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</si>
  <si>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</si>
  <si>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</si>
  <si>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</si>
  <si>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</si>
  <si>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</si>
  <si>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</si>
  <si>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</si>
  <si>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</si>
  <si>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</si>
  <si>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</si>
  <si>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</si>
  <si>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</si>
  <si>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</si>
  <si>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</si>
  <si>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</si>
  <si>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</si>
  <si>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</si>
  <si>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</si>
  <si>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</si>
  <si>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</si>
  <si>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</si>
  <si>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</si>
  <si>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</si>
  <si>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</si>
  <si>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</si>
  <si>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</si>
  <si>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</si>
  <si>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</si>
  <si>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</si>
  <si>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</si>
  <si>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</si>
  <si>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</si>
  <si>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</si>
  <si>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</si>
  <si>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</si>
  <si>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</si>
  <si>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</si>
  <si>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</si>
  <si>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</si>
  <si>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</si>
  <si>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</si>
  <si>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</si>
  <si>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</si>
  <si>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</si>
  <si>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</si>
  <si>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</si>
  <si>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</si>
  <si>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</si>
  <si>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</si>
  <si>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</si>
  <si>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</si>
  <si>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</si>
  <si>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</si>
  <si>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</si>
  <si>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</si>
  <si>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</si>
  <si>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</si>
  <si>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</si>
  <si>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</si>
  <si>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</si>
  <si>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</si>
  <si>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</si>
  <si>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</si>
  <si>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</si>
  <si>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</si>
  <si>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</si>
  <si>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</si>
  <si>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</si>
  <si>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</si>
  <si>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</si>
  <si>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</si>
  <si>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</si>
  <si>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</si>
  <si>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</si>
  <si>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</si>
  <si>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</si>
  <si>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</si>
  <si>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</si>
  <si>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</si>
  <si>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</si>
  <si>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</si>
  <si>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</si>
  <si>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</si>
  <si>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</si>
  <si>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</si>
  <si>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</si>
  <si>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</si>
  <si>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</si>
  <si>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</si>
  <si>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</si>
  <si>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</si>
  <si>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</si>
  <si>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</si>
  <si>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</si>
  <si>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</si>
  <si>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</si>
  <si>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</si>
  <si>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</si>
  <si>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</si>
  <si>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</si>
  <si>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</si>
  <si>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</si>
  <si>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</si>
  <si>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</si>
  <si>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</si>
  <si>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</si>
  <si>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</si>
  <si>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</si>
  <si>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</si>
  <si>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</si>
  <si>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</si>
  <si>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</si>
  <si>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</si>
  <si>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</si>
  <si>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</si>
  <si>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</si>
  <si>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</si>
  <si>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</si>
  <si>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</si>
  <si>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</si>
  <si>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</si>
  <si>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</si>
  <si>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</si>
  <si>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</si>
  <si>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</si>
  <si>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</si>
  <si>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</si>
  <si>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</si>
  <si>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</si>
  <si>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</si>
  <si>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</si>
  <si>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</si>
  <si>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</si>
  <si>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</si>
  <si>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</si>
  <si>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</si>
  <si>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</si>
  <si>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</si>
  <si>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</si>
  <si>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</si>
  <si>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</si>
  <si>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</si>
  <si>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</si>
  <si>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</si>
  <si>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</si>
  <si>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</si>
  <si>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</si>
  <si>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</si>
  <si>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</si>
  <si>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</si>
  <si>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</si>
  <si>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</si>
  <si>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</si>
  <si>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</si>
  <si>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</si>
  <si>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</si>
  <si>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</si>
  <si>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</si>
  <si>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</si>
  <si>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</si>
  <si>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</si>
  <si>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</si>
  <si>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</si>
  <si>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</si>
  <si>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</si>
  <si>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</si>
  <si>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</si>
  <si>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</si>
  <si>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</si>
  <si>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</si>
  <si>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</si>
  <si>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</si>
  <si>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</si>
  <si>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</si>
  <si>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</si>
  <si>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</si>
  <si>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</si>
  <si>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</si>
  <si>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</si>
  <si>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</si>
  <si>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</si>
  <si>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</si>
  <si>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</si>
  <si>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</si>
  <si>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</si>
  <si>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</si>
  <si>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</si>
  <si>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</si>
  <si>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</si>
  <si>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</si>
  <si>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</si>
  <si>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</si>
  <si>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</si>
  <si>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</si>
  <si>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</si>
  <si>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</si>
  <si>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</si>
  <si>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</si>
  <si>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</si>
  <si>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</si>
  <si>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</si>
  <si>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</si>
  <si>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</si>
  <si>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</si>
  <si>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</si>
  <si>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</si>
  <si>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</si>
  <si>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</si>
  <si>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</si>
  <si>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</si>
  <si>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</si>
  <si>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</si>
  <si>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</si>
  <si>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</si>
  <si>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</si>
  <si>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</si>
  <si>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</si>
  <si>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</si>
  <si>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</si>
  <si>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</si>
  <si>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</si>
  <si>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</si>
  <si>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</si>
  <si>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</si>
  <si>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</si>
  <si>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</si>
  <si>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</si>
  <si>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</si>
  <si>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</si>
  <si>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</si>
  <si>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</si>
  <si>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</si>
  <si>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</si>
  <si>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</si>
  <si>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</si>
  <si>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</si>
  <si>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</si>
  <si>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</si>
  <si>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</si>
  <si>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</si>
  <si>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</si>
  <si>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</si>
  <si>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</si>
  <si>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</si>
  <si>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</si>
  <si>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</si>
  <si>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</si>
  <si>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</si>
  <si>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</si>
  <si>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</si>
  <si>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</si>
  <si>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</si>
  <si>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</si>
  <si>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</si>
  <si>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</si>
  <si>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</si>
  <si>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</si>
  <si>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</si>
  <si>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</si>
  <si>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</si>
  <si>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</si>
  <si>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</si>
  <si>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</si>
  <si>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</si>
  <si>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</si>
  <si>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</si>
  <si>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</si>
  <si>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</si>
  <si>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</si>
  <si>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</si>
  <si>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</si>
  <si>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</si>
  <si>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</si>
  <si>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</si>
  <si>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</si>
  <si>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</si>
  <si>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</si>
  <si>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</si>
  <si>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</si>
  <si>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</si>
  <si>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</si>
  <si>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</si>
  <si>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</si>
  <si>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</si>
  <si>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</si>
  <si>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</si>
  <si>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</si>
  <si>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</si>
  <si>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</si>
  <si>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</si>
  <si>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</si>
  <si>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</si>
  <si>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</si>
  <si>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</si>
  <si>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</si>
  <si>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</si>
  <si>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</si>
  <si>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</si>
  <si>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</si>
  <si>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</si>
  <si>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</si>
  <si>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</si>
  <si>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</si>
  <si>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</si>
  <si>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</si>
  <si>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</si>
  <si>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</si>
  <si>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</si>
  <si>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</si>
  <si>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</si>
  <si>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</si>
  <si>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</si>
  <si>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</si>
  <si>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</si>
  <si>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</si>
  <si>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</si>
  <si>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</si>
  <si>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</si>
  <si>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</si>
  <si>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</si>
  <si>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</si>
  <si>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</si>
  <si>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</si>
  <si>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</si>
  <si>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</si>
  <si>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</si>
  <si>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</si>
  <si>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</si>
  <si>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</si>
  <si>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</si>
  <si>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</si>
  <si>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</si>
  <si>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</si>
  <si>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</si>
  <si>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</si>
  <si>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</si>
  <si>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</si>
  <si>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</si>
  <si>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</si>
  <si>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</si>
  <si>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</si>
  <si>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</si>
  <si>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</si>
  <si>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</si>
  <si>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</si>
  <si>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</si>
  <si>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</si>
  <si>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</si>
  <si>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</si>
  <si>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</si>
  <si>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</si>
  <si>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</si>
  <si>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</si>
  <si>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</si>
  <si>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</si>
  <si>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</si>
  <si>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</si>
  <si>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</si>
  <si>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</si>
  <si>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</si>
  <si>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</si>
  <si>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</si>
  <si>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</si>
  <si>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</si>
  <si>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</si>
  <si>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</si>
  <si>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market for electric powertrain, for electric scooter</t>
  </si>
  <si>
    <t>electric powertrain, for electric scooter</t>
  </si>
  <si>
    <t>Onboard charger</t>
  </si>
  <si>
    <t>External charger</t>
  </si>
  <si>
    <t>carculator https://github.com/Laboratory-for-Energy-Systems-Analysis/carculator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</si>
</sst>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
    <numFmt numFmtId="165" formatCode="0.0000"/>
    <numFmt numFmtId="166" formatCode="0.000000"/>
    <numFmt numFmtId="167" formatCode="0.0E+00"/>
    <numFmt numFmtId="169" formatCode="_ * #,##0_ ;_ * \-#,##0_ ;_ * &quot;-&quot;??_ ;_ @_ "/>
    <numFmt numFmtId="171" formatCode="0.00000"/>
    <numFmt numFmtId="172" formatCode="0.0000000"/>
    <numFmt numFmtId="175" formatCode="_ * #,##0.00000_ ;_ * \-#,##0.00000_ ;_ * &quot;-&quot;??_ ;_ @_ "/>
    <numFmt numFmtId="176" formatCode="_ * #,##0.000000_ ;_ * \-#,##0.000000_ ;_ * &quot;-&quot;??_ ;_ @_ "/>
  </numFmts>
  <fonts count="7"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9" fontId="0" fillId="0" borderId="0" xfId="1" applyNumberFormat="1" applyFont="1"/>
    <xf numFmtId="169" fontId="2" fillId="0" borderId="0" xfId="1" applyNumberFormat="1" applyFont="1"/>
    <xf numFmtId="171" fontId="0" fillId="0" borderId="0" xfId="0" applyNumberFormat="1"/>
    <xf numFmtId="172" fontId="2" fillId="0" borderId="0" xfId="0" applyNumberFormat="1" applyFont="1"/>
    <xf numFmtId="175" fontId="0" fillId="0" borderId="0" xfId="0" applyNumberFormat="1"/>
    <xf numFmtId="176" fontId="0" fillId="0" borderId="0" xfId="0" applyNumberFormat="1"/>
    <xf numFmtId="1" fontId="2"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2090"/>
  <sheetViews>
    <sheetView tabSelected="1" topLeftCell="A1944" zoomScale="125" workbookViewId="0">
      <selection activeCell="C1958" sqref="C1958"/>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310</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309</v>
      </c>
      <c r="B23">
        <f>1/(0.1078*19.1)</f>
        <v>0.48567737423384383</v>
      </c>
      <c r="C23" t="s">
        <v>22</v>
      </c>
      <c r="E23" t="s">
        <v>17</v>
      </c>
      <c r="F23" t="s">
        <v>23</v>
      </c>
      <c r="G23" t="s">
        <v>39</v>
      </c>
      <c r="H23" s="2"/>
    </row>
    <row r="24" spans="1:12" customFormat="1" ht="16" x14ac:dyDescent="0.2">
      <c r="H24" s="2"/>
    </row>
    <row r="25" spans="1:12" x14ac:dyDescent="0.2">
      <c r="A25" s="17" t="s">
        <v>2</v>
      </c>
      <c r="B25" s="17" t="s">
        <v>162</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163</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164</v>
      </c>
      <c r="B51">
        <f>1/(0.025337607*36)</f>
        <v>1.0963062840850668</v>
      </c>
      <c r="C51" t="s">
        <v>27</v>
      </c>
      <c r="E51" t="s">
        <v>17</v>
      </c>
      <c r="F51" t="s">
        <v>23</v>
      </c>
      <c r="G51" t="s">
        <v>165</v>
      </c>
      <c r="H51" s="2"/>
    </row>
    <row r="52" spans="1:12" customFormat="1" ht="16" x14ac:dyDescent="0.2">
      <c r="H52" s="2"/>
    </row>
    <row r="53" spans="1:12" x14ac:dyDescent="0.2">
      <c r="A53" s="17" t="s">
        <v>2</v>
      </c>
      <c r="B53" s="17" t="s">
        <v>166</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167</v>
      </c>
      <c r="B62">
        <f>1/(0.019025875*47.5)</f>
        <v>1.106526326854737</v>
      </c>
      <c r="C62" t="s">
        <v>18</v>
      </c>
      <c r="E62" t="s">
        <v>17</v>
      </c>
      <c r="F62" t="s">
        <v>23</v>
      </c>
      <c r="G62" t="s">
        <v>31</v>
      </c>
      <c r="H62" s="2"/>
    </row>
    <row r="63" spans="1:12" customFormat="1" ht="16" x14ac:dyDescent="0.2">
      <c r="H63" s="2"/>
    </row>
    <row r="64" spans="1:12" x14ac:dyDescent="0.2">
      <c r="A64" s="17" t="s">
        <v>2</v>
      </c>
      <c r="B64" s="17" t="s">
        <v>168</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169</v>
      </c>
      <c r="B73">
        <f>1/(0.019025875*47.5)</f>
        <v>1.106526326854737</v>
      </c>
      <c r="C73" t="s">
        <v>18</v>
      </c>
      <c r="E73" t="s">
        <v>17</v>
      </c>
      <c r="F73" t="s">
        <v>23</v>
      </c>
      <c r="G73" t="s">
        <v>31</v>
      </c>
      <c r="H73" s="2"/>
    </row>
    <row r="74" spans="1:12" customFormat="1" ht="16" x14ac:dyDescent="0.2">
      <c r="H74" s="2"/>
    </row>
    <row r="75" spans="1:12" x14ac:dyDescent="0.2">
      <c r="A75" s="17" t="s">
        <v>2</v>
      </c>
      <c r="B75" s="17" t="s">
        <v>176</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170</v>
      </c>
      <c r="B84">
        <f>1/(0.019025875*47.5)</f>
        <v>1.106526326854737</v>
      </c>
      <c r="C84" t="s">
        <v>18</v>
      </c>
      <c r="E84" t="s">
        <v>17</v>
      </c>
      <c r="F84" t="s">
        <v>23</v>
      </c>
      <c r="G84" t="s">
        <v>31</v>
      </c>
      <c r="H84" s="2"/>
    </row>
    <row r="85" spans="1:12" customFormat="1" ht="16" x14ac:dyDescent="0.2">
      <c r="H85" s="2"/>
    </row>
    <row r="86" spans="1:12" x14ac:dyDescent="0.2">
      <c r="A86" s="17" t="s">
        <v>2</v>
      </c>
      <c r="B86" s="17" t="s">
        <v>174</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175</v>
      </c>
      <c r="B95">
        <f>1/(0.025337607*36)</f>
        <v>1.0963062840850668</v>
      </c>
      <c r="C95" t="s">
        <v>18</v>
      </c>
      <c r="E95" t="s">
        <v>17</v>
      </c>
      <c r="F95" t="s">
        <v>23</v>
      </c>
      <c r="G95" t="s">
        <v>31</v>
      </c>
      <c r="H95" s="2"/>
    </row>
    <row r="96" spans="1:12" customFormat="1" ht="16" x14ac:dyDescent="0.2">
      <c r="H96" s="2"/>
    </row>
    <row r="97" spans="1:12" x14ac:dyDescent="0.2">
      <c r="A97" s="17" t="s">
        <v>2</v>
      </c>
      <c r="B97" s="17" t="s">
        <v>171</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172</v>
      </c>
      <c r="B106" s="13">
        <f>1/0.0992/3.6</f>
        <v>2.8001792114695339</v>
      </c>
      <c r="C106" t="s">
        <v>27</v>
      </c>
      <c r="E106" t="s">
        <v>17</v>
      </c>
      <c r="F106" t="s">
        <v>23</v>
      </c>
      <c r="G106" t="s">
        <v>173</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295</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32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from biomass,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30</v>
      </c>
      <c r="B208">
        <f>1/(0.05556*20)</f>
        <v>0.89992800575953924</v>
      </c>
      <c r="C208" t="s">
        <v>18</v>
      </c>
      <c r="E208" t="s">
        <v>17</v>
      </c>
      <c r="F208" t="s">
        <v>23</v>
      </c>
      <c r="G208" t="s">
        <v>31</v>
      </c>
      <c r="H208" s="2"/>
    </row>
    <row r="209" spans="1:12" customFormat="1" ht="16" x14ac:dyDescent="0.2">
      <c r="H209" s="2"/>
    </row>
    <row r="210" spans="1:12" x14ac:dyDescent="0.2">
      <c r="A210" s="17" t="s">
        <v>2</v>
      </c>
      <c r="B210" s="17" t="s">
        <v>35</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coal,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36</v>
      </c>
      <c r="B219">
        <f>1/(0.05556*20)</f>
        <v>0.89992800575953924</v>
      </c>
      <c r="C219" t="s">
        <v>18</v>
      </c>
      <c r="E219" t="s">
        <v>17</v>
      </c>
      <c r="F219" t="s">
        <v>23</v>
      </c>
      <c r="G219" t="s">
        <v>31</v>
      </c>
      <c r="H219" s="2"/>
    </row>
    <row r="220" spans="1:12" customFormat="1" ht="16" x14ac:dyDescent="0.2">
      <c r="F220" s="2"/>
    </row>
    <row r="221" spans="1:12" x14ac:dyDescent="0.2">
      <c r="A221" s="17" t="s">
        <v>2</v>
      </c>
      <c r="B221" s="17" t="s">
        <v>264</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c r="H228" s="17" t="s">
        <v>153</v>
      </c>
    </row>
    <row r="229" spans="1:12" customFormat="1" ht="16" x14ac:dyDescent="0.2">
      <c r="A229" s="2" t="str">
        <f>B221</f>
        <v>natural gas, synthetic, burned in gas turbine</v>
      </c>
      <c r="B229" s="2">
        <v>1</v>
      </c>
      <c r="C229" s="2" t="str">
        <f>B222</f>
        <v>RER</v>
      </c>
      <c r="D229" s="2"/>
      <c r="E229" s="2" t="str">
        <f>B226</f>
        <v>megajoule</v>
      </c>
      <c r="F229" s="2" t="s">
        <v>19</v>
      </c>
      <c r="G229" s="2"/>
      <c r="H229" s="2"/>
      <c r="I229" s="2"/>
      <c r="J229" s="2"/>
      <c r="K229" s="2"/>
      <c r="L229" s="2"/>
    </row>
    <row r="230" spans="1:12" customFormat="1" ht="16" x14ac:dyDescent="0.2">
      <c r="A230" t="s">
        <v>266</v>
      </c>
      <c r="B230" s="12">
        <v>1.15E-10</v>
      </c>
      <c r="C230" t="s">
        <v>18</v>
      </c>
      <c r="E230" t="s">
        <v>8</v>
      </c>
      <c r="F230" t="s">
        <v>23</v>
      </c>
      <c r="G230" s="2" t="s">
        <v>265</v>
      </c>
      <c r="J230" s="2"/>
    </row>
    <row r="231" spans="1:12" customFormat="1" ht="16" x14ac:dyDescent="0.2">
      <c r="A231" t="s">
        <v>311</v>
      </c>
      <c r="B231" s="2">
        <f>1/47.5</f>
        <v>2.1052631578947368E-2</v>
      </c>
      <c r="C231" t="s">
        <v>18</v>
      </c>
      <c r="E231" t="s">
        <v>9</v>
      </c>
      <c r="F231" t="s">
        <v>23</v>
      </c>
      <c r="G231" t="s">
        <v>270</v>
      </c>
      <c r="J231" s="2"/>
    </row>
    <row r="232" spans="1:12" customFormat="1" ht="16" x14ac:dyDescent="0.2">
      <c r="A232" t="s">
        <v>123</v>
      </c>
      <c r="B232">
        <f>B231*2.74</f>
        <v>5.7684210526315789E-2</v>
      </c>
      <c r="D232" t="s">
        <v>14</v>
      </c>
      <c r="E232" t="s">
        <v>9</v>
      </c>
      <c r="F232" s="2" t="s">
        <v>15</v>
      </c>
      <c r="G232" s="2"/>
      <c r="H232" t="s">
        <v>297</v>
      </c>
      <c r="J232" s="2"/>
    </row>
    <row r="233" spans="1:12" customFormat="1" ht="16" x14ac:dyDescent="0.2">
      <c r="A233" t="s">
        <v>124</v>
      </c>
      <c r="B233" s="3">
        <v>4.0000000000000003E-5</v>
      </c>
      <c r="D233" t="s">
        <v>14</v>
      </c>
      <c r="E233" t="s">
        <v>9</v>
      </c>
      <c r="F233" s="2" t="s">
        <v>15</v>
      </c>
      <c r="G233" s="2"/>
      <c r="J233" s="2"/>
    </row>
    <row r="234" spans="1:12" customFormat="1" ht="16" x14ac:dyDescent="0.2">
      <c r="A234" t="s">
        <v>58</v>
      </c>
      <c r="B234" s="3">
        <v>9.9999999999999995E-7</v>
      </c>
      <c r="D234" t="s">
        <v>14</v>
      </c>
      <c r="E234" t="s">
        <v>9</v>
      </c>
      <c r="F234" s="2" t="s">
        <v>15</v>
      </c>
      <c r="J234" s="2"/>
    </row>
    <row r="235" spans="1:12" customFormat="1" ht="16" x14ac:dyDescent="0.2">
      <c r="A235" t="s">
        <v>103</v>
      </c>
      <c r="B235" s="3">
        <v>2.9000000000000003E-17</v>
      </c>
      <c r="D235" t="s">
        <v>14</v>
      </c>
      <c r="E235" t="s">
        <v>9</v>
      </c>
      <c r="F235" s="2" t="s">
        <v>15</v>
      </c>
      <c r="J235" s="2"/>
    </row>
    <row r="236" spans="1:12" customFormat="1" ht="16" x14ac:dyDescent="0.2">
      <c r="A236" t="s">
        <v>267</v>
      </c>
      <c r="B236">
        <v>1.1000000000000001</v>
      </c>
      <c r="D236" t="s">
        <v>14</v>
      </c>
      <c r="E236" t="s">
        <v>17</v>
      </c>
      <c r="F236" s="2" t="s">
        <v>15</v>
      </c>
      <c r="J236" s="2"/>
    </row>
    <row r="237" spans="1:12" customFormat="1" ht="16" x14ac:dyDescent="0.2">
      <c r="A237" t="s">
        <v>64</v>
      </c>
      <c r="B237" s="3">
        <v>3E-11</v>
      </c>
      <c r="D237" t="s">
        <v>14</v>
      </c>
      <c r="E237" t="s">
        <v>9</v>
      </c>
      <c r="F237" s="2" t="s">
        <v>15</v>
      </c>
      <c r="J237" s="2"/>
    </row>
    <row r="238" spans="1:12" customFormat="1" ht="16" x14ac:dyDescent="0.2">
      <c r="A238" t="s">
        <v>180</v>
      </c>
      <c r="B238" s="3">
        <v>4.40134279210326E-6</v>
      </c>
      <c r="D238" t="s">
        <v>14</v>
      </c>
      <c r="E238" t="s">
        <v>9</v>
      </c>
      <c r="F238" s="2" t="s">
        <v>15</v>
      </c>
      <c r="J238" s="2"/>
    </row>
    <row r="239" spans="1:12" customFormat="1" ht="16" x14ac:dyDescent="0.2">
      <c r="A239" t="s">
        <v>67</v>
      </c>
      <c r="B239" s="3">
        <v>9.9999999999999995E-7</v>
      </c>
      <c r="D239" t="s">
        <v>14</v>
      </c>
      <c r="E239" t="s">
        <v>9</v>
      </c>
      <c r="F239" s="2" t="s">
        <v>15</v>
      </c>
      <c r="J239" s="2"/>
    </row>
    <row r="240" spans="1:12" customFormat="1" ht="16" x14ac:dyDescent="0.2">
      <c r="A240" t="s">
        <v>69</v>
      </c>
      <c r="B240">
        <v>1.27058370604326E-4</v>
      </c>
      <c r="D240" t="s">
        <v>14</v>
      </c>
      <c r="E240" t="s">
        <v>9</v>
      </c>
      <c r="F240" s="2" t="s">
        <v>15</v>
      </c>
      <c r="J240" s="2"/>
    </row>
    <row r="241" spans="1:12" customFormat="1" ht="16" x14ac:dyDescent="0.2">
      <c r="A241" t="s">
        <v>77</v>
      </c>
      <c r="B241" s="3">
        <v>5.5000000000000003E-7</v>
      </c>
      <c r="D241" t="s">
        <v>14</v>
      </c>
      <c r="E241" t="s">
        <v>9</v>
      </c>
      <c r="F241" s="2" t="s">
        <v>15</v>
      </c>
      <c r="J241" s="2"/>
    </row>
    <row r="242" spans="1:12" customFormat="1" ht="16" x14ac:dyDescent="0.2">
      <c r="A242" t="s">
        <v>268</v>
      </c>
      <c r="B242">
        <v>4.0821972963304497E-2</v>
      </c>
      <c r="D242" t="s">
        <v>269</v>
      </c>
      <c r="E242" t="s">
        <v>9</v>
      </c>
      <c r="F242" s="2" t="s">
        <v>15</v>
      </c>
      <c r="J242" s="2"/>
    </row>
    <row r="243" spans="1:12" customFormat="1" ht="16" x14ac:dyDescent="0.2">
      <c r="A243" t="s">
        <v>123</v>
      </c>
      <c r="B243" s="3">
        <v>3.1941563011577698E-5</v>
      </c>
      <c r="D243" t="s">
        <v>117</v>
      </c>
      <c r="E243" t="s">
        <v>9</v>
      </c>
      <c r="F243" s="2" t="s">
        <v>15</v>
      </c>
      <c r="J243" s="2"/>
    </row>
    <row r="244" spans="1:12" customFormat="1" ht="16" x14ac:dyDescent="0.2">
      <c r="J244" s="2"/>
    </row>
    <row r="245" spans="1:12" x14ac:dyDescent="0.2">
      <c r="A245" s="17" t="s">
        <v>2</v>
      </c>
      <c r="B245" s="17" t="s">
        <v>125</v>
      </c>
    </row>
    <row r="246" spans="1:12" customFormat="1" ht="16" x14ac:dyDescent="0.2">
      <c r="A246" s="2" t="s">
        <v>3</v>
      </c>
      <c r="B246" s="2" t="s">
        <v>18</v>
      </c>
      <c r="C246" s="2"/>
      <c r="D246" s="2"/>
      <c r="E246" s="2"/>
      <c r="F246" s="2"/>
      <c r="G246" s="2"/>
      <c r="H246" s="2"/>
      <c r="I246" s="2"/>
      <c r="J246" s="2"/>
      <c r="K246" s="2"/>
      <c r="L246" s="2"/>
    </row>
    <row r="247" spans="1:12" customFormat="1" ht="16" x14ac:dyDescent="0.2">
      <c r="A247" s="2" t="s">
        <v>4</v>
      </c>
      <c r="B247" s="2">
        <v>1</v>
      </c>
      <c r="C247" s="2"/>
      <c r="D247" s="2"/>
      <c r="E247" s="2"/>
      <c r="F247" s="2"/>
      <c r="G247" s="2"/>
      <c r="H247" s="2"/>
      <c r="I247" s="2"/>
      <c r="J247" s="2"/>
      <c r="K247" s="2"/>
      <c r="L247" s="2"/>
    </row>
    <row r="248" spans="1:12" customFormat="1" ht="16" x14ac:dyDescent="0.2">
      <c r="A248" s="2" t="s">
        <v>5</v>
      </c>
      <c r="B248" s="2" t="s">
        <v>1</v>
      </c>
      <c r="C248" s="2"/>
      <c r="D248" s="2"/>
      <c r="E248" s="2"/>
      <c r="F248" s="2"/>
      <c r="G248" s="2"/>
      <c r="H248" s="2"/>
      <c r="I248" s="2"/>
      <c r="J248" s="2"/>
    </row>
    <row r="249" spans="1:12" customFormat="1" ht="16" x14ac:dyDescent="0.2">
      <c r="A249" s="2" t="s">
        <v>6</v>
      </c>
      <c r="B249" s="2" t="s">
        <v>7</v>
      </c>
      <c r="C249" s="2"/>
      <c r="D249" s="2"/>
      <c r="E249" s="2"/>
      <c r="F249" s="2"/>
      <c r="G249" s="2"/>
      <c r="H249" s="2"/>
      <c r="I249" s="2"/>
      <c r="J249" s="2"/>
      <c r="K249" s="2"/>
      <c r="L249" s="2"/>
    </row>
    <row r="250" spans="1:12" customFormat="1" ht="16" x14ac:dyDescent="0.2">
      <c r="A250" s="2" t="s">
        <v>8</v>
      </c>
      <c r="B250" s="2" t="s">
        <v>17</v>
      </c>
      <c r="C250" s="2"/>
      <c r="D250" s="2"/>
      <c r="E250" s="2"/>
      <c r="F250" s="2"/>
      <c r="G250" s="2"/>
      <c r="H250" s="2"/>
      <c r="I250" s="2"/>
      <c r="J250" s="2"/>
      <c r="K250" s="2"/>
      <c r="L250" s="2"/>
    </row>
    <row r="251" spans="1:12" customFormat="1" ht="16" x14ac:dyDescent="0.2">
      <c r="A251" s="1" t="s">
        <v>10</v>
      </c>
      <c r="B251" s="2"/>
      <c r="C251" s="2"/>
      <c r="D251" s="2"/>
      <c r="E251" s="2"/>
      <c r="F251" s="2"/>
      <c r="G251" s="2"/>
      <c r="H251" s="2"/>
      <c r="I251" s="2"/>
      <c r="J251" s="2"/>
      <c r="K251" s="2"/>
      <c r="L251" s="2"/>
    </row>
    <row r="252" spans="1:12" x14ac:dyDescent="0.2">
      <c r="A252" s="17" t="s">
        <v>11</v>
      </c>
      <c r="B252" s="17" t="s">
        <v>12</v>
      </c>
      <c r="C252" s="17" t="s">
        <v>3</v>
      </c>
      <c r="D252" s="17" t="s">
        <v>13</v>
      </c>
      <c r="E252" s="17" t="s">
        <v>8</v>
      </c>
      <c r="F252" s="17" t="s">
        <v>6</v>
      </c>
      <c r="G252" s="17" t="s">
        <v>5</v>
      </c>
      <c r="H252" s="17" t="s">
        <v>153</v>
      </c>
    </row>
    <row r="253" spans="1:12" customFormat="1" ht="16" x14ac:dyDescent="0.2">
      <c r="A253" s="2" t="str">
        <f>B245</f>
        <v>biodiesel, burned in heavy-duty vehicle</v>
      </c>
      <c r="B253" s="2">
        <v>1</v>
      </c>
      <c r="C253" s="2" t="str">
        <f>B246</f>
        <v>RER</v>
      </c>
      <c r="D253" s="2"/>
      <c r="E253" s="2" t="str">
        <f>B250</f>
        <v>megajoule</v>
      </c>
      <c r="F253" s="2" t="s">
        <v>19</v>
      </c>
      <c r="G253" s="2"/>
      <c r="H253" s="2"/>
      <c r="I253" s="2"/>
      <c r="J253" s="2"/>
      <c r="K253" s="2"/>
      <c r="L253" s="2"/>
    </row>
    <row r="254" spans="1:12" customFormat="1" ht="16" x14ac:dyDescent="0.2">
      <c r="A254" s="2" t="s">
        <v>178</v>
      </c>
      <c r="B254">
        <f>1/38</f>
        <v>2.6315789473684209E-2</v>
      </c>
      <c r="C254" t="s">
        <v>18</v>
      </c>
      <c r="E254" t="s">
        <v>9</v>
      </c>
      <c r="F254" t="s">
        <v>23</v>
      </c>
      <c r="G254" t="s">
        <v>179</v>
      </c>
      <c r="H254" t="s">
        <v>296</v>
      </c>
      <c r="J254" s="2"/>
    </row>
    <row r="255" spans="1:12" customFormat="1" ht="16" x14ac:dyDescent="0.2">
      <c r="A255" s="2" t="s">
        <v>146</v>
      </c>
      <c r="B255">
        <f>1000/1000000/8.57</f>
        <v>1.1668611435239206E-4</v>
      </c>
      <c r="C255" t="s">
        <v>18</v>
      </c>
      <c r="E255" t="s">
        <v>9</v>
      </c>
      <c r="F255" t="s">
        <v>23</v>
      </c>
      <c r="G255" t="s">
        <v>146</v>
      </c>
      <c r="J255" s="2"/>
    </row>
    <row r="256" spans="1:12" customFormat="1" ht="16" x14ac:dyDescent="0.2">
      <c r="A256" t="s">
        <v>45</v>
      </c>
      <c r="B256" s="3">
        <v>9.0891902402005496E-8</v>
      </c>
      <c r="D256" t="s">
        <v>14</v>
      </c>
      <c r="E256" t="s">
        <v>9</v>
      </c>
      <c r="F256" s="2" t="s">
        <v>15</v>
      </c>
      <c r="G256" s="3"/>
      <c r="I256" s="3"/>
      <c r="J256" s="2"/>
    </row>
    <row r="257" spans="1:10" customFormat="1" ht="16" x14ac:dyDescent="0.2">
      <c r="A257" t="s">
        <v>47</v>
      </c>
      <c r="B257" s="3">
        <v>3.5203209464194309E-8</v>
      </c>
      <c r="D257" t="s">
        <v>14</v>
      </c>
      <c r="E257" t="s">
        <v>9</v>
      </c>
      <c r="F257" s="2" t="s">
        <v>15</v>
      </c>
      <c r="G257" s="3"/>
      <c r="J257" s="2"/>
    </row>
    <row r="258" spans="1:10" customFormat="1" ht="16" x14ac:dyDescent="0.2">
      <c r="A258" t="s">
        <v>48</v>
      </c>
      <c r="B258" s="3">
        <v>2.2775546498939349E-7</v>
      </c>
      <c r="D258" t="s">
        <v>14</v>
      </c>
      <c r="E258" t="s">
        <v>9</v>
      </c>
      <c r="F258" s="2" t="s">
        <v>15</v>
      </c>
      <c r="G258" s="3"/>
      <c r="J258" s="2"/>
    </row>
    <row r="259" spans="1:10" customFormat="1" ht="16" x14ac:dyDescent="0.2">
      <c r="A259" t="s">
        <v>90</v>
      </c>
      <c r="B259" s="3">
        <v>2.3255813953488445E-12</v>
      </c>
      <c r="D259" t="s">
        <v>14</v>
      </c>
      <c r="E259" t="s">
        <v>9</v>
      </c>
      <c r="F259" s="2" t="s">
        <v>15</v>
      </c>
      <c r="G259" s="3"/>
      <c r="J259" s="2"/>
    </row>
    <row r="260" spans="1:10" customFormat="1" ht="16" x14ac:dyDescent="0.2">
      <c r="A260" t="s">
        <v>49</v>
      </c>
      <c r="B260" s="3">
        <v>2.7247681901736397E-8</v>
      </c>
      <c r="D260" t="s">
        <v>14</v>
      </c>
      <c r="E260" t="s">
        <v>9</v>
      </c>
      <c r="F260" s="2" t="s">
        <v>15</v>
      </c>
      <c r="G260" s="3"/>
      <c r="J260" s="2"/>
    </row>
    <row r="261" spans="1:10" customFormat="1" ht="16" x14ac:dyDescent="0.2">
      <c r="A261" t="s">
        <v>50</v>
      </c>
      <c r="B261" s="3">
        <v>1.3922173234392214E-9</v>
      </c>
      <c r="D261" t="s">
        <v>14</v>
      </c>
      <c r="E261" t="s">
        <v>9</v>
      </c>
      <c r="F261" s="2" t="s">
        <v>15</v>
      </c>
      <c r="G261" s="3"/>
      <c r="J261" s="2"/>
    </row>
    <row r="262" spans="1:10" customFormat="1" ht="16" x14ac:dyDescent="0.2">
      <c r="A262" t="s">
        <v>51</v>
      </c>
      <c r="B262" s="3">
        <v>2.9833228359550366E-9</v>
      </c>
      <c r="D262" t="s">
        <v>14</v>
      </c>
      <c r="E262" t="s">
        <v>9</v>
      </c>
      <c r="F262" s="2" t="s">
        <v>15</v>
      </c>
      <c r="G262" s="3"/>
      <c r="J262" s="2"/>
    </row>
    <row r="263" spans="1:10" customFormat="1" ht="16" x14ac:dyDescent="0.2">
      <c r="A263" t="s">
        <v>52</v>
      </c>
      <c r="B263" s="3">
        <v>2.0232558139597954E-10</v>
      </c>
      <c r="D263" t="s">
        <v>14</v>
      </c>
      <c r="E263" t="s">
        <v>9</v>
      </c>
      <c r="F263" s="2" t="s">
        <v>15</v>
      </c>
      <c r="G263" s="3"/>
      <c r="J263" s="2"/>
    </row>
    <row r="264" spans="1:10" customFormat="1" ht="16" x14ac:dyDescent="0.2">
      <c r="A264" t="s">
        <v>123</v>
      </c>
      <c r="B264">
        <f>B254*3.15</f>
        <v>8.2894736842105257E-2</v>
      </c>
      <c r="D264" t="s">
        <v>14</v>
      </c>
      <c r="E264" t="s">
        <v>9</v>
      </c>
      <c r="F264" s="2" t="s">
        <v>15</v>
      </c>
      <c r="G264" s="3"/>
      <c r="H264" s="3"/>
      <c r="J264" s="2"/>
    </row>
    <row r="265" spans="1:10" customFormat="1" ht="16" x14ac:dyDescent="0.2">
      <c r="A265" t="s">
        <v>124</v>
      </c>
      <c r="B265" s="3">
        <v>6.3521092350262397E-5</v>
      </c>
      <c r="D265" t="s">
        <v>14</v>
      </c>
      <c r="E265" t="s">
        <v>9</v>
      </c>
      <c r="F265" s="2" t="s">
        <v>15</v>
      </c>
      <c r="G265" s="3"/>
      <c r="J265" s="2"/>
    </row>
    <row r="266" spans="1:10" customFormat="1" ht="16" x14ac:dyDescent="0.2">
      <c r="A266" t="s">
        <v>55</v>
      </c>
      <c r="B266" s="3">
        <v>6.9767441860586501E-10</v>
      </c>
      <c r="D266" t="s">
        <v>14</v>
      </c>
      <c r="E266" t="s">
        <v>9</v>
      </c>
      <c r="F266" s="2" t="s">
        <v>15</v>
      </c>
      <c r="G266" s="3"/>
      <c r="J266" s="2"/>
    </row>
    <row r="267" spans="1:10" customFormat="1" ht="16" x14ac:dyDescent="0.2">
      <c r="A267" t="s">
        <v>56</v>
      </c>
      <c r="B267" s="3">
        <v>1.3953488372165768E-12</v>
      </c>
      <c r="D267" t="s">
        <v>14</v>
      </c>
      <c r="E267" t="s">
        <v>9</v>
      </c>
      <c r="F267" s="2" t="s">
        <v>15</v>
      </c>
      <c r="G267" s="3"/>
      <c r="J267" s="2"/>
    </row>
    <row r="268" spans="1:10" customFormat="1" ht="16" x14ac:dyDescent="0.2">
      <c r="A268" t="s">
        <v>57</v>
      </c>
      <c r="B268" s="3">
        <v>4.9302325581458507E-10</v>
      </c>
      <c r="D268" t="s">
        <v>14</v>
      </c>
      <c r="E268" t="s">
        <v>9</v>
      </c>
      <c r="F268" s="2" t="s">
        <v>15</v>
      </c>
      <c r="G268" s="3"/>
      <c r="J268" s="2"/>
    </row>
    <row r="269" spans="1:10" customFormat="1" ht="16" x14ac:dyDescent="0.2">
      <c r="A269" t="s">
        <v>58</v>
      </c>
      <c r="B269" s="3">
        <v>3.7969387682723317E-6</v>
      </c>
      <c r="D269" t="s">
        <v>14</v>
      </c>
      <c r="E269" t="s">
        <v>9</v>
      </c>
      <c r="F269" s="2" t="s">
        <v>15</v>
      </c>
      <c r="G269" s="3"/>
      <c r="J269" s="2"/>
    </row>
    <row r="270" spans="1:10" customFormat="1" ht="16" x14ac:dyDescent="0.2">
      <c r="A270" t="s">
        <v>59</v>
      </c>
      <c r="B270" s="3">
        <v>5.966645671897956E-10</v>
      </c>
      <c r="D270" t="s">
        <v>14</v>
      </c>
      <c r="E270" t="s">
        <v>9</v>
      </c>
      <c r="F270" s="2" t="s">
        <v>15</v>
      </c>
      <c r="G270" s="3"/>
      <c r="J270" s="2"/>
    </row>
    <row r="271" spans="1:10" customFormat="1" ht="16" x14ac:dyDescent="0.2">
      <c r="A271" t="s">
        <v>61</v>
      </c>
      <c r="B271" s="3">
        <v>1.6706607881343357E-7</v>
      </c>
      <c r="D271" t="s">
        <v>14</v>
      </c>
      <c r="E271" t="s">
        <v>9</v>
      </c>
      <c r="F271" s="2" t="s">
        <v>15</v>
      </c>
      <c r="G271" s="3"/>
      <c r="J271" s="2"/>
    </row>
    <row r="272" spans="1:10" customFormat="1" ht="16" x14ac:dyDescent="0.2">
      <c r="A272" t="s">
        <v>62</v>
      </c>
      <c r="B272" s="3">
        <v>5.9666456718979566E-9</v>
      </c>
      <c r="D272" t="s">
        <v>14</v>
      </c>
      <c r="E272" t="s">
        <v>9</v>
      </c>
      <c r="F272" s="2" t="s">
        <v>15</v>
      </c>
      <c r="G272" s="3"/>
      <c r="J272" s="2"/>
    </row>
    <row r="273" spans="1:10" customFormat="1" ht="16" x14ac:dyDescent="0.2">
      <c r="A273" t="s">
        <v>63</v>
      </c>
      <c r="B273" s="3">
        <v>1.2116279069793652E-9</v>
      </c>
      <c r="D273" t="s">
        <v>14</v>
      </c>
      <c r="E273" t="s">
        <v>9</v>
      </c>
      <c r="F273" s="2" t="s">
        <v>15</v>
      </c>
      <c r="G273" s="3"/>
      <c r="J273" s="2"/>
    </row>
    <row r="274" spans="1:10" customFormat="1" ht="16" x14ac:dyDescent="0.2">
      <c r="A274" t="s">
        <v>64</v>
      </c>
      <c r="B274" s="3">
        <v>1.2325581395334337E-10</v>
      </c>
      <c r="D274" t="s">
        <v>14</v>
      </c>
      <c r="E274" t="s">
        <v>9</v>
      </c>
      <c r="F274" s="2" t="s">
        <v>15</v>
      </c>
      <c r="G274" s="3"/>
      <c r="J274" s="2"/>
    </row>
    <row r="275" spans="1:10" customFormat="1" ht="16" x14ac:dyDescent="0.2">
      <c r="A275" t="s">
        <v>65</v>
      </c>
      <c r="B275" s="3">
        <v>4.890693292186907E-8</v>
      </c>
      <c r="D275" t="s">
        <v>14</v>
      </c>
      <c r="E275" t="s">
        <v>9</v>
      </c>
      <c r="F275" s="2" t="s">
        <v>15</v>
      </c>
      <c r="G275" s="3"/>
      <c r="J275" s="2"/>
    </row>
    <row r="276" spans="1:10" customFormat="1" ht="16" x14ac:dyDescent="0.2">
      <c r="A276" t="s">
        <v>67</v>
      </c>
      <c r="B276" s="3">
        <v>1.6155687597619975E-6</v>
      </c>
      <c r="D276" t="s">
        <v>14</v>
      </c>
      <c r="E276" t="s">
        <v>9</v>
      </c>
      <c r="F276" s="2" t="s">
        <v>15</v>
      </c>
      <c r="G276" s="3"/>
      <c r="J276" s="2"/>
    </row>
    <row r="277" spans="1:10" customFormat="1" ht="16" x14ac:dyDescent="0.2">
      <c r="A277" t="s">
        <v>68</v>
      </c>
      <c r="B277" s="3">
        <v>2.0465116279127991E-10</v>
      </c>
      <c r="D277" t="s">
        <v>14</v>
      </c>
      <c r="E277" t="s">
        <v>9</v>
      </c>
      <c r="F277" s="2" t="s">
        <v>15</v>
      </c>
      <c r="G277" s="3"/>
      <c r="J277" s="2"/>
    </row>
    <row r="278" spans="1:10" customFormat="1" ht="16" x14ac:dyDescent="0.2">
      <c r="A278" t="s">
        <v>69</v>
      </c>
      <c r="B278" s="3">
        <v>3.1855518160413698E-5</v>
      </c>
      <c r="D278" t="s">
        <v>14</v>
      </c>
      <c r="E278" t="s">
        <v>9</v>
      </c>
      <c r="F278" s="2" t="s">
        <v>15</v>
      </c>
      <c r="G278" s="3"/>
      <c r="J278" s="2"/>
    </row>
    <row r="279" spans="1:10" customFormat="1" ht="16" x14ac:dyDescent="0.2">
      <c r="A279" t="s">
        <v>70</v>
      </c>
      <c r="B279" s="3">
        <v>1.8186046511685154E-9</v>
      </c>
      <c r="D279" t="s">
        <v>14</v>
      </c>
      <c r="E279" t="s">
        <v>9</v>
      </c>
      <c r="F279" s="2" t="s">
        <v>15</v>
      </c>
      <c r="G279" s="3"/>
      <c r="J279" s="2"/>
    </row>
    <row r="280" spans="1:10" customFormat="1" ht="16" x14ac:dyDescent="0.2">
      <c r="A280" t="s">
        <v>71</v>
      </c>
      <c r="B280" s="3">
        <v>2.8746541895445575E-7</v>
      </c>
      <c r="D280" t="s">
        <v>14</v>
      </c>
      <c r="E280" t="s">
        <v>9</v>
      </c>
      <c r="F280" s="2" t="s">
        <v>15</v>
      </c>
      <c r="G280" s="3"/>
      <c r="J280" s="2"/>
    </row>
    <row r="281" spans="1:10" customFormat="1" ht="16" x14ac:dyDescent="0.2">
      <c r="A281" t="s">
        <v>72</v>
      </c>
      <c r="B281" s="3">
        <v>1.193329134380803E-9</v>
      </c>
      <c r="D281" t="s">
        <v>14</v>
      </c>
      <c r="E281" t="s">
        <v>9</v>
      </c>
      <c r="F281" s="2" t="s">
        <v>15</v>
      </c>
      <c r="G281" s="3"/>
      <c r="J281" s="2"/>
    </row>
    <row r="282" spans="1:10" customFormat="1" ht="16" x14ac:dyDescent="0.2">
      <c r="A282" t="s">
        <v>73</v>
      </c>
      <c r="B282" s="3">
        <v>1.9888818906326523E-9</v>
      </c>
      <c r="D282" t="s">
        <v>14</v>
      </c>
      <c r="E282" t="s">
        <v>9</v>
      </c>
      <c r="F282" s="2" t="s">
        <v>15</v>
      </c>
      <c r="G282" s="3"/>
      <c r="J282" s="2"/>
    </row>
    <row r="283" spans="1:10" customFormat="1" ht="16" x14ac:dyDescent="0.2">
      <c r="A283" t="s">
        <v>75</v>
      </c>
      <c r="B283" s="3">
        <v>2.3255813953488445E-12</v>
      </c>
      <c r="D283" t="s">
        <v>14</v>
      </c>
      <c r="E283" t="s">
        <v>9</v>
      </c>
      <c r="F283" s="2" t="s">
        <v>15</v>
      </c>
      <c r="G283" s="3"/>
      <c r="J283" s="2"/>
    </row>
    <row r="284" spans="1:10" customFormat="1" ht="16" x14ac:dyDescent="0.2">
      <c r="A284" t="s">
        <v>76</v>
      </c>
      <c r="B284" s="3">
        <v>1.1137738587550121E-8</v>
      </c>
      <c r="D284" t="s">
        <v>14</v>
      </c>
      <c r="E284" t="s">
        <v>9</v>
      </c>
      <c r="F284" s="2" t="s">
        <v>15</v>
      </c>
      <c r="G284" s="3"/>
      <c r="J284" s="2"/>
    </row>
    <row r="285" spans="1:10" customFormat="1" ht="16" x14ac:dyDescent="0.2">
      <c r="A285" t="s">
        <v>77</v>
      </c>
      <c r="B285" s="3">
        <v>3.7893614887488559E-7</v>
      </c>
      <c r="D285" t="s">
        <v>14</v>
      </c>
      <c r="E285" t="s">
        <v>9</v>
      </c>
      <c r="F285" s="2" t="s">
        <v>15</v>
      </c>
      <c r="G285" s="3"/>
      <c r="J285" s="2"/>
    </row>
    <row r="286" spans="1:10" customFormat="1" ht="16" x14ac:dyDescent="0.2">
      <c r="A286" t="s">
        <v>78</v>
      </c>
      <c r="B286" s="3">
        <v>1.9888818906326521E-10</v>
      </c>
      <c r="D286" t="s">
        <v>14</v>
      </c>
      <c r="E286" t="s">
        <v>9</v>
      </c>
      <c r="F286" s="2" t="s">
        <v>15</v>
      </c>
      <c r="G286" s="3"/>
      <c r="J286" s="2"/>
    </row>
    <row r="287" spans="1:10" customFormat="1" ht="16" x14ac:dyDescent="0.2">
      <c r="A287" t="s">
        <v>79</v>
      </c>
      <c r="B287" s="3">
        <v>4.04186046512172E-8</v>
      </c>
      <c r="D287" t="s">
        <v>14</v>
      </c>
      <c r="E287" t="s">
        <v>9</v>
      </c>
      <c r="F287" s="2" t="s">
        <v>15</v>
      </c>
      <c r="G287" s="3"/>
      <c r="J287" s="2"/>
    </row>
    <row r="288" spans="1:10" customFormat="1" ht="16" x14ac:dyDescent="0.2">
      <c r="A288" t="s">
        <v>80</v>
      </c>
      <c r="B288" s="3">
        <v>1.9491042528173333E-8</v>
      </c>
      <c r="D288" t="s">
        <v>14</v>
      </c>
      <c r="E288" t="s">
        <v>9</v>
      </c>
      <c r="F288" s="2" t="s">
        <v>15</v>
      </c>
      <c r="G288" s="3"/>
      <c r="J288" s="2"/>
    </row>
    <row r="289" spans="1:12" customFormat="1" ht="16" x14ac:dyDescent="0.2">
      <c r="A289" t="s">
        <v>81</v>
      </c>
      <c r="B289" s="3">
        <v>7.9555275625427259E-9</v>
      </c>
      <c r="D289" t="s">
        <v>14</v>
      </c>
      <c r="E289" t="s">
        <v>9</v>
      </c>
      <c r="F289" s="2" t="s">
        <v>15</v>
      </c>
      <c r="G289" s="3"/>
      <c r="J289" s="2"/>
    </row>
    <row r="290" spans="1:12" customFormat="1" ht="16" x14ac:dyDescent="0.2">
      <c r="J290" s="2"/>
    </row>
    <row r="291" spans="1:12" x14ac:dyDescent="0.2">
      <c r="A291" s="17" t="s">
        <v>2</v>
      </c>
      <c r="B291" s="17" t="s">
        <v>132</v>
      </c>
    </row>
    <row r="292" spans="1:12" customFormat="1" ht="16" x14ac:dyDescent="0.2">
      <c r="A292" s="2" t="s">
        <v>3</v>
      </c>
      <c r="B292" s="2" t="s">
        <v>18</v>
      </c>
      <c r="C292" s="2"/>
      <c r="D292" s="2"/>
      <c r="E292" s="2"/>
      <c r="F292" s="2"/>
      <c r="G292" s="2"/>
      <c r="H292" s="2"/>
      <c r="I292" s="2"/>
      <c r="J292" s="2"/>
      <c r="K292" s="2"/>
      <c r="L292" s="2"/>
    </row>
    <row r="293" spans="1:12" customFormat="1" ht="16" x14ac:dyDescent="0.2">
      <c r="A293" s="2" t="s">
        <v>4</v>
      </c>
      <c r="B293" s="2">
        <v>1</v>
      </c>
      <c r="C293" s="2"/>
      <c r="D293" s="2"/>
      <c r="E293" s="2"/>
      <c r="F293" s="2"/>
      <c r="G293" s="2"/>
      <c r="H293" s="2"/>
      <c r="I293" s="2"/>
      <c r="J293" s="2"/>
      <c r="K293" s="2"/>
      <c r="L293" s="2"/>
    </row>
    <row r="294" spans="1:12" customFormat="1" ht="16" x14ac:dyDescent="0.2">
      <c r="A294" s="2" t="s">
        <v>5</v>
      </c>
      <c r="B294" s="2" t="s">
        <v>1</v>
      </c>
      <c r="C294" s="2"/>
      <c r="D294" s="2"/>
      <c r="E294" s="2"/>
      <c r="F294" s="2"/>
      <c r="G294" s="2"/>
      <c r="H294" s="2"/>
      <c r="I294" s="2"/>
      <c r="J294" s="2"/>
    </row>
    <row r="295" spans="1:12" customFormat="1" ht="16" x14ac:dyDescent="0.2">
      <c r="A295" s="2" t="s">
        <v>6</v>
      </c>
      <c r="B295" s="2" t="s">
        <v>7</v>
      </c>
      <c r="C295" s="2"/>
      <c r="D295" s="2"/>
      <c r="E295" s="2"/>
      <c r="F295" s="2"/>
      <c r="G295" s="2"/>
      <c r="H295" s="2"/>
      <c r="I295" s="2"/>
      <c r="J295" s="2"/>
      <c r="K295" s="2"/>
      <c r="L295" s="2"/>
    </row>
    <row r="296" spans="1:12" customFormat="1" ht="16" x14ac:dyDescent="0.2">
      <c r="A296" s="2" t="s">
        <v>8</v>
      </c>
      <c r="B296" s="2" t="s">
        <v>17</v>
      </c>
      <c r="C296" s="2"/>
      <c r="D296" s="2"/>
      <c r="E296" s="2"/>
      <c r="F296" s="2"/>
      <c r="G296" s="2"/>
      <c r="H296" s="2"/>
      <c r="I296" s="2"/>
      <c r="J296" s="2"/>
      <c r="K296" s="2"/>
      <c r="L296" s="2"/>
    </row>
    <row r="297" spans="1:12" customFormat="1" ht="16" x14ac:dyDescent="0.2">
      <c r="A297" s="1" t="s">
        <v>10</v>
      </c>
      <c r="B297" s="2"/>
      <c r="C297" s="2"/>
      <c r="D297" s="2"/>
      <c r="E297" s="2"/>
      <c r="F297" s="2"/>
      <c r="G297" s="2"/>
      <c r="H297" s="2"/>
      <c r="I297" s="2"/>
      <c r="J297" s="2"/>
      <c r="K297" s="2"/>
      <c r="L297" s="2"/>
    </row>
    <row r="298" spans="1:12" x14ac:dyDescent="0.2">
      <c r="A298" s="17" t="s">
        <v>11</v>
      </c>
      <c r="B298" s="17" t="s">
        <v>12</v>
      </c>
      <c r="C298" s="17" t="s">
        <v>3</v>
      </c>
      <c r="D298" s="17" t="s">
        <v>13</v>
      </c>
      <c r="E298" s="17" t="s">
        <v>8</v>
      </c>
      <c r="F298" s="17" t="s">
        <v>6</v>
      </c>
      <c r="G298" s="17" t="s">
        <v>5</v>
      </c>
    </row>
    <row r="299" spans="1:12" customFormat="1" ht="16" x14ac:dyDescent="0.2">
      <c r="A299" s="2" t="str">
        <f>B291</f>
        <v>diesel from coal, burned in heavy-duty vehicle</v>
      </c>
      <c r="B299" s="2">
        <v>1</v>
      </c>
      <c r="C299" s="2" t="str">
        <f>B292</f>
        <v>RER</v>
      </c>
      <c r="D299" s="2"/>
      <c r="E299" s="2" t="str">
        <f>B296</f>
        <v>megajoule</v>
      </c>
      <c r="F299" s="2" t="s">
        <v>19</v>
      </c>
      <c r="G299" s="2"/>
      <c r="H299" s="2"/>
      <c r="I299" s="2"/>
      <c r="J299" s="2"/>
      <c r="K299" s="2"/>
      <c r="L299" s="2"/>
    </row>
    <row r="300" spans="1:12" customFormat="1" ht="16" x14ac:dyDescent="0.2">
      <c r="A300" s="2" t="s">
        <v>133</v>
      </c>
      <c r="B300">
        <f>1/43</f>
        <v>2.3255813953488372E-2</v>
      </c>
      <c r="C300" t="s">
        <v>18</v>
      </c>
      <c r="E300" t="s">
        <v>9</v>
      </c>
      <c r="F300" t="s">
        <v>23</v>
      </c>
      <c r="G300" t="s">
        <v>134</v>
      </c>
      <c r="J300" s="2"/>
    </row>
    <row r="301" spans="1:12" customFormat="1" ht="16" x14ac:dyDescent="0.2">
      <c r="A301" s="2" t="s">
        <v>146</v>
      </c>
      <c r="B301">
        <f>1000/1000000/8.57</f>
        <v>1.1668611435239206E-4</v>
      </c>
      <c r="C301" t="s">
        <v>18</v>
      </c>
      <c r="E301" t="s">
        <v>9</v>
      </c>
      <c r="F301" t="s">
        <v>23</v>
      </c>
      <c r="G301" t="s">
        <v>146</v>
      </c>
      <c r="J301" s="2"/>
    </row>
    <row r="302" spans="1:12" customFormat="1" ht="16" x14ac:dyDescent="0.2">
      <c r="A302" t="s">
        <v>45</v>
      </c>
      <c r="B302" s="3">
        <v>9.0891902402005496E-8</v>
      </c>
      <c r="D302" t="s">
        <v>14</v>
      </c>
      <c r="E302" t="s">
        <v>9</v>
      </c>
      <c r="F302" s="2" t="s">
        <v>15</v>
      </c>
      <c r="G302" s="3"/>
      <c r="I302" s="3"/>
      <c r="J302" s="2"/>
    </row>
    <row r="303" spans="1:12" customFormat="1" ht="16" x14ac:dyDescent="0.2">
      <c r="A303" t="s">
        <v>47</v>
      </c>
      <c r="B303" s="3">
        <v>3.5203209464194309E-8</v>
      </c>
      <c r="D303" t="s">
        <v>14</v>
      </c>
      <c r="E303" t="s">
        <v>9</v>
      </c>
      <c r="F303" s="2" t="s">
        <v>15</v>
      </c>
      <c r="G303" s="3"/>
      <c r="J303" s="2"/>
    </row>
    <row r="304" spans="1:12" customFormat="1" ht="16" x14ac:dyDescent="0.2">
      <c r="A304" t="s">
        <v>48</v>
      </c>
      <c r="B304" s="3">
        <v>2.2775546498939349E-7</v>
      </c>
      <c r="D304" t="s">
        <v>14</v>
      </c>
      <c r="E304" t="s">
        <v>9</v>
      </c>
      <c r="F304" s="2" t="s">
        <v>15</v>
      </c>
      <c r="G304" s="3"/>
      <c r="J304" s="2"/>
    </row>
    <row r="305" spans="1:10" customFormat="1" ht="16" x14ac:dyDescent="0.2">
      <c r="A305" t="s">
        <v>90</v>
      </c>
      <c r="B305" s="3">
        <v>2.3255813953488445E-12</v>
      </c>
      <c r="D305" t="s">
        <v>14</v>
      </c>
      <c r="E305" t="s">
        <v>9</v>
      </c>
      <c r="F305" s="2" t="s">
        <v>15</v>
      </c>
      <c r="G305" s="3"/>
      <c r="J305" s="2"/>
    </row>
    <row r="306" spans="1:10" customFormat="1" ht="16" x14ac:dyDescent="0.2">
      <c r="A306" t="s">
        <v>49</v>
      </c>
      <c r="B306" s="3">
        <v>2.7247681901736397E-8</v>
      </c>
      <c r="D306" t="s">
        <v>14</v>
      </c>
      <c r="E306" t="s">
        <v>9</v>
      </c>
      <c r="F306" s="2" t="s">
        <v>15</v>
      </c>
      <c r="G306" s="3"/>
      <c r="J306" s="2"/>
    </row>
    <row r="307" spans="1:10" customFormat="1" ht="16" x14ac:dyDescent="0.2">
      <c r="A307" t="s">
        <v>50</v>
      </c>
      <c r="B307" s="3">
        <v>1.3922173234392214E-9</v>
      </c>
      <c r="D307" t="s">
        <v>14</v>
      </c>
      <c r="E307" t="s">
        <v>9</v>
      </c>
      <c r="F307" s="2" t="s">
        <v>15</v>
      </c>
      <c r="G307" s="3"/>
      <c r="J307" s="2"/>
    </row>
    <row r="308" spans="1:10" customFormat="1" ht="16" x14ac:dyDescent="0.2">
      <c r="A308" t="s">
        <v>51</v>
      </c>
      <c r="B308" s="3">
        <v>2.9833228359550366E-9</v>
      </c>
      <c r="D308" t="s">
        <v>14</v>
      </c>
      <c r="E308" t="s">
        <v>9</v>
      </c>
      <c r="F308" s="2" t="s">
        <v>15</v>
      </c>
      <c r="G308" s="3"/>
      <c r="J308" s="2"/>
    </row>
    <row r="309" spans="1:10" customFormat="1" ht="16" x14ac:dyDescent="0.2">
      <c r="A309" t="s">
        <v>52</v>
      </c>
      <c r="B309" s="3">
        <v>2.0232558139597954E-10</v>
      </c>
      <c r="D309" t="s">
        <v>14</v>
      </c>
      <c r="E309" t="s">
        <v>9</v>
      </c>
      <c r="F309" s="2" t="s">
        <v>15</v>
      </c>
      <c r="G309" s="3"/>
      <c r="J309" s="2"/>
    </row>
    <row r="310" spans="1:10" customFormat="1" ht="16" x14ac:dyDescent="0.2">
      <c r="A310" t="s">
        <v>53</v>
      </c>
      <c r="B310">
        <f>B300*3.15</f>
        <v>7.3255813953488375E-2</v>
      </c>
      <c r="D310" t="s">
        <v>14</v>
      </c>
      <c r="E310" t="s">
        <v>9</v>
      </c>
      <c r="F310" s="2" t="s">
        <v>15</v>
      </c>
      <c r="G310" s="3"/>
      <c r="H310" s="3"/>
      <c r="J310" s="2"/>
    </row>
    <row r="311" spans="1:10" customFormat="1" ht="16" x14ac:dyDescent="0.2">
      <c r="A311" t="s">
        <v>54</v>
      </c>
      <c r="B311" s="3">
        <v>6.3521092350262397E-5</v>
      </c>
      <c r="D311" t="s">
        <v>14</v>
      </c>
      <c r="E311" t="s">
        <v>9</v>
      </c>
      <c r="F311" s="2" t="s">
        <v>15</v>
      </c>
      <c r="G311" s="3"/>
      <c r="J311" s="2"/>
    </row>
    <row r="312" spans="1:10" customFormat="1" ht="16" x14ac:dyDescent="0.2">
      <c r="A312" t="s">
        <v>55</v>
      </c>
      <c r="B312" s="3">
        <v>6.9767441860586501E-10</v>
      </c>
      <c r="D312" t="s">
        <v>14</v>
      </c>
      <c r="E312" t="s">
        <v>9</v>
      </c>
      <c r="F312" s="2" t="s">
        <v>15</v>
      </c>
      <c r="G312" s="3"/>
      <c r="J312" s="2"/>
    </row>
    <row r="313" spans="1:10" customFormat="1" ht="16" x14ac:dyDescent="0.2">
      <c r="A313" t="s">
        <v>56</v>
      </c>
      <c r="B313" s="3">
        <v>1.3953488372165768E-12</v>
      </c>
      <c r="D313" t="s">
        <v>14</v>
      </c>
      <c r="E313" t="s">
        <v>9</v>
      </c>
      <c r="F313" s="2" t="s">
        <v>15</v>
      </c>
      <c r="G313" s="3"/>
      <c r="J313" s="2"/>
    </row>
    <row r="314" spans="1:10" customFormat="1" ht="16" x14ac:dyDescent="0.2">
      <c r="A314" t="s">
        <v>57</v>
      </c>
      <c r="B314" s="3">
        <v>4.9302325581458507E-10</v>
      </c>
      <c r="D314" t="s">
        <v>14</v>
      </c>
      <c r="E314" t="s">
        <v>9</v>
      </c>
      <c r="F314" s="2" t="s">
        <v>15</v>
      </c>
      <c r="G314" s="3"/>
      <c r="J314" s="2"/>
    </row>
    <row r="315" spans="1:10" customFormat="1" ht="16" x14ac:dyDescent="0.2">
      <c r="A315" t="s">
        <v>58</v>
      </c>
      <c r="B315" s="3">
        <v>3.7969387682723317E-6</v>
      </c>
      <c r="D315" t="s">
        <v>14</v>
      </c>
      <c r="E315" t="s">
        <v>9</v>
      </c>
      <c r="F315" s="2" t="s">
        <v>15</v>
      </c>
      <c r="G315" s="3"/>
      <c r="J315" s="2"/>
    </row>
    <row r="316" spans="1:10" customFormat="1" ht="16" x14ac:dyDescent="0.2">
      <c r="A316" t="s">
        <v>59</v>
      </c>
      <c r="B316" s="3">
        <v>5.966645671897956E-10</v>
      </c>
      <c r="D316" t="s">
        <v>14</v>
      </c>
      <c r="E316" t="s">
        <v>9</v>
      </c>
      <c r="F316" s="2" t="s">
        <v>15</v>
      </c>
      <c r="G316" s="3"/>
      <c r="J316" s="2"/>
    </row>
    <row r="317" spans="1:10" customFormat="1" ht="16" x14ac:dyDescent="0.2">
      <c r="A317" t="s">
        <v>61</v>
      </c>
      <c r="B317" s="3">
        <v>1.6706607881343357E-7</v>
      </c>
      <c r="D317" t="s">
        <v>14</v>
      </c>
      <c r="E317" t="s">
        <v>9</v>
      </c>
      <c r="F317" s="2" t="s">
        <v>15</v>
      </c>
      <c r="G317" s="3"/>
      <c r="J317" s="2"/>
    </row>
    <row r="318" spans="1:10" customFormat="1" ht="16" x14ac:dyDescent="0.2">
      <c r="A318" t="s">
        <v>62</v>
      </c>
      <c r="B318" s="3">
        <v>5.9666456718979566E-9</v>
      </c>
      <c r="D318" t="s">
        <v>14</v>
      </c>
      <c r="E318" t="s">
        <v>9</v>
      </c>
      <c r="F318" s="2" t="s">
        <v>15</v>
      </c>
      <c r="G318" s="3"/>
      <c r="J318" s="2"/>
    </row>
    <row r="319" spans="1:10" customFormat="1" ht="16" x14ac:dyDescent="0.2">
      <c r="A319" t="s">
        <v>63</v>
      </c>
      <c r="B319" s="3">
        <v>1.2116279069793652E-9</v>
      </c>
      <c r="D319" t="s">
        <v>14</v>
      </c>
      <c r="E319" t="s">
        <v>9</v>
      </c>
      <c r="F319" s="2" t="s">
        <v>15</v>
      </c>
      <c r="G319" s="3"/>
      <c r="J319" s="2"/>
    </row>
    <row r="320" spans="1:10" customFormat="1" ht="16" x14ac:dyDescent="0.2">
      <c r="A320" t="s">
        <v>64</v>
      </c>
      <c r="B320" s="3">
        <v>1.2325581395334337E-10</v>
      </c>
      <c r="D320" t="s">
        <v>14</v>
      </c>
      <c r="E320" t="s">
        <v>9</v>
      </c>
      <c r="F320" s="2" t="s">
        <v>15</v>
      </c>
      <c r="G320" s="3"/>
      <c r="J320" s="2"/>
    </row>
    <row r="321" spans="1:10" customFormat="1" ht="16" x14ac:dyDescent="0.2">
      <c r="A321" t="s">
        <v>65</v>
      </c>
      <c r="B321" s="3">
        <v>4.890693292186907E-8</v>
      </c>
      <c r="D321" t="s">
        <v>14</v>
      </c>
      <c r="E321" t="s">
        <v>9</v>
      </c>
      <c r="F321" s="2" t="s">
        <v>15</v>
      </c>
      <c r="G321" s="3"/>
      <c r="J321" s="2"/>
    </row>
    <row r="322" spans="1:10" customFormat="1" ht="16" x14ac:dyDescent="0.2">
      <c r="A322" t="s">
        <v>67</v>
      </c>
      <c r="B322" s="3">
        <v>1.6155687597619975E-6</v>
      </c>
      <c r="D322" t="s">
        <v>14</v>
      </c>
      <c r="E322" t="s">
        <v>9</v>
      </c>
      <c r="F322" s="2" t="s">
        <v>15</v>
      </c>
      <c r="G322" s="3"/>
      <c r="J322" s="2"/>
    </row>
    <row r="323" spans="1:10" customFormat="1" ht="16" x14ac:dyDescent="0.2">
      <c r="A323" t="s">
        <v>68</v>
      </c>
      <c r="B323" s="3">
        <v>2.0465116279127991E-10</v>
      </c>
      <c r="D323" t="s">
        <v>14</v>
      </c>
      <c r="E323" t="s">
        <v>9</v>
      </c>
      <c r="F323" s="2" t="s">
        <v>15</v>
      </c>
      <c r="G323" s="3"/>
      <c r="J323" s="2"/>
    </row>
    <row r="324" spans="1:10" customFormat="1" ht="16" x14ac:dyDescent="0.2">
      <c r="A324" t="s">
        <v>69</v>
      </c>
      <c r="B324" s="3">
        <v>3.1855518160413698E-5</v>
      </c>
      <c r="D324" t="s">
        <v>14</v>
      </c>
      <c r="E324" t="s">
        <v>9</v>
      </c>
      <c r="F324" s="2" t="s">
        <v>15</v>
      </c>
      <c r="G324" s="3"/>
      <c r="J324" s="2"/>
    </row>
    <row r="325" spans="1:10" customFormat="1" ht="16" x14ac:dyDescent="0.2">
      <c r="A325" t="s">
        <v>70</v>
      </c>
      <c r="B325" s="3">
        <v>1.8186046511685154E-9</v>
      </c>
      <c r="D325" t="s">
        <v>14</v>
      </c>
      <c r="E325" t="s">
        <v>9</v>
      </c>
      <c r="F325" s="2" t="s">
        <v>15</v>
      </c>
      <c r="G325" s="3"/>
      <c r="J325" s="2"/>
    </row>
    <row r="326" spans="1:10" customFormat="1" ht="16" x14ac:dyDescent="0.2">
      <c r="A326" t="s">
        <v>71</v>
      </c>
      <c r="B326" s="3">
        <v>2.8746541895445575E-7</v>
      </c>
      <c r="D326" t="s">
        <v>14</v>
      </c>
      <c r="E326" t="s">
        <v>9</v>
      </c>
      <c r="F326" s="2" t="s">
        <v>15</v>
      </c>
      <c r="G326" s="3"/>
      <c r="J326" s="2"/>
    </row>
    <row r="327" spans="1:10" customFormat="1" ht="16" x14ac:dyDescent="0.2">
      <c r="A327" t="s">
        <v>72</v>
      </c>
      <c r="B327" s="3">
        <v>1.193329134380803E-9</v>
      </c>
      <c r="D327" t="s">
        <v>14</v>
      </c>
      <c r="E327" t="s">
        <v>9</v>
      </c>
      <c r="F327" s="2" t="s">
        <v>15</v>
      </c>
      <c r="G327" s="3"/>
      <c r="J327" s="2"/>
    </row>
    <row r="328" spans="1:10" customFormat="1" ht="16" x14ac:dyDescent="0.2">
      <c r="A328" t="s">
        <v>73</v>
      </c>
      <c r="B328" s="3">
        <v>1.9888818906326523E-9</v>
      </c>
      <c r="D328" t="s">
        <v>14</v>
      </c>
      <c r="E328" t="s">
        <v>9</v>
      </c>
      <c r="F328" s="2" t="s">
        <v>15</v>
      </c>
      <c r="G328" s="3"/>
      <c r="J328" s="2"/>
    </row>
    <row r="329" spans="1:10" customFormat="1" ht="16" x14ac:dyDescent="0.2">
      <c r="A329" t="s">
        <v>75</v>
      </c>
      <c r="B329" s="3">
        <v>2.3255813953488445E-12</v>
      </c>
      <c r="D329" t="s">
        <v>14</v>
      </c>
      <c r="E329" t="s">
        <v>9</v>
      </c>
      <c r="F329" s="2" t="s">
        <v>15</v>
      </c>
      <c r="G329" s="3"/>
      <c r="J329" s="2"/>
    </row>
    <row r="330" spans="1:10" customFormat="1" ht="16" x14ac:dyDescent="0.2">
      <c r="A330" t="s">
        <v>76</v>
      </c>
      <c r="B330" s="3">
        <v>1.1137738587550121E-8</v>
      </c>
      <c r="D330" t="s">
        <v>14</v>
      </c>
      <c r="E330" t="s">
        <v>9</v>
      </c>
      <c r="F330" s="2" t="s">
        <v>15</v>
      </c>
      <c r="G330" s="3"/>
      <c r="J330" s="2"/>
    </row>
    <row r="331" spans="1:10" customFormat="1" ht="16" x14ac:dyDescent="0.2">
      <c r="A331" t="s">
        <v>77</v>
      </c>
      <c r="B331" s="3">
        <v>3.7893614887488559E-7</v>
      </c>
      <c r="D331" t="s">
        <v>14</v>
      </c>
      <c r="E331" t="s">
        <v>9</v>
      </c>
      <c r="F331" s="2" t="s">
        <v>15</v>
      </c>
      <c r="G331" s="3"/>
      <c r="J331" s="2"/>
    </row>
    <row r="332" spans="1:10" customFormat="1" ht="16" x14ac:dyDescent="0.2">
      <c r="A332" t="s">
        <v>78</v>
      </c>
      <c r="B332" s="3">
        <v>1.9888818906326521E-10</v>
      </c>
      <c r="D332" t="s">
        <v>14</v>
      </c>
      <c r="E332" t="s">
        <v>9</v>
      </c>
      <c r="F332" s="2" t="s">
        <v>15</v>
      </c>
      <c r="G332" s="3"/>
      <c r="J332" s="2"/>
    </row>
    <row r="333" spans="1:10" customFormat="1" ht="16" x14ac:dyDescent="0.2">
      <c r="A333" t="s">
        <v>79</v>
      </c>
      <c r="B333" s="3">
        <v>4.04186046512172E-8</v>
      </c>
      <c r="D333" t="s">
        <v>14</v>
      </c>
      <c r="E333" t="s">
        <v>9</v>
      </c>
      <c r="F333" s="2" t="s">
        <v>15</v>
      </c>
      <c r="G333" s="3"/>
      <c r="J333" s="2"/>
    </row>
    <row r="334" spans="1:10" customFormat="1" ht="16" x14ac:dyDescent="0.2">
      <c r="A334" t="s">
        <v>80</v>
      </c>
      <c r="B334" s="3">
        <v>1.9491042528173333E-8</v>
      </c>
      <c r="D334" t="s">
        <v>14</v>
      </c>
      <c r="E334" t="s">
        <v>9</v>
      </c>
      <c r="F334" s="2" t="s">
        <v>15</v>
      </c>
      <c r="G334" s="3"/>
      <c r="J334" s="2"/>
    </row>
    <row r="335" spans="1:10" customFormat="1" ht="16" x14ac:dyDescent="0.2">
      <c r="A335" t="s">
        <v>81</v>
      </c>
      <c r="B335" s="3">
        <v>7.9555275625427259E-9</v>
      </c>
      <c r="D335" t="s">
        <v>14</v>
      </c>
      <c r="E335" t="s">
        <v>9</v>
      </c>
      <c r="F335" s="2" t="s">
        <v>15</v>
      </c>
      <c r="G335" s="3"/>
      <c r="J335" s="2"/>
    </row>
    <row r="336" spans="1:10" customFormat="1" ht="16" x14ac:dyDescent="0.2">
      <c r="J336" s="2"/>
    </row>
    <row r="337" spans="1:10" x14ac:dyDescent="0.2">
      <c r="A337" s="17" t="s">
        <v>2</v>
      </c>
      <c r="B337" s="17" t="s">
        <v>199</v>
      </c>
    </row>
    <row r="338" spans="1:10" customFormat="1" ht="16" x14ac:dyDescent="0.2">
      <c r="A338" t="s">
        <v>153</v>
      </c>
      <c r="B338" t="s">
        <v>200</v>
      </c>
      <c r="J338" s="2"/>
    </row>
    <row r="339" spans="1:10" customFormat="1" ht="16" x14ac:dyDescent="0.2">
      <c r="A339" t="s">
        <v>201</v>
      </c>
      <c r="B339" t="s">
        <v>202</v>
      </c>
      <c r="J339" s="2"/>
    </row>
    <row r="340" spans="1:10" customFormat="1" ht="16" x14ac:dyDescent="0.2">
      <c r="A340" t="s">
        <v>3</v>
      </c>
      <c r="B340" t="s">
        <v>18</v>
      </c>
      <c r="J340" s="2"/>
    </row>
    <row r="341" spans="1:10" customFormat="1" ht="16" x14ac:dyDescent="0.2">
      <c r="A341" t="s">
        <v>4</v>
      </c>
      <c r="B341">
        <v>1</v>
      </c>
      <c r="J341" s="2"/>
    </row>
    <row r="342" spans="1:10" customFormat="1" ht="16" x14ac:dyDescent="0.2">
      <c r="A342" t="s">
        <v>5</v>
      </c>
      <c r="B342" t="s">
        <v>1</v>
      </c>
      <c r="J342" s="2"/>
    </row>
    <row r="343" spans="1:10" customFormat="1" ht="16" x14ac:dyDescent="0.2">
      <c r="A343" t="s">
        <v>6</v>
      </c>
      <c r="B343" t="s">
        <v>7</v>
      </c>
      <c r="J343" s="2"/>
    </row>
    <row r="344" spans="1:10" customFormat="1" ht="16" x14ac:dyDescent="0.2">
      <c r="A344" t="s">
        <v>8</v>
      </c>
      <c r="B344" t="s">
        <v>17</v>
      </c>
      <c r="J344" s="2"/>
    </row>
    <row r="345" spans="1:10" customFormat="1" ht="16" x14ac:dyDescent="0.2">
      <c r="A345" s="1" t="s">
        <v>10</v>
      </c>
      <c r="J345" s="2"/>
    </row>
    <row r="346" spans="1:10" x14ac:dyDescent="0.2">
      <c r="A346" s="17" t="s">
        <v>11</v>
      </c>
      <c r="B346" s="17" t="s">
        <v>12</v>
      </c>
      <c r="C346" s="17" t="s">
        <v>3</v>
      </c>
      <c r="D346" s="17" t="s">
        <v>13</v>
      </c>
      <c r="E346" s="17" t="s">
        <v>8</v>
      </c>
      <c r="F346" s="17" t="s">
        <v>6</v>
      </c>
      <c r="G346" s="17" t="s">
        <v>5</v>
      </c>
    </row>
    <row r="347" spans="1:10" customFormat="1" ht="16" x14ac:dyDescent="0.2">
      <c r="A347" t="s">
        <v>199</v>
      </c>
      <c r="B347">
        <v>1</v>
      </c>
      <c r="C347" t="s">
        <v>18</v>
      </c>
      <c r="E347" t="s">
        <v>17</v>
      </c>
      <c r="F347" t="s">
        <v>19</v>
      </c>
      <c r="J347" s="2"/>
    </row>
    <row r="348" spans="1:10" customFormat="1" ht="16" x14ac:dyDescent="0.2">
      <c r="A348" t="s">
        <v>203</v>
      </c>
      <c r="B348">
        <v>8.4039805756723712E-6</v>
      </c>
      <c r="C348" t="s">
        <v>18</v>
      </c>
      <c r="E348" t="s">
        <v>9</v>
      </c>
      <c r="F348" t="s">
        <v>23</v>
      </c>
      <c r="G348" t="s">
        <v>204</v>
      </c>
      <c r="J348" s="2"/>
    </row>
    <row r="349" spans="1:10" customFormat="1" ht="16" x14ac:dyDescent="0.2">
      <c r="A349" t="s">
        <v>146</v>
      </c>
      <c r="B349">
        <v>1.3427927506200167E-4</v>
      </c>
      <c r="C349" t="s">
        <v>18</v>
      </c>
      <c r="E349" t="s">
        <v>9</v>
      </c>
      <c r="F349" t="s">
        <v>23</v>
      </c>
      <c r="G349" t="s">
        <v>146</v>
      </c>
      <c r="J349" s="2"/>
    </row>
    <row r="350" spans="1:10" customFormat="1" ht="16" x14ac:dyDescent="0.2">
      <c r="A350" s="2" t="s">
        <v>120</v>
      </c>
      <c r="B350">
        <f>1/43</f>
        <v>2.3255813953488372E-2</v>
      </c>
      <c r="C350" t="s">
        <v>27</v>
      </c>
      <c r="E350" t="s">
        <v>9</v>
      </c>
      <c r="F350" t="s">
        <v>23</v>
      </c>
      <c r="G350" t="s">
        <v>44</v>
      </c>
      <c r="J350" s="2"/>
    </row>
    <row r="351" spans="1:10" customFormat="1" ht="16" x14ac:dyDescent="0.2">
      <c r="A351" t="s">
        <v>45</v>
      </c>
      <c r="B351" s="3">
        <v>7.1455665432553858E-7</v>
      </c>
      <c r="D351" t="s">
        <v>14</v>
      </c>
      <c r="E351" t="s">
        <v>9</v>
      </c>
      <c r="F351" s="2" t="s">
        <v>15</v>
      </c>
      <c r="G351" s="3"/>
      <c r="J351" s="2"/>
    </row>
    <row r="352" spans="1:10" customFormat="1" ht="16" x14ac:dyDescent="0.2">
      <c r="A352" t="s">
        <v>46</v>
      </c>
      <c r="B352" s="3">
        <v>3.2468920124586623E-7</v>
      </c>
      <c r="D352" t="s">
        <v>14</v>
      </c>
      <c r="E352" t="s">
        <v>9</v>
      </c>
      <c r="F352" s="2" t="s">
        <v>15</v>
      </c>
      <c r="G352" s="3"/>
      <c r="J352" s="2"/>
    </row>
    <row r="353" spans="1:10" customFormat="1" ht="16" x14ac:dyDescent="0.2">
      <c r="A353" t="s">
        <v>47</v>
      </c>
      <c r="B353" s="3">
        <v>3.9534349472964383E-7</v>
      </c>
      <c r="D353" t="s">
        <v>14</v>
      </c>
      <c r="E353" t="s">
        <v>9</v>
      </c>
      <c r="F353" s="2" t="s">
        <v>15</v>
      </c>
      <c r="G353" s="3"/>
      <c r="J353" s="2"/>
    </row>
    <row r="354" spans="1:10" customFormat="1" ht="16" x14ac:dyDescent="0.2">
      <c r="A354" t="s">
        <v>48</v>
      </c>
      <c r="B354" s="3">
        <v>3.7209280955662761E-7</v>
      </c>
      <c r="D354" t="s">
        <v>14</v>
      </c>
      <c r="E354" t="s">
        <v>9</v>
      </c>
      <c r="F354" s="2" t="s">
        <v>15</v>
      </c>
      <c r="G354" s="3"/>
      <c r="J354" s="2"/>
    </row>
    <row r="355" spans="1:10" customFormat="1" ht="16" x14ac:dyDescent="0.2">
      <c r="A355" t="s">
        <v>49</v>
      </c>
      <c r="B355" s="3">
        <v>9.4995966427857817E-8</v>
      </c>
      <c r="D355" t="s">
        <v>14</v>
      </c>
      <c r="E355" t="s">
        <v>9</v>
      </c>
      <c r="F355" s="2" t="s">
        <v>15</v>
      </c>
      <c r="G355" s="3"/>
      <c r="J355" s="2"/>
    </row>
    <row r="356" spans="1:10" customFormat="1" ht="16" x14ac:dyDescent="0.2">
      <c r="A356" t="s">
        <v>50</v>
      </c>
      <c r="B356" s="3">
        <v>2.186743705223342E-7</v>
      </c>
      <c r="D356" t="s">
        <v>14</v>
      </c>
      <c r="E356" t="s">
        <v>9</v>
      </c>
      <c r="F356" s="2" t="s">
        <v>15</v>
      </c>
      <c r="G356" s="3"/>
      <c r="J356" s="2"/>
    </row>
    <row r="357" spans="1:10" customFormat="1" ht="16" x14ac:dyDescent="0.2">
      <c r="A357" t="s">
        <v>51</v>
      </c>
      <c r="B357" s="3">
        <v>1.2147463123534157E-8</v>
      </c>
      <c r="D357" t="s">
        <v>14</v>
      </c>
      <c r="E357" t="s">
        <v>9</v>
      </c>
      <c r="F357" s="2" t="s">
        <v>15</v>
      </c>
      <c r="G357" s="3"/>
      <c r="J357" s="2"/>
    </row>
    <row r="358" spans="1:10" customFormat="1" ht="16" x14ac:dyDescent="0.2">
      <c r="A358" t="s">
        <v>52</v>
      </c>
      <c r="B358" s="3">
        <v>2.3255800597289225E-10</v>
      </c>
      <c r="D358" t="s">
        <v>14</v>
      </c>
      <c r="E358" t="s">
        <v>9</v>
      </c>
      <c r="F358" s="2" t="s">
        <v>15</v>
      </c>
      <c r="G358" s="3"/>
      <c r="J358" s="2"/>
    </row>
    <row r="359" spans="1:10" customFormat="1" ht="16" x14ac:dyDescent="0.2">
      <c r="A359" t="s">
        <v>53</v>
      </c>
      <c r="B359">
        <f>B350*3.15</f>
        <v>7.3255813953488375E-2</v>
      </c>
      <c r="D359" t="s">
        <v>14</v>
      </c>
      <c r="E359" t="s">
        <v>9</v>
      </c>
      <c r="F359" s="2" t="s">
        <v>15</v>
      </c>
      <c r="G359" s="3"/>
      <c r="J359" s="2"/>
    </row>
    <row r="360" spans="1:10" customFormat="1" ht="16" x14ac:dyDescent="0.2">
      <c r="A360" t="s">
        <v>54</v>
      </c>
      <c r="B360" s="3">
        <v>2.1069404153243686E-5</v>
      </c>
      <c r="D360" t="s">
        <v>14</v>
      </c>
      <c r="E360" t="s">
        <v>9</v>
      </c>
      <c r="F360" s="2" t="s">
        <v>15</v>
      </c>
      <c r="G360" s="3"/>
      <c r="J360" s="2"/>
    </row>
    <row r="361" spans="1:10" customFormat="1" ht="16" x14ac:dyDescent="0.2">
      <c r="A361" t="s">
        <v>55</v>
      </c>
      <c r="B361" s="3">
        <v>1.1627900298644613E-9</v>
      </c>
      <c r="D361" t="s">
        <v>14</v>
      </c>
      <c r="E361" t="s">
        <v>9</v>
      </c>
      <c r="F361" s="2" t="s">
        <v>15</v>
      </c>
      <c r="G361" s="3"/>
      <c r="J361" s="2"/>
    </row>
    <row r="362" spans="1:10" customFormat="1" ht="16" x14ac:dyDescent="0.2">
      <c r="A362" t="s">
        <v>56</v>
      </c>
      <c r="B362" s="3">
        <v>2.3255800597289222E-12</v>
      </c>
      <c r="D362" t="s">
        <v>14</v>
      </c>
      <c r="E362" t="s">
        <v>9</v>
      </c>
      <c r="F362" s="2" t="s">
        <v>15</v>
      </c>
      <c r="G362" s="3"/>
      <c r="J362" s="2"/>
    </row>
    <row r="363" spans="1:10" customFormat="1" ht="16" x14ac:dyDescent="0.2">
      <c r="A363" t="s">
        <v>57</v>
      </c>
      <c r="B363" s="3">
        <v>3.9534861015391682E-8</v>
      </c>
      <c r="D363" t="s">
        <v>14</v>
      </c>
      <c r="E363" t="s">
        <v>9</v>
      </c>
      <c r="F363" s="2" t="s">
        <v>15</v>
      </c>
      <c r="G363" s="3"/>
      <c r="J363" s="2"/>
    </row>
    <row r="364" spans="1:10" customFormat="1" ht="16" x14ac:dyDescent="0.2">
      <c r="A364" t="s">
        <v>152</v>
      </c>
      <c r="B364" s="3">
        <v>7.1789570411210658E-8</v>
      </c>
      <c r="D364" t="s">
        <v>14</v>
      </c>
      <c r="E364" t="s">
        <v>9</v>
      </c>
      <c r="F364" s="2" t="s">
        <v>15</v>
      </c>
      <c r="G364" s="3"/>
      <c r="J364" s="2"/>
    </row>
    <row r="365" spans="1:10" customFormat="1" ht="16" x14ac:dyDescent="0.2">
      <c r="A365" t="s">
        <v>58</v>
      </c>
      <c r="B365" s="3">
        <v>1.1627900298644611E-6</v>
      </c>
      <c r="D365" t="s">
        <v>14</v>
      </c>
      <c r="E365" t="s">
        <v>9</v>
      </c>
      <c r="F365" s="2" t="s">
        <v>15</v>
      </c>
      <c r="G365" s="3"/>
      <c r="J365" s="2"/>
    </row>
    <row r="366" spans="1:10" customFormat="1" ht="16" x14ac:dyDescent="0.2">
      <c r="A366" t="s">
        <v>59</v>
      </c>
      <c r="B366" s="3">
        <v>3.646242366932188E-8</v>
      </c>
      <c r="D366" t="s">
        <v>14</v>
      </c>
      <c r="E366" t="s">
        <v>9</v>
      </c>
      <c r="F366" s="2" t="s">
        <v>15</v>
      </c>
      <c r="G366" s="3"/>
      <c r="J366" s="2"/>
    </row>
    <row r="367" spans="1:10" customFormat="1" ht="16" x14ac:dyDescent="0.2">
      <c r="A367" t="s">
        <v>60</v>
      </c>
      <c r="B367" s="3">
        <v>1.2114072625668476E-6</v>
      </c>
      <c r="D367" t="s">
        <v>14</v>
      </c>
      <c r="E367" t="s">
        <v>9</v>
      </c>
      <c r="F367" s="2" t="s">
        <v>15</v>
      </c>
      <c r="G367" s="3"/>
      <c r="J367" s="2"/>
    </row>
    <row r="368" spans="1:10" customFormat="1" ht="16" x14ac:dyDescent="0.2">
      <c r="A368" t="s">
        <v>61</v>
      </c>
      <c r="B368" s="3">
        <v>1.3252688602888143E-6</v>
      </c>
      <c r="D368" t="s">
        <v>14</v>
      </c>
      <c r="E368" t="s">
        <v>9</v>
      </c>
      <c r="F368" s="2" t="s">
        <v>15</v>
      </c>
      <c r="G368" s="3"/>
      <c r="J368" s="2"/>
    </row>
    <row r="369" spans="1:10" customFormat="1" ht="16" x14ac:dyDescent="0.2">
      <c r="A369" t="s">
        <v>62</v>
      </c>
      <c r="B369" s="3">
        <v>2.2087814338146904E-8</v>
      </c>
      <c r="D369" t="s">
        <v>14</v>
      </c>
      <c r="E369" t="s">
        <v>9</v>
      </c>
      <c r="F369" s="2" t="s">
        <v>15</v>
      </c>
      <c r="G369" s="3"/>
      <c r="J369" s="2"/>
    </row>
    <row r="370" spans="1:10" customFormat="1" ht="16" x14ac:dyDescent="0.2">
      <c r="A370" t="s">
        <v>63</v>
      </c>
      <c r="B370" s="3">
        <v>1.9186035492763611E-15</v>
      </c>
      <c r="D370" t="s">
        <v>14</v>
      </c>
      <c r="E370" t="s">
        <v>9</v>
      </c>
      <c r="F370" s="2" t="s">
        <v>15</v>
      </c>
      <c r="G370" s="3"/>
      <c r="J370" s="2"/>
    </row>
    <row r="371" spans="1:10" customFormat="1" ht="16" x14ac:dyDescent="0.2">
      <c r="A371" t="s">
        <v>64</v>
      </c>
      <c r="B371" s="3">
        <v>4.6511601194578451E-13</v>
      </c>
      <c r="D371" t="s">
        <v>14</v>
      </c>
      <c r="E371" t="s">
        <v>9</v>
      </c>
      <c r="F371" s="2" t="s">
        <v>15</v>
      </c>
      <c r="G371" s="3"/>
      <c r="J371" s="2"/>
    </row>
    <row r="372" spans="1:10" customFormat="1" ht="16" x14ac:dyDescent="0.2">
      <c r="A372" t="s">
        <v>65</v>
      </c>
      <c r="B372" s="3">
        <v>6.6447090752701953E-7</v>
      </c>
      <c r="D372" t="s">
        <v>14</v>
      </c>
      <c r="E372" t="s">
        <v>9</v>
      </c>
      <c r="F372" s="2" t="s">
        <v>15</v>
      </c>
      <c r="G372" s="3"/>
      <c r="J372" s="2"/>
    </row>
    <row r="373" spans="1:10" customFormat="1" ht="16" x14ac:dyDescent="0.2">
      <c r="A373" t="s">
        <v>66</v>
      </c>
      <c r="B373" s="3">
        <v>1.3252688602888143E-7</v>
      </c>
      <c r="D373" t="s">
        <v>14</v>
      </c>
      <c r="E373" t="s">
        <v>9</v>
      </c>
      <c r="F373" s="2" t="s">
        <v>15</v>
      </c>
      <c r="G373" s="3"/>
      <c r="J373" s="2"/>
    </row>
    <row r="374" spans="1:10" customFormat="1" ht="16" x14ac:dyDescent="0.2">
      <c r="A374" t="s">
        <v>67</v>
      </c>
      <c r="B374" s="3">
        <v>5.8566933256401625E-6</v>
      </c>
      <c r="D374" t="s">
        <v>14</v>
      </c>
      <c r="E374" t="s">
        <v>9</v>
      </c>
      <c r="F374" s="2" t="s">
        <v>15</v>
      </c>
      <c r="G374" s="3"/>
      <c r="J374" s="2"/>
    </row>
    <row r="375" spans="1:10" customFormat="1" ht="16" x14ac:dyDescent="0.2">
      <c r="A375" t="s">
        <v>68</v>
      </c>
      <c r="B375" s="3">
        <v>1.6279060418102458E-9</v>
      </c>
      <c r="D375" t="s">
        <v>14</v>
      </c>
      <c r="E375" t="s">
        <v>9</v>
      </c>
      <c r="F375" s="2" t="s">
        <v>15</v>
      </c>
      <c r="G375" s="3"/>
      <c r="J375" s="2"/>
    </row>
    <row r="376" spans="1:10" customFormat="1" ht="16" x14ac:dyDescent="0.2">
      <c r="A376" t="s">
        <v>69</v>
      </c>
      <c r="B376">
        <v>2.2614048584510013E-4</v>
      </c>
      <c r="D376" t="s">
        <v>14</v>
      </c>
      <c r="E376" t="s">
        <v>9</v>
      </c>
      <c r="F376" s="2" t="s">
        <v>15</v>
      </c>
      <c r="G376" s="3"/>
      <c r="J376" s="2"/>
    </row>
    <row r="377" spans="1:10" customFormat="1" ht="16" x14ac:dyDescent="0.2">
      <c r="A377" t="s">
        <v>70</v>
      </c>
      <c r="B377" s="3">
        <v>4.2883696301401334E-9</v>
      </c>
      <c r="D377" t="s">
        <v>14</v>
      </c>
      <c r="E377" t="s">
        <v>9</v>
      </c>
      <c r="F377" s="2" t="s">
        <v>15</v>
      </c>
      <c r="G377" s="3"/>
      <c r="J377" s="2"/>
    </row>
    <row r="378" spans="1:10" customFormat="1" ht="16" x14ac:dyDescent="0.2">
      <c r="A378" t="s">
        <v>71</v>
      </c>
      <c r="B378" s="3">
        <v>6.3929447213629726E-7</v>
      </c>
      <c r="D378" t="s">
        <v>14</v>
      </c>
      <c r="E378" t="s">
        <v>9</v>
      </c>
      <c r="F378" s="2" t="s">
        <v>15</v>
      </c>
      <c r="G378" s="3"/>
      <c r="J378" s="2"/>
    </row>
    <row r="379" spans="1:10" customFormat="1" ht="16" x14ac:dyDescent="0.2">
      <c r="A379" t="s">
        <v>72</v>
      </c>
      <c r="B379" s="3">
        <v>4.417562867629381E-9</v>
      </c>
      <c r="D379" t="s">
        <v>14</v>
      </c>
      <c r="E379" t="s">
        <v>9</v>
      </c>
      <c r="F379" s="2" t="s">
        <v>15</v>
      </c>
      <c r="G379" s="3"/>
      <c r="J379" s="2"/>
    </row>
    <row r="380" spans="1:10" customFormat="1" ht="16" x14ac:dyDescent="0.2">
      <c r="A380" t="s">
        <v>73</v>
      </c>
      <c r="B380" s="3">
        <v>1.2147463123534157E-8</v>
      </c>
      <c r="D380" t="s">
        <v>14</v>
      </c>
      <c r="E380" t="s">
        <v>9</v>
      </c>
      <c r="F380" s="2" t="s">
        <v>15</v>
      </c>
      <c r="G380" s="3"/>
      <c r="J380" s="2"/>
    </row>
    <row r="381" spans="1:10" customFormat="1" ht="16" x14ac:dyDescent="0.2">
      <c r="A381" t="s">
        <v>74</v>
      </c>
      <c r="B381" s="3">
        <v>3.9768082958024133E-7</v>
      </c>
      <c r="D381" t="s">
        <v>14</v>
      </c>
      <c r="E381" t="s">
        <v>9</v>
      </c>
      <c r="F381" s="2" t="s">
        <v>15</v>
      </c>
      <c r="G381" s="3"/>
      <c r="J381" s="2"/>
    </row>
    <row r="382" spans="1:10" customFormat="1" ht="16" x14ac:dyDescent="0.2">
      <c r="A382" t="s">
        <v>75</v>
      </c>
      <c r="B382" s="3">
        <v>2.3255800597289225E-10</v>
      </c>
      <c r="D382" t="s">
        <v>14</v>
      </c>
      <c r="E382" t="s">
        <v>9</v>
      </c>
      <c r="F382" s="2" t="s">
        <v>15</v>
      </c>
      <c r="G382" s="3"/>
      <c r="J382" s="2"/>
    </row>
    <row r="383" spans="1:10" customFormat="1" ht="16" x14ac:dyDescent="0.2">
      <c r="A383" t="s">
        <v>76</v>
      </c>
      <c r="B383" s="3">
        <v>4.0869969387591558E-8</v>
      </c>
      <c r="D383" t="s">
        <v>14</v>
      </c>
      <c r="E383" t="s">
        <v>9</v>
      </c>
      <c r="F383" s="2" t="s">
        <v>15</v>
      </c>
      <c r="G383" s="3"/>
      <c r="J383" s="2"/>
    </row>
    <row r="384" spans="1:10" customFormat="1" ht="16" x14ac:dyDescent="0.2">
      <c r="A384" t="s">
        <v>77</v>
      </c>
      <c r="B384" s="3">
        <v>4.651160119457845E-7</v>
      </c>
      <c r="D384" t="s">
        <v>14</v>
      </c>
      <c r="E384" t="s">
        <v>9</v>
      </c>
      <c r="F384" s="2" t="s">
        <v>15</v>
      </c>
      <c r="G384" s="3"/>
      <c r="J384" s="2"/>
    </row>
    <row r="385" spans="1:10" customFormat="1" ht="16" x14ac:dyDescent="0.2">
      <c r="A385" t="s">
        <v>78</v>
      </c>
      <c r="B385" s="3">
        <v>7.619711612948033E-8</v>
      </c>
      <c r="D385" t="s">
        <v>14</v>
      </c>
      <c r="E385" t="s">
        <v>9</v>
      </c>
      <c r="F385" s="2" t="s">
        <v>15</v>
      </c>
      <c r="G385" s="3"/>
      <c r="J385" s="2"/>
    </row>
    <row r="386" spans="1:10" customFormat="1" ht="16" x14ac:dyDescent="0.2">
      <c r="A386" t="s">
        <v>79</v>
      </c>
      <c r="B386" s="3">
        <v>2.3255800597289226E-8</v>
      </c>
      <c r="D386" t="s">
        <v>14</v>
      </c>
      <c r="E386" t="s">
        <v>9</v>
      </c>
      <c r="F386" s="2" t="s">
        <v>15</v>
      </c>
      <c r="G386" s="3"/>
      <c r="J386" s="2"/>
    </row>
    <row r="387" spans="1:10" customFormat="1" ht="16" x14ac:dyDescent="0.2">
      <c r="A387" t="s">
        <v>80</v>
      </c>
      <c r="B387" s="3">
        <v>6.7382024692940973E-8</v>
      </c>
      <c r="D387" t="s">
        <v>14</v>
      </c>
      <c r="E387" t="s">
        <v>9</v>
      </c>
      <c r="F387" s="2" t="s">
        <v>15</v>
      </c>
      <c r="G387" s="3"/>
      <c r="J387" s="2"/>
    </row>
    <row r="388" spans="1:10" customFormat="1" ht="16" x14ac:dyDescent="0.2">
      <c r="A388" t="s">
        <v>81</v>
      </c>
      <c r="B388" s="3">
        <v>2.9821053643838246E-8</v>
      </c>
      <c r="D388" t="s">
        <v>14</v>
      </c>
      <c r="E388" t="s">
        <v>9</v>
      </c>
      <c r="F388" s="2" t="s">
        <v>15</v>
      </c>
      <c r="G388" s="3"/>
      <c r="J388" s="2"/>
    </row>
    <row r="389" spans="1:10" customFormat="1" ht="16" x14ac:dyDescent="0.2">
      <c r="B389" s="3"/>
      <c r="J389" s="2"/>
    </row>
    <row r="390" spans="1:10" x14ac:dyDescent="0.2">
      <c r="A390" s="17" t="s">
        <v>2</v>
      </c>
      <c r="B390" s="17" t="s">
        <v>259</v>
      </c>
    </row>
    <row r="391" spans="1:10" customFormat="1" ht="16" x14ac:dyDescent="0.2">
      <c r="A391" t="s">
        <v>153</v>
      </c>
      <c r="B391" t="s">
        <v>200</v>
      </c>
      <c r="J391" s="2"/>
    </row>
    <row r="392" spans="1:10" customFormat="1" ht="16" x14ac:dyDescent="0.2">
      <c r="A392" t="s">
        <v>201</v>
      </c>
      <c r="B392" t="s">
        <v>202</v>
      </c>
      <c r="J392" s="2"/>
    </row>
    <row r="393" spans="1:10" customFormat="1" ht="16" x14ac:dyDescent="0.2">
      <c r="A393" t="s">
        <v>3</v>
      </c>
      <c r="B393" t="s">
        <v>18</v>
      </c>
      <c r="J393" s="2"/>
    </row>
    <row r="394" spans="1:10" customFormat="1" ht="16" x14ac:dyDescent="0.2">
      <c r="A394" t="s">
        <v>4</v>
      </c>
      <c r="B394">
        <v>1</v>
      </c>
      <c r="J394" s="2"/>
    </row>
    <row r="395" spans="1:10" customFormat="1" ht="16" x14ac:dyDescent="0.2">
      <c r="A395" t="s">
        <v>5</v>
      </c>
      <c r="B395" t="s">
        <v>1</v>
      </c>
      <c r="J395" s="2"/>
    </row>
    <row r="396" spans="1:10" customFormat="1" ht="16" x14ac:dyDescent="0.2">
      <c r="A396" t="s">
        <v>6</v>
      </c>
      <c r="B396" t="s">
        <v>7</v>
      </c>
      <c r="J396" s="2"/>
    </row>
    <row r="397" spans="1:10" customFormat="1" ht="16" x14ac:dyDescent="0.2">
      <c r="A397" t="s">
        <v>8</v>
      </c>
      <c r="B397" t="s">
        <v>17</v>
      </c>
      <c r="J397" s="2"/>
    </row>
    <row r="398" spans="1:10" customFormat="1" ht="16" x14ac:dyDescent="0.2">
      <c r="A398" s="1" t="s">
        <v>10</v>
      </c>
      <c r="J398" s="2"/>
    </row>
    <row r="399" spans="1:10" x14ac:dyDescent="0.2">
      <c r="A399" s="17" t="s">
        <v>11</v>
      </c>
      <c r="B399" s="17" t="s">
        <v>12</v>
      </c>
      <c r="C399" s="17" t="s">
        <v>3</v>
      </c>
      <c r="D399" s="17" t="s">
        <v>13</v>
      </c>
      <c r="E399" s="17" t="s">
        <v>8</v>
      </c>
      <c r="F399" s="17" t="s">
        <v>6</v>
      </c>
      <c r="G399" s="17" t="s">
        <v>5</v>
      </c>
    </row>
    <row r="400" spans="1:10" customFormat="1" ht="16" x14ac:dyDescent="0.2">
      <c r="A400" t="s">
        <v>259</v>
      </c>
      <c r="B400">
        <v>1</v>
      </c>
      <c r="C400" t="s">
        <v>18</v>
      </c>
      <c r="E400" t="s">
        <v>17</v>
      </c>
      <c r="F400" t="s">
        <v>19</v>
      </c>
      <c r="J400" s="2"/>
    </row>
    <row r="401" spans="1:10" customFormat="1" ht="16" x14ac:dyDescent="0.2">
      <c r="A401" t="s">
        <v>203</v>
      </c>
      <c r="B401">
        <v>8.4039805756723712E-6</v>
      </c>
      <c r="C401" t="s">
        <v>18</v>
      </c>
      <c r="E401" t="s">
        <v>9</v>
      </c>
      <c r="F401" t="s">
        <v>23</v>
      </c>
      <c r="G401" t="s">
        <v>204</v>
      </c>
      <c r="J401" s="2"/>
    </row>
    <row r="402" spans="1:10" customFormat="1" ht="16" x14ac:dyDescent="0.2">
      <c r="A402" t="s">
        <v>146</v>
      </c>
      <c r="B402">
        <v>1.3427927506200167E-4</v>
      </c>
      <c r="C402" t="s">
        <v>18</v>
      </c>
      <c r="E402" t="s">
        <v>9</v>
      </c>
      <c r="F402" t="s">
        <v>23</v>
      </c>
      <c r="G402" t="s">
        <v>146</v>
      </c>
      <c r="J402" s="2"/>
    </row>
    <row r="403" spans="1:10" customFormat="1" ht="16" x14ac:dyDescent="0.2">
      <c r="A403" s="2" t="s">
        <v>178</v>
      </c>
      <c r="B403">
        <f>1/43</f>
        <v>2.3255813953488372E-2</v>
      </c>
      <c r="C403" t="s">
        <v>18</v>
      </c>
      <c r="E403" t="s">
        <v>9</v>
      </c>
      <c r="F403" t="s">
        <v>23</v>
      </c>
      <c r="G403" t="s">
        <v>179</v>
      </c>
      <c r="J403" s="2"/>
    </row>
    <row r="404" spans="1:10" customFormat="1" ht="16" x14ac:dyDescent="0.2">
      <c r="A404" t="s">
        <v>45</v>
      </c>
      <c r="B404" s="3">
        <v>7.1455665432553858E-7</v>
      </c>
      <c r="D404" t="s">
        <v>14</v>
      </c>
      <c r="E404" t="s">
        <v>9</v>
      </c>
      <c r="F404" s="2" t="s">
        <v>15</v>
      </c>
      <c r="G404" s="3"/>
      <c r="J404" s="2"/>
    </row>
    <row r="405" spans="1:10" customFormat="1" ht="16" x14ac:dyDescent="0.2">
      <c r="A405" t="s">
        <v>46</v>
      </c>
      <c r="B405" s="3">
        <v>3.2468920124586623E-7</v>
      </c>
      <c r="D405" t="s">
        <v>14</v>
      </c>
      <c r="E405" t="s">
        <v>9</v>
      </c>
      <c r="F405" s="2" t="s">
        <v>15</v>
      </c>
      <c r="G405" s="3"/>
      <c r="J405" s="2"/>
    </row>
    <row r="406" spans="1:10" customFormat="1" ht="16" x14ac:dyDescent="0.2">
      <c r="A406" t="s">
        <v>47</v>
      </c>
      <c r="B406" s="3">
        <v>3.9534349472964383E-7</v>
      </c>
      <c r="D406" t="s">
        <v>14</v>
      </c>
      <c r="E406" t="s">
        <v>9</v>
      </c>
      <c r="F406" s="2" t="s">
        <v>15</v>
      </c>
      <c r="G406" s="3"/>
      <c r="J406" s="2"/>
    </row>
    <row r="407" spans="1:10" customFormat="1" ht="16" x14ac:dyDescent="0.2">
      <c r="A407" t="s">
        <v>48</v>
      </c>
      <c r="B407" s="3">
        <v>3.7209280955662761E-7</v>
      </c>
      <c r="D407" t="s">
        <v>14</v>
      </c>
      <c r="E407" t="s">
        <v>9</v>
      </c>
      <c r="F407" s="2" t="s">
        <v>15</v>
      </c>
      <c r="G407" s="3"/>
      <c r="J407" s="2"/>
    </row>
    <row r="408" spans="1:10" customFormat="1" ht="16" x14ac:dyDescent="0.2">
      <c r="A408" t="s">
        <v>49</v>
      </c>
      <c r="B408" s="3">
        <v>9.4995966427857817E-8</v>
      </c>
      <c r="D408" t="s">
        <v>14</v>
      </c>
      <c r="E408" t="s">
        <v>9</v>
      </c>
      <c r="F408" s="2" t="s">
        <v>15</v>
      </c>
      <c r="G408" s="3"/>
      <c r="J408" s="2"/>
    </row>
    <row r="409" spans="1:10" customFormat="1" ht="16" x14ac:dyDescent="0.2">
      <c r="A409" t="s">
        <v>50</v>
      </c>
      <c r="B409" s="3">
        <v>2.186743705223342E-7</v>
      </c>
      <c r="D409" t="s">
        <v>14</v>
      </c>
      <c r="E409" t="s">
        <v>9</v>
      </c>
      <c r="F409" s="2" t="s">
        <v>15</v>
      </c>
      <c r="G409" s="3"/>
      <c r="J409" s="2"/>
    </row>
    <row r="410" spans="1:10" customFormat="1" ht="16" x14ac:dyDescent="0.2">
      <c r="A410" t="s">
        <v>51</v>
      </c>
      <c r="B410" s="3">
        <v>1.2147463123534157E-8</v>
      </c>
      <c r="D410" t="s">
        <v>14</v>
      </c>
      <c r="E410" t="s">
        <v>9</v>
      </c>
      <c r="F410" s="2" t="s">
        <v>15</v>
      </c>
      <c r="G410" s="3"/>
      <c r="J410" s="2"/>
    </row>
    <row r="411" spans="1:10" customFormat="1" ht="16" x14ac:dyDescent="0.2">
      <c r="A411" t="s">
        <v>52</v>
      </c>
      <c r="B411" s="3">
        <v>2.3255800597289225E-10</v>
      </c>
      <c r="D411" t="s">
        <v>14</v>
      </c>
      <c r="E411" t="s">
        <v>9</v>
      </c>
      <c r="F411" s="2" t="s">
        <v>15</v>
      </c>
      <c r="G411" s="3"/>
      <c r="J411" s="2"/>
    </row>
    <row r="412" spans="1:10" customFormat="1" ht="16" x14ac:dyDescent="0.2">
      <c r="A412" t="s">
        <v>123</v>
      </c>
      <c r="B412">
        <f>B403*3.15</f>
        <v>7.3255813953488375E-2</v>
      </c>
      <c r="D412" t="s">
        <v>14</v>
      </c>
      <c r="E412" t="s">
        <v>9</v>
      </c>
      <c r="F412" s="2" t="s">
        <v>15</v>
      </c>
      <c r="G412" s="3"/>
      <c r="J412" s="2"/>
    </row>
    <row r="413" spans="1:10" customFormat="1" ht="16" x14ac:dyDescent="0.2">
      <c r="A413" t="s">
        <v>124</v>
      </c>
      <c r="B413" s="3">
        <v>2.1069404153243686E-5</v>
      </c>
      <c r="D413" t="s">
        <v>14</v>
      </c>
      <c r="E413" t="s">
        <v>9</v>
      </c>
      <c r="F413" s="2" t="s">
        <v>15</v>
      </c>
      <c r="G413" s="3"/>
      <c r="J413" s="2"/>
    </row>
    <row r="414" spans="1:10" customFormat="1" ht="16" x14ac:dyDescent="0.2">
      <c r="A414" t="s">
        <v>55</v>
      </c>
      <c r="B414" s="3">
        <v>1.1627900298644613E-9</v>
      </c>
      <c r="D414" t="s">
        <v>14</v>
      </c>
      <c r="E414" t="s">
        <v>9</v>
      </c>
      <c r="F414" s="2" t="s">
        <v>15</v>
      </c>
      <c r="G414" s="3"/>
      <c r="J414" s="2"/>
    </row>
    <row r="415" spans="1:10" customFormat="1" ht="16" x14ac:dyDescent="0.2">
      <c r="A415" t="s">
        <v>56</v>
      </c>
      <c r="B415" s="3">
        <v>2.3255800597289222E-12</v>
      </c>
      <c r="D415" t="s">
        <v>14</v>
      </c>
      <c r="E415" t="s">
        <v>9</v>
      </c>
      <c r="F415" s="2" t="s">
        <v>15</v>
      </c>
      <c r="G415" s="3"/>
      <c r="J415" s="2"/>
    </row>
    <row r="416" spans="1:10" customFormat="1" ht="16" x14ac:dyDescent="0.2">
      <c r="A416" t="s">
        <v>57</v>
      </c>
      <c r="B416" s="3">
        <v>3.9534861015391682E-8</v>
      </c>
      <c r="D416" t="s">
        <v>14</v>
      </c>
      <c r="E416" t="s">
        <v>9</v>
      </c>
      <c r="F416" s="2" t="s">
        <v>15</v>
      </c>
      <c r="G416" s="3"/>
      <c r="J416" s="2"/>
    </row>
    <row r="417" spans="1:10" customFormat="1" ht="16" x14ac:dyDescent="0.2">
      <c r="A417" t="s">
        <v>152</v>
      </c>
      <c r="B417" s="3">
        <v>7.1789570411210658E-8</v>
      </c>
      <c r="D417" t="s">
        <v>14</v>
      </c>
      <c r="E417" t="s">
        <v>9</v>
      </c>
      <c r="F417" s="2" t="s">
        <v>15</v>
      </c>
      <c r="G417" s="3"/>
      <c r="J417" s="2"/>
    </row>
    <row r="418" spans="1:10" customFormat="1" ht="16" x14ac:dyDescent="0.2">
      <c r="A418" t="s">
        <v>58</v>
      </c>
      <c r="B418" s="3">
        <v>1.1627900298644611E-6</v>
      </c>
      <c r="D418" t="s">
        <v>14</v>
      </c>
      <c r="E418" t="s">
        <v>9</v>
      </c>
      <c r="F418" s="2" t="s">
        <v>15</v>
      </c>
      <c r="G418" s="3"/>
      <c r="J418" s="2"/>
    </row>
    <row r="419" spans="1:10" customFormat="1" ht="16" x14ac:dyDescent="0.2">
      <c r="A419" t="s">
        <v>59</v>
      </c>
      <c r="B419" s="3">
        <v>3.646242366932188E-8</v>
      </c>
      <c r="D419" t="s">
        <v>14</v>
      </c>
      <c r="E419" t="s">
        <v>9</v>
      </c>
      <c r="F419" s="2" t="s">
        <v>15</v>
      </c>
      <c r="G419" s="3"/>
      <c r="J419" s="2"/>
    </row>
    <row r="420" spans="1:10" customFormat="1" ht="16" x14ac:dyDescent="0.2">
      <c r="A420" t="s">
        <v>60</v>
      </c>
      <c r="B420" s="3">
        <v>1.2114072625668476E-6</v>
      </c>
      <c r="D420" t="s">
        <v>14</v>
      </c>
      <c r="E420" t="s">
        <v>9</v>
      </c>
      <c r="F420" s="2" t="s">
        <v>15</v>
      </c>
      <c r="G420" s="3"/>
      <c r="J420" s="2"/>
    </row>
    <row r="421" spans="1:10" customFormat="1" ht="16" x14ac:dyDescent="0.2">
      <c r="A421" t="s">
        <v>61</v>
      </c>
      <c r="B421" s="3">
        <v>1.3252688602888143E-6</v>
      </c>
      <c r="D421" t="s">
        <v>14</v>
      </c>
      <c r="E421" t="s">
        <v>9</v>
      </c>
      <c r="F421" s="2" t="s">
        <v>15</v>
      </c>
      <c r="G421" s="3"/>
      <c r="J421" s="2"/>
    </row>
    <row r="422" spans="1:10" customFormat="1" ht="16" x14ac:dyDescent="0.2">
      <c r="A422" t="s">
        <v>62</v>
      </c>
      <c r="B422" s="3">
        <v>2.2087814338146904E-8</v>
      </c>
      <c r="D422" t="s">
        <v>14</v>
      </c>
      <c r="E422" t="s">
        <v>9</v>
      </c>
      <c r="F422" s="2" t="s">
        <v>15</v>
      </c>
      <c r="G422" s="3"/>
      <c r="J422" s="2"/>
    </row>
    <row r="423" spans="1:10" customFormat="1" ht="16" x14ac:dyDescent="0.2">
      <c r="A423" t="s">
        <v>63</v>
      </c>
      <c r="B423" s="3">
        <v>1.9186035492763611E-15</v>
      </c>
      <c r="D423" t="s">
        <v>14</v>
      </c>
      <c r="E423" t="s">
        <v>9</v>
      </c>
      <c r="F423" s="2" t="s">
        <v>15</v>
      </c>
      <c r="G423" s="3"/>
      <c r="J423" s="2"/>
    </row>
    <row r="424" spans="1:10" customFormat="1" ht="16" x14ac:dyDescent="0.2">
      <c r="A424" t="s">
        <v>64</v>
      </c>
      <c r="B424" s="3">
        <v>4.6511601194578451E-13</v>
      </c>
      <c r="D424" t="s">
        <v>14</v>
      </c>
      <c r="E424" t="s">
        <v>9</v>
      </c>
      <c r="F424" s="2" t="s">
        <v>15</v>
      </c>
      <c r="G424" s="3"/>
      <c r="J424" s="2"/>
    </row>
    <row r="425" spans="1:10" customFormat="1" ht="16" x14ac:dyDescent="0.2">
      <c r="A425" t="s">
        <v>180</v>
      </c>
      <c r="B425" s="3">
        <v>6.6447090752701953E-7</v>
      </c>
      <c r="D425" t="s">
        <v>14</v>
      </c>
      <c r="E425" t="s">
        <v>9</v>
      </c>
      <c r="F425" s="2" t="s">
        <v>15</v>
      </c>
      <c r="G425" s="3"/>
      <c r="J425" s="2"/>
    </row>
    <row r="426" spans="1:10" customFormat="1" ht="16" x14ac:dyDescent="0.2">
      <c r="A426" t="s">
        <v>66</v>
      </c>
      <c r="B426" s="3">
        <v>1.3252688602888143E-7</v>
      </c>
      <c r="D426" t="s">
        <v>14</v>
      </c>
      <c r="E426" t="s">
        <v>9</v>
      </c>
      <c r="F426" s="2" t="s">
        <v>15</v>
      </c>
      <c r="G426" s="3"/>
      <c r="J426" s="2"/>
    </row>
    <row r="427" spans="1:10" customFormat="1" ht="16" x14ac:dyDescent="0.2">
      <c r="A427" t="s">
        <v>67</v>
      </c>
      <c r="B427" s="3">
        <v>5.8566933256401625E-6</v>
      </c>
      <c r="D427" t="s">
        <v>14</v>
      </c>
      <c r="E427" t="s">
        <v>9</v>
      </c>
      <c r="F427" s="2" t="s">
        <v>15</v>
      </c>
      <c r="G427" s="3"/>
      <c r="J427" s="2"/>
    </row>
    <row r="428" spans="1:10" customFormat="1" ht="16" x14ac:dyDescent="0.2">
      <c r="A428" t="s">
        <v>68</v>
      </c>
      <c r="B428" s="3">
        <v>1.6279060418102458E-9</v>
      </c>
      <c r="D428" t="s">
        <v>14</v>
      </c>
      <c r="E428" t="s">
        <v>9</v>
      </c>
      <c r="F428" s="2" t="s">
        <v>15</v>
      </c>
      <c r="G428" s="3"/>
      <c r="J428" s="2"/>
    </row>
    <row r="429" spans="1:10" customFormat="1" ht="16" x14ac:dyDescent="0.2">
      <c r="A429" t="s">
        <v>69</v>
      </c>
      <c r="B429">
        <v>2.2614048584510013E-4</v>
      </c>
      <c r="D429" t="s">
        <v>14</v>
      </c>
      <c r="E429" t="s">
        <v>9</v>
      </c>
      <c r="F429" s="2" t="s">
        <v>15</v>
      </c>
      <c r="G429" s="3"/>
      <c r="J429" s="2"/>
    </row>
    <row r="430" spans="1:10" customFormat="1" ht="16" x14ac:dyDescent="0.2">
      <c r="A430" t="s">
        <v>70</v>
      </c>
      <c r="B430" s="3">
        <v>4.2883696301401334E-9</v>
      </c>
      <c r="D430" t="s">
        <v>14</v>
      </c>
      <c r="E430" t="s">
        <v>9</v>
      </c>
      <c r="F430" s="2" t="s">
        <v>15</v>
      </c>
      <c r="G430" s="3"/>
      <c r="J430" s="2"/>
    </row>
    <row r="431" spans="1:10" customFormat="1" ht="16" x14ac:dyDescent="0.2">
      <c r="A431" t="s">
        <v>71</v>
      </c>
      <c r="B431" s="3">
        <v>6.3929447213629726E-7</v>
      </c>
      <c r="D431" t="s">
        <v>14</v>
      </c>
      <c r="E431" t="s">
        <v>9</v>
      </c>
      <c r="F431" s="2" t="s">
        <v>15</v>
      </c>
      <c r="G431" s="3"/>
      <c r="J431" s="2"/>
    </row>
    <row r="432" spans="1:10" customFormat="1" ht="16" x14ac:dyDescent="0.2">
      <c r="A432" t="s">
        <v>72</v>
      </c>
      <c r="B432" s="3">
        <v>4.417562867629381E-9</v>
      </c>
      <c r="D432" t="s">
        <v>14</v>
      </c>
      <c r="E432" t="s">
        <v>9</v>
      </c>
      <c r="F432" s="2" t="s">
        <v>15</v>
      </c>
      <c r="G432" s="3"/>
      <c r="J432" s="2"/>
    </row>
    <row r="433" spans="1:10" customFormat="1" ht="16" x14ac:dyDescent="0.2">
      <c r="A433" t="s">
        <v>73</v>
      </c>
      <c r="B433" s="3">
        <v>1.2147463123534157E-8</v>
      </c>
      <c r="D433" t="s">
        <v>14</v>
      </c>
      <c r="E433" t="s">
        <v>9</v>
      </c>
      <c r="F433" s="2" t="s">
        <v>15</v>
      </c>
      <c r="G433" s="3"/>
      <c r="J433" s="2"/>
    </row>
    <row r="434" spans="1:10" customFormat="1" ht="16" x14ac:dyDescent="0.2">
      <c r="A434" t="s">
        <v>74</v>
      </c>
      <c r="B434" s="3">
        <v>3.9768082958024133E-7</v>
      </c>
      <c r="D434" t="s">
        <v>14</v>
      </c>
      <c r="E434" t="s">
        <v>9</v>
      </c>
      <c r="F434" s="2" t="s">
        <v>15</v>
      </c>
      <c r="G434" s="3"/>
      <c r="J434" s="2"/>
    </row>
    <row r="435" spans="1:10" customFormat="1" ht="16" x14ac:dyDescent="0.2">
      <c r="A435" t="s">
        <v>75</v>
      </c>
      <c r="B435" s="3">
        <v>2.3255800597289225E-10</v>
      </c>
      <c r="D435" t="s">
        <v>14</v>
      </c>
      <c r="E435" t="s">
        <v>9</v>
      </c>
      <c r="F435" s="2" t="s">
        <v>15</v>
      </c>
      <c r="G435" s="3"/>
      <c r="J435" s="2"/>
    </row>
    <row r="436" spans="1:10" customFormat="1" ht="16" x14ac:dyDescent="0.2">
      <c r="A436" t="s">
        <v>76</v>
      </c>
      <c r="B436" s="3">
        <v>4.0869969387591558E-8</v>
      </c>
      <c r="D436" t="s">
        <v>14</v>
      </c>
      <c r="E436" t="s">
        <v>9</v>
      </c>
      <c r="F436" s="2" t="s">
        <v>15</v>
      </c>
      <c r="G436" s="3"/>
      <c r="J436" s="2"/>
    </row>
    <row r="437" spans="1:10" customFormat="1" ht="16" x14ac:dyDescent="0.2">
      <c r="A437" t="s">
        <v>77</v>
      </c>
      <c r="B437" s="3">
        <v>4.651160119457845E-7</v>
      </c>
      <c r="D437" t="s">
        <v>14</v>
      </c>
      <c r="E437" t="s">
        <v>9</v>
      </c>
      <c r="F437" s="2" t="s">
        <v>15</v>
      </c>
      <c r="G437" s="3"/>
      <c r="J437" s="2"/>
    </row>
    <row r="438" spans="1:10" customFormat="1" ht="16" x14ac:dyDescent="0.2">
      <c r="A438" t="s">
        <v>78</v>
      </c>
      <c r="B438" s="3">
        <v>7.619711612948033E-8</v>
      </c>
      <c r="D438" t="s">
        <v>14</v>
      </c>
      <c r="E438" t="s">
        <v>9</v>
      </c>
      <c r="F438" s="2" t="s">
        <v>15</v>
      </c>
      <c r="G438" s="3"/>
      <c r="J438" s="2"/>
    </row>
    <row r="439" spans="1:10" customFormat="1" ht="16" x14ac:dyDescent="0.2">
      <c r="A439" t="s">
        <v>79</v>
      </c>
      <c r="B439" s="3">
        <v>2.3255800597289226E-8</v>
      </c>
      <c r="D439" t="s">
        <v>14</v>
      </c>
      <c r="E439" t="s">
        <v>9</v>
      </c>
      <c r="F439" s="2" t="s">
        <v>15</v>
      </c>
      <c r="G439" s="3"/>
      <c r="J439" s="2"/>
    </row>
    <row r="440" spans="1:10" customFormat="1" ht="16" x14ac:dyDescent="0.2">
      <c r="A440" t="s">
        <v>80</v>
      </c>
      <c r="B440" s="3">
        <v>6.7382024692940973E-8</v>
      </c>
      <c r="D440" t="s">
        <v>14</v>
      </c>
      <c r="E440" t="s">
        <v>9</v>
      </c>
      <c r="F440" s="2" t="s">
        <v>15</v>
      </c>
      <c r="G440" s="3"/>
      <c r="J440" s="2"/>
    </row>
    <row r="441" spans="1:10" customFormat="1" ht="16" x14ac:dyDescent="0.2">
      <c r="A441" t="s">
        <v>81</v>
      </c>
      <c r="B441" s="3">
        <v>2.9821053643838246E-8</v>
      </c>
      <c r="D441" t="s">
        <v>14</v>
      </c>
      <c r="E441" t="s">
        <v>9</v>
      </c>
      <c r="F441" s="2" t="s">
        <v>15</v>
      </c>
      <c r="G441" s="3"/>
      <c r="J441" s="2"/>
    </row>
    <row r="442" spans="1:10" customFormat="1" ht="16" x14ac:dyDescent="0.2">
      <c r="B442" s="3"/>
      <c r="J442" s="2"/>
    </row>
    <row r="443" spans="1:10" x14ac:dyDescent="0.2">
      <c r="A443" s="17" t="s">
        <v>2</v>
      </c>
      <c r="B443" s="17" t="s">
        <v>280</v>
      </c>
    </row>
    <row r="444" spans="1:10" customFormat="1" ht="16" x14ac:dyDescent="0.2">
      <c r="A444" t="s">
        <v>153</v>
      </c>
      <c r="B444" t="s">
        <v>200</v>
      </c>
      <c r="J444" s="2"/>
    </row>
    <row r="445" spans="1:10" customFormat="1" ht="16" x14ac:dyDescent="0.2">
      <c r="A445" t="s">
        <v>201</v>
      </c>
      <c r="B445" t="s">
        <v>202</v>
      </c>
      <c r="J445" s="2"/>
    </row>
    <row r="446" spans="1:10" customFormat="1" ht="16" x14ac:dyDescent="0.2">
      <c r="A446" t="s">
        <v>3</v>
      </c>
      <c r="B446" t="s">
        <v>18</v>
      </c>
      <c r="J446" s="2"/>
    </row>
    <row r="447" spans="1:10" customFormat="1" ht="16" x14ac:dyDescent="0.2">
      <c r="A447" t="s">
        <v>4</v>
      </c>
      <c r="B447">
        <v>1</v>
      </c>
      <c r="J447" s="2"/>
    </row>
    <row r="448" spans="1:10" customFormat="1" ht="16" x14ac:dyDescent="0.2">
      <c r="A448" t="s">
        <v>5</v>
      </c>
      <c r="B448" t="s">
        <v>1</v>
      </c>
      <c r="J448" s="2"/>
    </row>
    <row r="449" spans="1:10" customFormat="1" ht="16" x14ac:dyDescent="0.2">
      <c r="A449" t="s">
        <v>6</v>
      </c>
      <c r="B449" t="s">
        <v>7</v>
      </c>
      <c r="J449" s="2"/>
    </row>
    <row r="450" spans="1:10" customFormat="1" ht="16" x14ac:dyDescent="0.2">
      <c r="A450" t="s">
        <v>8</v>
      </c>
      <c r="B450" t="s">
        <v>17</v>
      </c>
      <c r="J450" s="2"/>
    </row>
    <row r="451" spans="1:10" customFormat="1" ht="16" x14ac:dyDescent="0.2">
      <c r="A451" s="1" t="s">
        <v>10</v>
      </c>
      <c r="J451" s="2"/>
    </row>
    <row r="452" spans="1:10" x14ac:dyDescent="0.2">
      <c r="A452" s="17" t="s">
        <v>11</v>
      </c>
      <c r="B452" s="17" t="s">
        <v>12</v>
      </c>
      <c r="C452" s="17" t="s">
        <v>3</v>
      </c>
      <c r="D452" s="17" t="s">
        <v>13</v>
      </c>
      <c r="E452" s="17" t="s">
        <v>8</v>
      </c>
      <c r="F452" s="17" t="s">
        <v>6</v>
      </c>
      <c r="G452" s="17" t="s">
        <v>5</v>
      </c>
    </row>
    <row r="453" spans="1:10" customFormat="1" ht="16" x14ac:dyDescent="0.2">
      <c r="A453" t="s">
        <v>280</v>
      </c>
      <c r="B453">
        <v>1</v>
      </c>
      <c r="C453" t="s">
        <v>18</v>
      </c>
      <c r="E453" t="s">
        <v>17</v>
      </c>
      <c r="F453" t="s">
        <v>19</v>
      </c>
      <c r="J453" s="2"/>
    </row>
    <row r="454" spans="1:10" customFormat="1" ht="16" x14ac:dyDescent="0.2">
      <c r="A454" t="s">
        <v>203</v>
      </c>
      <c r="B454">
        <v>8.4039805756723712E-6</v>
      </c>
      <c r="C454" t="s">
        <v>18</v>
      </c>
      <c r="E454" t="s">
        <v>9</v>
      </c>
      <c r="F454" t="s">
        <v>23</v>
      </c>
      <c r="G454" t="s">
        <v>204</v>
      </c>
      <c r="J454" s="2"/>
    </row>
    <row r="455" spans="1:10" customFormat="1" ht="16" x14ac:dyDescent="0.2">
      <c r="A455" t="s">
        <v>146</v>
      </c>
      <c r="B455">
        <v>1.3427927506200167E-4</v>
      </c>
      <c r="C455" t="s">
        <v>18</v>
      </c>
      <c r="E455" t="s">
        <v>9</v>
      </c>
      <c r="F455" t="s">
        <v>23</v>
      </c>
      <c r="G455" t="s">
        <v>146</v>
      </c>
      <c r="J455" s="2"/>
    </row>
    <row r="456" spans="1:10" customFormat="1" ht="16" x14ac:dyDescent="0.2">
      <c r="A456" s="2" t="s">
        <v>276</v>
      </c>
      <c r="B456">
        <f>1/43</f>
        <v>2.3255813953488372E-2</v>
      </c>
      <c r="C456" t="s">
        <v>18</v>
      </c>
      <c r="E456" t="s">
        <v>9</v>
      </c>
      <c r="F456" t="s">
        <v>23</v>
      </c>
      <c r="G456" t="s">
        <v>277</v>
      </c>
      <c r="J456" s="2"/>
    </row>
    <row r="457" spans="1:10" customFormat="1" ht="16" x14ac:dyDescent="0.2">
      <c r="A457" t="s">
        <v>45</v>
      </c>
      <c r="B457" s="3">
        <v>7.1455665432553858E-7</v>
      </c>
      <c r="D457" t="s">
        <v>14</v>
      </c>
      <c r="E457" t="s">
        <v>9</v>
      </c>
      <c r="F457" s="2" t="s">
        <v>15</v>
      </c>
      <c r="G457" s="3"/>
      <c r="J457" s="2"/>
    </row>
    <row r="458" spans="1:10" customFormat="1" ht="16" x14ac:dyDescent="0.2">
      <c r="A458" t="s">
        <v>46</v>
      </c>
      <c r="B458" s="3">
        <v>3.2468920124586623E-7</v>
      </c>
      <c r="D458" t="s">
        <v>14</v>
      </c>
      <c r="E458" t="s">
        <v>9</v>
      </c>
      <c r="F458" s="2" t="s">
        <v>15</v>
      </c>
      <c r="G458" s="3"/>
      <c r="J458" s="2"/>
    </row>
    <row r="459" spans="1:10" customFormat="1" ht="16" x14ac:dyDescent="0.2">
      <c r="A459" t="s">
        <v>47</v>
      </c>
      <c r="B459" s="3">
        <v>3.9534349472964383E-7</v>
      </c>
      <c r="D459" t="s">
        <v>14</v>
      </c>
      <c r="E459" t="s">
        <v>9</v>
      </c>
      <c r="F459" s="2" t="s">
        <v>15</v>
      </c>
      <c r="G459" s="3"/>
      <c r="J459" s="2"/>
    </row>
    <row r="460" spans="1:10" customFormat="1" ht="16" x14ac:dyDescent="0.2">
      <c r="A460" t="s">
        <v>48</v>
      </c>
      <c r="B460" s="3">
        <v>3.7209280955662761E-7</v>
      </c>
      <c r="D460" t="s">
        <v>14</v>
      </c>
      <c r="E460" t="s">
        <v>9</v>
      </c>
      <c r="F460" s="2" t="s">
        <v>15</v>
      </c>
      <c r="G460" s="3"/>
      <c r="J460" s="2"/>
    </row>
    <row r="461" spans="1:10" customFormat="1" ht="16" x14ac:dyDescent="0.2">
      <c r="A461" t="s">
        <v>49</v>
      </c>
      <c r="B461" s="3">
        <v>9.4995966427857817E-8</v>
      </c>
      <c r="D461" t="s">
        <v>14</v>
      </c>
      <c r="E461" t="s">
        <v>9</v>
      </c>
      <c r="F461" s="2" t="s">
        <v>15</v>
      </c>
      <c r="G461" s="3"/>
      <c r="J461" s="2"/>
    </row>
    <row r="462" spans="1:10" customFormat="1" ht="16" x14ac:dyDescent="0.2">
      <c r="A462" t="s">
        <v>50</v>
      </c>
      <c r="B462" s="3">
        <v>2.186743705223342E-7</v>
      </c>
      <c r="D462" t="s">
        <v>14</v>
      </c>
      <c r="E462" t="s">
        <v>9</v>
      </c>
      <c r="F462" s="2" t="s">
        <v>15</v>
      </c>
      <c r="G462" s="3"/>
      <c r="J462" s="2"/>
    </row>
    <row r="463" spans="1:10" customFormat="1" ht="16" x14ac:dyDescent="0.2">
      <c r="A463" t="s">
        <v>51</v>
      </c>
      <c r="B463" s="3">
        <v>1.2147463123534157E-8</v>
      </c>
      <c r="D463" t="s">
        <v>14</v>
      </c>
      <c r="E463" t="s">
        <v>9</v>
      </c>
      <c r="F463" s="2" t="s">
        <v>15</v>
      </c>
      <c r="G463" s="3"/>
      <c r="J463" s="2"/>
    </row>
    <row r="464" spans="1:10" customFormat="1" ht="16" x14ac:dyDescent="0.2">
      <c r="A464" t="s">
        <v>52</v>
      </c>
      <c r="B464" s="3">
        <v>2.3255800597289225E-10</v>
      </c>
      <c r="D464" t="s">
        <v>14</v>
      </c>
      <c r="E464" t="s">
        <v>9</v>
      </c>
      <c r="F464" s="2" t="s">
        <v>15</v>
      </c>
      <c r="G464" s="3"/>
      <c r="J464" s="2"/>
    </row>
    <row r="465" spans="1:10" customFormat="1" ht="16" x14ac:dyDescent="0.2">
      <c r="A465" t="s">
        <v>123</v>
      </c>
      <c r="B465">
        <f>B456*3.15</f>
        <v>7.3255813953488375E-2</v>
      </c>
      <c r="D465" t="s">
        <v>14</v>
      </c>
      <c r="E465" t="s">
        <v>9</v>
      </c>
      <c r="F465" s="2" t="s">
        <v>15</v>
      </c>
      <c r="G465" s="3"/>
      <c r="J465" s="2"/>
    </row>
    <row r="466" spans="1:10" customFormat="1" ht="16" x14ac:dyDescent="0.2">
      <c r="A466" t="s">
        <v>124</v>
      </c>
      <c r="B466" s="3">
        <v>2.1069404153243686E-5</v>
      </c>
      <c r="D466" t="s">
        <v>14</v>
      </c>
      <c r="E466" t="s">
        <v>9</v>
      </c>
      <c r="F466" s="2" t="s">
        <v>15</v>
      </c>
      <c r="G466" s="3"/>
      <c r="J466" s="2"/>
    </row>
    <row r="467" spans="1:10" customFormat="1" ht="16" x14ac:dyDescent="0.2">
      <c r="A467" t="s">
        <v>55</v>
      </c>
      <c r="B467" s="3">
        <v>1.1627900298644613E-9</v>
      </c>
      <c r="D467" t="s">
        <v>14</v>
      </c>
      <c r="E467" t="s">
        <v>9</v>
      </c>
      <c r="F467" s="2" t="s">
        <v>15</v>
      </c>
      <c r="G467" s="3"/>
      <c r="J467" s="2"/>
    </row>
    <row r="468" spans="1:10" customFormat="1" ht="16" x14ac:dyDescent="0.2">
      <c r="A468" t="s">
        <v>56</v>
      </c>
      <c r="B468" s="3">
        <v>2.3255800597289222E-12</v>
      </c>
      <c r="D468" t="s">
        <v>14</v>
      </c>
      <c r="E468" t="s">
        <v>9</v>
      </c>
      <c r="F468" s="2" t="s">
        <v>15</v>
      </c>
      <c r="G468" s="3"/>
      <c r="J468" s="2"/>
    </row>
    <row r="469" spans="1:10" customFormat="1" ht="16" x14ac:dyDescent="0.2">
      <c r="A469" t="s">
        <v>57</v>
      </c>
      <c r="B469" s="3">
        <v>3.9534861015391682E-8</v>
      </c>
      <c r="D469" t="s">
        <v>14</v>
      </c>
      <c r="E469" t="s">
        <v>9</v>
      </c>
      <c r="F469" s="2" t="s">
        <v>15</v>
      </c>
      <c r="G469" s="3"/>
      <c r="J469" s="2"/>
    </row>
    <row r="470" spans="1:10" customFormat="1" ht="16" x14ac:dyDescent="0.2">
      <c r="A470" t="s">
        <v>152</v>
      </c>
      <c r="B470" s="3">
        <v>7.1789570411210658E-8</v>
      </c>
      <c r="D470" t="s">
        <v>14</v>
      </c>
      <c r="E470" t="s">
        <v>9</v>
      </c>
      <c r="F470" s="2" t="s">
        <v>15</v>
      </c>
      <c r="G470" s="3"/>
      <c r="J470" s="2"/>
    </row>
    <row r="471" spans="1:10" customFormat="1" ht="16" x14ac:dyDescent="0.2">
      <c r="A471" t="s">
        <v>58</v>
      </c>
      <c r="B471" s="3">
        <v>1.1627900298644611E-6</v>
      </c>
      <c r="D471" t="s">
        <v>14</v>
      </c>
      <c r="E471" t="s">
        <v>9</v>
      </c>
      <c r="F471" s="2" t="s">
        <v>15</v>
      </c>
      <c r="G471" s="3"/>
      <c r="J471" s="2"/>
    </row>
    <row r="472" spans="1:10" customFormat="1" ht="16" x14ac:dyDescent="0.2">
      <c r="A472" t="s">
        <v>59</v>
      </c>
      <c r="B472" s="3">
        <v>3.646242366932188E-8</v>
      </c>
      <c r="D472" t="s">
        <v>14</v>
      </c>
      <c r="E472" t="s">
        <v>9</v>
      </c>
      <c r="F472" s="2" t="s">
        <v>15</v>
      </c>
      <c r="G472" s="3"/>
      <c r="J472" s="2"/>
    </row>
    <row r="473" spans="1:10" customFormat="1" ht="16" x14ac:dyDescent="0.2">
      <c r="A473" t="s">
        <v>60</v>
      </c>
      <c r="B473" s="3">
        <v>1.2114072625668476E-6</v>
      </c>
      <c r="D473" t="s">
        <v>14</v>
      </c>
      <c r="E473" t="s">
        <v>9</v>
      </c>
      <c r="F473" s="2" t="s">
        <v>15</v>
      </c>
      <c r="G473" s="3"/>
      <c r="J473" s="2"/>
    </row>
    <row r="474" spans="1:10" customFormat="1" ht="16" x14ac:dyDescent="0.2">
      <c r="A474" t="s">
        <v>61</v>
      </c>
      <c r="B474" s="3">
        <v>1.3252688602888143E-6</v>
      </c>
      <c r="D474" t="s">
        <v>14</v>
      </c>
      <c r="E474" t="s">
        <v>9</v>
      </c>
      <c r="F474" s="2" t="s">
        <v>15</v>
      </c>
      <c r="G474" s="3"/>
      <c r="J474" s="2"/>
    </row>
    <row r="475" spans="1:10" customFormat="1" ht="16" x14ac:dyDescent="0.2">
      <c r="A475" t="s">
        <v>62</v>
      </c>
      <c r="B475" s="3">
        <v>2.2087814338146904E-8</v>
      </c>
      <c r="D475" t="s">
        <v>14</v>
      </c>
      <c r="E475" t="s">
        <v>9</v>
      </c>
      <c r="F475" s="2" t="s">
        <v>15</v>
      </c>
      <c r="G475" s="3"/>
      <c r="J475" s="2"/>
    </row>
    <row r="476" spans="1:10" customFormat="1" ht="16" x14ac:dyDescent="0.2">
      <c r="A476" t="s">
        <v>63</v>
      </c>
      <c r="B476" s="3">
        <v>1.9186035492763611E-15</v>
      </c>
      <c r="D476" t="s">
        <v>14</v>
      </c>
      <c r="E476" t="s">
        <v>9</v>
      </c>
      <c r="F476" s="2" t="s">
        <v>15</v>
      </c>
      <c r="G476" s="3"/>
      <c r="J476" s="2"/>
    </row>
    <row r="477" spans="1:10" customFormat="1" ht="16" x14ac:dyDescent="0.2">
      <c r="A477" t="s">
        <v>64</v>
      </c>
      <c r="B477" s="3">
        <v>4.6511601194578451E-13</v>
      </c>
      <c r="D477" t="s">
        <v>14</v>
      </c>
      <c r="E477" t="s">
        <v>9</v>
      </c>
      <c r="F477" s="2" t="s">
        <v>15</v>
      </c>
      <c r="G477" s="3"/>
      <c r="J477" s="2"/>
    </row>
    <row r="478" spans="1:10" customFormat="1" ht="16" x14ac:dyDescent="0.2">
      <c r="A478" t="s">
        <v>180</v>
      </c>
      <c r="B478" s="3">
        <v>6.6447090752701953E-7</v>
      </c>
      <c r="D478" t="s">
        <v>14</v>
      </c>
      <c r="E478" t="s">
        <v>9</v>
      </c>
      <c r="F478" s="2" t="s">
        <v>15</v>
      </c>
      <c r="G478" s="3"/>
      <c r="J478" s="2"/>
    </row>
    <row r="479" spans="1:10" customFormat="1" ht="16" x14ac:dyDescent="0.2">
      <c r="A479" t="s">
        <v>66</v>
      </c>
      <c r="B479" s="3">
        <v>1.3252688602888143E-7</v>
      </c>
      <c r="D479" t="s">
        <v>14</v>
      </c>
      <c r="E479" t="s">
        <v>9</v>
      </c>
      <c r="F479" s="2" t="s">
        <v>15</v>
      </c>
      <c r="G479" s="3"/>
      <c r="J479" s="2"/>
    </row>
    <row r="480" spans="1:10" customFormat="1" ht="16" x14ac:dyDescent="0.2">
      <c r="A480" t="s">
        <v>67</v>
      </c>
      <c r="B480" s="3">
        <v>5.8566933256401625E-6</v>
      </c>
      <c r="D480" t="s">
        <v>14</v>
      </c>
      <c r="E480" t="s">
        <v>9</v>
      </c>
      <c r="F480" s="2" t="s">
        <v>15</v>
      </c>
      <c r="G480" s="3"/>
      <c r="J480" s="2"/>
    </row>
    <row r="481" spans="1:10" customFormat="1" ht="16" x14ac:dyDescent="0.2">
      <c r="A481" t="s">
        <v>68</v>
      </c>
      <c r="B481" s="3">
        <v>1.6279060418102458E-9</v>
      </c>
      <c r="D481" t="s">
        <v>14</v>
      </c>
      <c r="E481" t="s">
        <v>9</v>
      </c>
      <c r="F481" s="2" t="s">
        <v>15</v>
      </c>
      <c r="G481" s="3"/>
      <c r="J481" s="2"/>
    </row>
    <row r="482" spans="1:10" customFormat="1" ht="16" x14ac:dyDescent="0.2">
      <c r="A482" t="s">
        <v>69</v>
      </c>
      <c r="B482">
        <v>2.2614048584510013E-4</v>
      </c>
      <c r="D482" t="s">
        <v>14</v>
      </c>
      <c r="E482" t="s">
        <v>9</v>
      </c>
      <c r="F482" s="2" t="s">
        <v>15</v>
      </c>
      <c r="G482" s="3"/>
      <c r="J482" s="2"/>
    </row>
    <row r="483" spans="1:10" customFormat="1" ht="16" x14ac:dyDescent="0.2">
      <c r="A483" t="s">
        <v>70</v>
      </c>
      <c r="B483" s="3">
        <v>4.2883696301401334E-9</v>
      </c>
      <c r="D483" t="s">
        <v>14</v>
      </c>
      <c r="E483" t="s">
        <v>9</v>
      </c>
      <c r="F483" s="2" t="s">
        <v>15</v>
      </c>
      <c r="G483" s="3"/>
      <c r="J483" s="2"/>
    </row>
    <row r="484" spans="1:10" customFormat="1" ht="16" x14ac:dyDescent="0.2">
      <c r="A484" t="s">
        <v>71</v>
      </c>
      <c r="B484" s="3">
        <v>6.3929447213629726E-7</v>
      </c>
      <c r="D484" t="s">
        <v>14</v>
      </c>
      <c r="E484" t="s">
        <v>9</v>
      </c>
      <c r="F484" s="2" t="s">
        <v>15</v>
      </c>
      <c r="G484" s="3"/>
      <c r="J484" s="2"/>
    </row>
    <row r="485" spans="1:10" customFormat="1" ht="16" x14ac:dyDescent="0.2">
      <c r="A485" t="s">
        <v>72</v>
      </c>
      <c r="B485" s="3">
        <v>4.417562867629381E-9</v>
      </c>
      <c r="D485" t="s">
        <v>14</v>
      </c>
      <c r="E485" t="s">
        <v>9</v>
      </c>
      <c r="F485" s="2" t="s">
        <v>15</v>
      </c>
      <c r="G485" s="3"/>
      <c r="J485" s="2"/>
    </row>
    <row r="486" spans="1:10" customFormat="1" ht="16" x14ac:dyDescent="0.2">
      <c r="A486" t="s">
        <v>73</v>
      </c>
      <c r="B486" s="3">
        <v>1.2147463123534157E-8</v>
      </c>
      <c r="D486" t="s">
        <v>14</v>
      </c>
      <c r="E486" t="s">
        <v>9</v>
      </c>
      <c r="F486" s="2" t="s">
        <v>15</v>
      </c>
      <c r="G486" s="3"/>
      <c r="J486" s="2"/>
    </row>
    <row r="487" spans="1:10" customFormat="1" ht="16" x14ac:dyDescent="0.2">
      <c r="A487" t="s">
        <v>74</v>
      </c>
      <c r="B487" s="3">
        <v>3.9768082958024133E-7</v>
      </c>
      <c r="D487" t="s">
        <v>14</v>
      </c>
      <c r="E487" t="s">
        <v>9</v>
      </c>
      <c r="F487" s="2" t="s">
        <v>15</v>
      </c>
      <c r="G487" s="3"/>
      <c r="J487" s="2"/>
    </row>
    <row r="488" spans="1:10" customFormat="1" ht="16" x14ac:dyDescent="0.2">
      <c r="A488" t="s">
        <v>75</v>
      </c>
      <c r="B488" s="3">
        <v>2.3255800597289225E-10</v>
      </c>
      <c r="D488" t="s">
        <v>14</v>
      </c>
      <c r="E488" t="s">
        <v>9</v>
      </c>
      <c r="F488" s="2" t="s">
        <v>15</v>
      </c>
      <c r="G488" s="3"/>
      <c r="J488" s="2"/>
    </row>
    <row r="489" spans="1:10" customFormat="1" ht="16" x14ac:dyDescent="0.2">
      <c r="A489" t="s">
        <v>76</v>
      </c>
      <c r="B489" s="3">
        <v>4.0869969387591558E-8</v>
      </c>
      <c r="D489" t="s">
        <v>14</v>
      </c>
      <c r="E489" t="s">
        <v>9</v>
      </c>
      <c r="F489" s="2" t="s">
        <v>15</v>
      </c>
      <c r="G489" s="3"/>
      <c r="J489" s="2"/>
    </row>
    <row r="490" spans="1:10" customFormat="1" ht="16" x14ac:dyDescent="0.2">
      <c r="A490" t="s">
        <v>77</v>
      </c>
      <c r="B490" s="3">
        <v>4.651160119457845E-7</v>
      </c>
      <c r="D490" t="s">
        <v>14</v>
      </c>
      <c r="E490" t="s">
        <v>9</v>
      </c>
      <c r="F490" s="2" t="s">
        <v>15</v>
      </c>
      <c r="G490" s="3"/>
      <c r="J490" s="2"/>
    </row>
    <row r="491" spans="1:10" customFormat="1" ht="16" x14ac:dyDescent="0.2">
      <c r="A491" t="s">
        <v>78</v>
      </c>
      <c r="B491" s="3">
        <v>7.619711612948033E-8</v>
      </c>
      <c r="D491" t="s">
        <v>14</v>
      </c>
      <c r="E491" t="s">
        <v>9</v>
      </c>
      <c r="F491" s="2" t="s">
        <v>15</v>
      </c>
      <c r="G491" s="3"/>
      <c r="J491" s="2"/>
    </row>
    <row r="492" spans="1:10" customFormat="1" ht="16" x14ac:dyDescent="0.2">
      <c r="A492" t="s">
        <v>79</v>
      </c>
      <c r="B492" s="3">
        <v>2.3255800597289226E-8</v>
      </c>
      <c r="D492" t="s">
        <v>14</v>
      </c>
      <c r="E492" t="s">
        <v>9</v>
      </c>
      <c r="F492" s="2" t="s">
        <v>15</v>
      </c>
      <c r="G492" s="3"/>
      <c r="J492" s="2"/>
    </row>
    <row r="493" spans="1:10" customFormat="1" ht="16" x14ac:dyDescent="0.2">
      <c r="A493" t="s">
        <v>80</v>
      </c>
      <c r="B493" s="3">
        <v>6.7382024692940973E-8</v>
      </c>
      <c r="D493" t="s">
        <v>14</v>
      </c>
      <c r="E493" t="s">
        <v>9</v>
      </c>
      <c r="F493" s="2" t="s">
        <v>15</v>
      </c>
      <c r="G493" s="3"/>
      <c r="J493" s="2"/>
    </row>
    <row r="494" spans="1:10" customFormat="1" ht="16" x14ac:dyDescent="0.2">
      <c r="A494" t="s">
        <v>81</v>
      </c>
      <c r="B494" s="3">
        <v>2.9821053643838246E-8</v>
      </c>
      <c r="D494" t="s">
        <v>14</v>
      </c>
      <c r="E494" t="s">
        <v>9</v>
      </c>
      <c r="F494" s="2" t="s">
        <v>15</v>
      </c>
      <c r="G494" s="3"/>
      <c r="J494" s="2"/>
    </row>
    <row r="495" spans="1:10" customFormat="1" ht="16" x14ac:dyDescent="0.2">
      <c r="B495" s="3"/>
    </row>
    <row r="496" spans="1:10" x14ac:dyDescent="0.2">
      <c r="A496" s="17" t="s">
        <v>2</v>
      </c>
      <c r="B496" s="17" t="s">
        <v>205</v>
      </c>
    </row>
    <row r="497" spans="1:12" customFormat="1" ht="16" x14ac:dyDescent="0.2">
      <c r="A497" t="s">
        <v>153</v>
      </c>
      <c r="B497" t="s">
        <v>206</v>
      </c>
    </row>
    <row r="498" spans="1:12" customFormat="1" ht="16" x14ac:dyDescent="0.2">
      <c r="A498" t="s">
        <v>201</v>
      </c>
      <c r="B498" t="s">
        <v>202</v>
      </c>
    </row>
    <row r="499" spans="1:12" customFormat="1" ht="16" x14ac:dyDescent="0.2">
      <c r="A499" t="s">
        <v>3</v>
      </c>
      <c r="B499" t="s">
        <v>18</v>
      </c>
    </row>
    <row r="500" spans="1:12" customFormat="1" ht="16" x14ac:dyDescent="0.2">
      <c r="A500" t="s">
        <v>4</v>
      </c>
      <c r="B500">
        <v>1</v>
      </c>
    </row>
    <row r="501" spans="1:12" customFormat="1" ht="16" x14ac:dyDescent="0.2">
      <c r="A501" t="s">
        <v>5</v>
      </c>
      <c r="B501" t="s">
        <v>1</v>
      </c>
    </row>
    <row r="502" spans="1:12" customFormat="1" ht="16" x14ac:dyDescent="0.2">
      <c r="A502" t="s">
        <v>207</v>
      </c>
      <c r="B502" t="s">
        <v>208</v>
      </c>
    </row>
    <row r="503" spans="1:12" customFormat="1" ht="16" x14ac:dyDescent="0.2">
      <c r="A503" t="s">
        <v>6</v>
      </c>
      <c r="B503" t="s">
        <v>7</v>
      </c>
    </row>
    <row r="504" spans="1:12" customFormat="1" ht="16" x14ac:dyDescent="0.2">
      <c r="A504" t="s">
        <v>8</v>
      </c>
      <c r="B504" t="s">
        <v>17</v>
      </c>
    </row>
    <row r="505" spans="1:12" customFormat="1" ht="16" x14ac:dyDescent="0.2">
      <c r="A505" s="1" t="s">
        <v>10</v>
      </c>
    </row>
    <row r="506" spans="1:12" x14ac:dyDescent="0.2">
      <c r="A506" s="17" t="s">
        <v>11</v>
      </c>
      <c r="B506" s="17" t="s">
        <v>12</v>
      </c>
      <c r="C506" s="17" t="s">
        <v>3</v>
      </c>
      <c r="D506" s="17" t="s">
        <v>13</v>
      </c>
      <c r="E506" s="17" t="s">
        <v>8</v>
      </c>
      <c r="F506" s="17" t="s">
        <v>6</v>
      </c>
      <c r="G506" s="17" t="s">
        <v>5</v>
      </c>
      <c r="H506" s="17" t="s">
        <v>153</v>
      </c>
      <c r="I506" s="17" t="s">
        <v>182</v>
      </c>
      <c r="J506" s="17" t="s">
        <v>183</v>
      </c>
      <c r="K506" s="17" t="s">
        <v>184</v>
      </c>
      <c r="L506" s="17" t="s">
        <v>185</v>
      </c>
    </row>
    <row r="507" spans="1:12" customFormat="1" ht="16" x14ac:dyDescent="0.2">
      <c r="A507" t="s">
        <v>205</v>
      </c>
      <c r="B507">
        <v>1</v>
      </c>
      <c r="C507" t="s">
        <v>18</v>
      </c>
      <c r="E507" t="s">
        <v>17</v>
      </c>
      <c r="F507" t="s">
        <v>19</v>
      </c>
      <c r="G507" t="s">
        <v>1</v>
      </c>
    </row>
    <row r="508" spans="1:12" customFormat="1" ht="16" x14ac:dyDescent="0.2">
      <c r="A508" t="s">
        <v>92</v>
      </c>
      <c r="B508">
        <f>1/36</f>
        <v>2.7777777777777776E-2</v>
      </c>
      <c r="C508" t="s">
        <v>27</v>
      </c>
      <c r="E508" t="s">
        <v>94</v>
      </c>
      <c r="F508" t="s">
        <v>23</v>
      </c>
      <c r="G508" t="s">
        <v>93</v>
      </c>
    </row>
    <row r="509" spans="1:12" customFormat="1" ht="16" x14ac:dyDescent="0.2">
      <c r="A509" t="s">
        <v>209</v>
      </c>
      <c r="B509">
        <f>232/700000/11.99</f>
        <v>2.7642082687954249E-5</v>
      </c>
      <c r="C509" t="s">
        <v>18</v>
      </c>
      <c r="E509" t="s">
        <v>9</v>
      </c>
      <c r="F509" t="s">
        <v>23</v>
      </c>
      <c r="G509" t="s">
        <v>210</v>
      </c>
      <c r="I509">
        <v>5</v>
      </c>
      <c r="J509">
        <f>B509</f>
        <v>2.7642082687954249E-5</v>
      </c>
      <c r="K509">
        <f>155/700000/11.99</f>
        <v>1.8467770761348742E-5</v>
      </c>
      <c r="L509">
        <f>309/700000/11.99</f>
        <v>3.6816394614559746E-5</v>
      </c>
    </row>
    <row r="510" spans="1:12" customFormat="1" ht="16" x14ac:dyDescent="0.2">
      <c r="A510" t="s">
        <v>146</v>
      </c>
      <c r="B510">
        <v>1.2763976504487801E-4</v>
      </c>
      <c r="C510" t="s">
        <v>18</v>
      </c>
      <c r="E510" t="s">
        <v>9</v>
      </c>
      <c r="F510" t="s">
        <v>23</v>
      </c>
      <c r="G510" t="s">
        <v>146</v>
      </c>
      <c r="I510">
        <v>5</v>
      </c>
      <c r="J510">
        <f>B510</f>
        <v>1.2763976504487801E-4</v>
      </c>
      <c r="K510">
        <f>J510*(700000/1000000)</f>
        <v>8.9347835531414601E-5</v>
      </c>
      <c r="L510">
        <f>J510*(700000/500000)</f>
        <v>1.786956710628292E-4</v>
      </c>
    </row>
    <row r="511" spans="1:12" customFormat="1" ht="16" x14ac:dyDescent="0.2">
      <c r="A511" t="s">
        <v>48</v>
      </c>
      <c r="B511" s="3">
        <v>4.4166666666666577E-6</v>
      </c>
      <c r="D511" t="s">
        <v>14</v>
      </c>
      <c r="E511" t="s">
        <v>9</v>
      </c>
      <c r="F511" s="2" t="s">
        <v>15</v>
      </c>
      <c r="I511" s="10"/>
    </row>
    <row r="512" spans="1:12" customFormat="1" ht="16" x14ac:dyDescent="0.2">
      <c r="A512" t="s">
        <v>50</v>
      </c>
      <c r="B512" s="3">
        <v>7.5082705379565517E-7</v>
      </c>
      <c r="D512" t="s">
        <v>14</v>
      </c>
      <c r="E512" t="s">
        <v>9</v>
      </c>
      <c r="F512" s="2" t="s">
        <v>15</v>
      </c>
      <c r="I512" s="10"/>
    </row>
    <row r="513" spans="1:9" customFormat="1" ht="16" x14ac:dyDescent="0.2">
      <c r="A513" t="s">
        <v>53</v>
      </c>
      <c r="B513">
        <f>1.96*B508</f>
        <v>5.4444444444444441E-2</v>
      </c>
      <c r="D513" t="s">
        <v>14</v>
      </c>
      <c r="E513" t="s">
        <v>9</v>
      </c>
      <c r="F513" s="2" t="s">
        <v>15</v>
      </c>
      <c r="H513" t="s">
        <v>298</v>
      </c>
      <c r="I513" s="10"/>
    </row>
    <row r="514" spans="1:9" customFormat="1" ht="16" x14ac:dyDescent="0.2">
      <c r="A514" t="s">
        <v>54</v>
      </c>
      <c r="B514">
        <v>2.6360440412565261E-4</v>
      </c>
      <c r="D514" t="s">
        <v>14</v>
      </c>
      <c r="E514" t="s">
        <v>9</v>
      </c>
      <c r="F514" s="2" t="s">
        <v>15</v>
      </c>
      <c r="I514" s="10"/>
    </row>
    <row r="515" spans="1:9" customFormat="1" ht="16" x14ac:dyDescent="0.2">
      <c r="A515" t="s">
        <v>58</v>
      </c>
      <c r="B515" s="3">
        <v>9.6666666666666532E-7</v>
      </c>
      <c r="D515" t="s">
        <v>14</v>
      </c>
      <c r="E515" t="s">
        <v>9</v>
      </c>
      <c r="F515" s="2" t="s">
        <v>15</v>
      </c>
      <c r="I515" s="10"/>
    </row>
    <row r="516" spans="1:9" customFormat="1" ht="16" x14ac:dyDescent="0.2">
      <c r="A516" t="s">
        <v>64</v>
      </c>
      <c r="B516" s="3">
        <v>2.7750000000000002E-10</v>
      </c>
      <c r="D516" t="s">
        <v>14</v>
      </c>
      <c r="E516" t="s">
        <v>9</v>
      </c>
      <c r="F516" s="2" t="s">
        <v>15</v>
      </c>
      <c r="I516" s="10"/>
    </row>
    <row r="517" spans="1:9" customFormat="1" ht="16" x14ac:dyDescent="0.2">
      <c r="A517" t="s">
        <v>65</v>
      </c>
      <c r="B517" s="3">
        <v>1.606690212560312E-5</v>
      </c>
      <c r="D517" t="s">
        <v>14</v>
      </c>
      <c r="E517" t="s">
        <v>9</v>
      </c>
      <c r="F517" s="2" t="s">
        <v>15</v>
      </c>
      <c r="I517" s="10"/>
    </row>
    <row r="518" spans="1:9" customFormat="1" ht="16" x14ac:dyDescent="0.2">
      <c r="A518" t="s">
        <v>67</v>
      </c>
      <c r="B518" s="3">
        <v>6.8382126269474045E-6</v>
      </c>
      <c r="D518" t="s">
        <v>14</v>
      </c>
      <c r="E518" t="s">
        <v>9</v>
      </c>
      <c r="F518" s="2" t="s">
        <v>15</v>
      </c>
      <c r="I518" s="10"/>
    </row>
    <row r="519" spans="1:9" customFormat="1" ht="16" x14ac:dyDescent="0.2">
      <c r="A519" t="s">
        <v>69</v>
      </c>
      <c r="B519" s="3">
        <v>2.9605693862641999E-6</v>
      </c>
      <c r="D519" t="s">
        <v>14</v>
      </c>
      <c r="E519" t="s">
        <v>9</v>
      </c>
      <c r="F519" s="2" t="s">
        <v>15</v>
      </c>
      <c r="I519" s="10"/>
    </row>
    <row r="520" spans="1:9" customFormat="1" ht="16" x14ac:dyDescent="0.2">
      <c r="A520" t="s">
        <v>71</v>
      </c>
      <c r="B520" s="3">
        <v>1.4636237937232238E-7</v>
      </c>
      <c r="D520" t="s">
        <v>14</v>
      </c>
      <c r="E520" t="s">
        <v>9</v>
      </c>
      <c r="F520" s="2" t="s">
        <v>15</v>
      </c>
      <c r="I520" s="10"/>
    </row>
    <row r="521" spans="1:9" customFormat="1" ht="16" x14ac:dyDescent="0.2">
      <c r="A521" t="s">
        <v>77</v>
      </c>
      <c r="B521" s="3">
        <v>5.6430000000000142E-7</v>
      </c>
      <c r="D521" t="s">
        <v>14</v>
      </c>
      <c r="E521" t="s">
        <v>9</v>
      </c>
      <c r="F521" s="2" t="s">
        <v>15</v>
      </c>
      <c r="I521" s="10"/>
    </row>
    <row r="522" spans="1:9" customFormat="1" ht="16" x14ac:dyDescent="0.2">
      <c r="A522" t="s">
        <v>78</v>
      </c>
      <c r="B522" s="3">
        <v>2.2336471011856279E-6</v>
      </c>
      <c r="D522" t="s">
        <v>14</v>
      </c>
      <c r="E522" t="s">
        <v>9</v>
      </c>
      <c r="F522" s="2" t="s">
        <v>15</v>
      </c>
      <c r="I522" s="10"/>
    </row>
    <row r="523" spans="1:9" customFormat="1" ht="16" x14ac:dyDescent="0.2">
      <c r="B523" s="3"/>
    </row>
    <row r="524" spans="1:9" x14ac:dyDescent="0.2">
      <c r="A524" s="17" t="s">
        <v>2</v>
      </c>
      <c r="B524" s="17" t="s">
        <v>272</v>
      </c>
    </row>
    <row r="525" spans="1:9" customFormat="1" ht="16" x14ac:dyDescent="0.2">
      <c r="A525" t="s">
        <v>153</v>
      </c>
      <c r="B525" t="s">
        <v>206</v>
      </c>
    </row>
    <row r="526" spans="1:9" customFormat="1" ht="16" x14ac:dyDescent="0.2">
      <c r="A526" t="s">
        <v>201</v>
      </c>
      <c r="B526" t="s">
        <v>202</v>
      </c>
    </row>
    <row r="527" spans="1:9" customFormat="1" ht="16" x14ac:dyDescent="0.2">
      <c r="A527" t="s">
        <v>3</v>
      </c>
      <c r="B527" t="s">
        <v>18</v>
      </c>
    </row>
    <row r="528" spans="1:9" customFormat="1" ht="16" x14ac:dyDescent="0.2">
      <c r="A528" t="s">
        <v>4</v>
      </c>
      <c r="B528">
        <v>1</v>
      </c>
    </row>
    <row r="529" spans="1:12" customFormat="1" ht="16" x14ac:dyDescent="0.2">
      <c r="A529" t="s">
        <v>5</v>
      </c>
      <c r="B529" t="s">
        <v>1</v>
      </c>
    </row>
    <row r="530" spans="1:12" customFormat="1" ht="16" x14ac:dyDescent="0.2">
      <c r="A530" t="s">
        <v>207</v>
      </c>
      <c r="B530" t="s">
        <v>208</v>
      </c>
    </row>
    <row r="531" spans="1:12" customFormat="1" ht="16" x14ac:dyDescent="0.2">
      <c r="A531" t="s">
        <v>6</v>
      </c>
      <c r="B531" t="s">
        <v>7</v>
      </c>
    </row>
    <row r="532" spans="1:12" customFormat="1" ht="16" x14ac:dyDescent="0.2">
      <c r="A532" t="s">
        <v>8</v>
      </c>
      <c r="B532" t="s">
        <v>17</v>
      </c>
    </row>
    <row r="533" spans="1:12" customFormat="1" ht="16" x14ac:dyDescent="0.2">
      <c r="A533" s="1" t="s">
        <v>10</v>
      </c>
    </row>
    <row r="534" spans="1:12" x14ac:dyDescent="0.2">
      <c r="A534" s="17" t="s">
        <v>11</v>
      </c>
      <c r="B534" s="17" t="s">
        <v>12</v>
      </c>
      <c r="C534" s="17" t="s">
        <v>3</v>
      </c>
      <c r="D534" s="17" t="s">
        <v>13</v>
      </c>
      <c r="E534" s="17" t="s">
        <v>8</v>
      </c>
      <c r="F534" s="17" t="s">
        <v>6</v>
      </c>
      <c r="G534" s="17" t="s">
        <v>5</v>
      </c>
      <c r="H534" s="17" t="s">
        <v>153</v>
      </c>
      <c r="I534" s="17" t="s">
        <v>182</v>
      </c>
      <c r="J534" s="17" t="s">
        <v>183</v>
      </c>
      <c r="K534" s="17" t="s">
        <v>184</v>
      </c>
      <c r="L534" s="17" t="s">
        <v>185</v>
      </c>
    </row>
    <row r="535" spans="1:12" customFormat="1" ht="16" x14ac:dyDescent="0.2">
      <c r="A535" t="s">
        <v>272</v>
      </c>
      <c r="B535">
        <v>1</v>
      </c>
      <c r="C535" t="s">
        <v>18</v>
      </c>
      <c r="E535" t="s">
        <v>17</v>
      </c>
      <c r="F535" t="s">
        <v>19</v>
      </c>
      <c r="G535" t="s">
        <v>1</v>
      </c>
    </row>
    <row r="536" spans="1:12" customFormat="1" ht="16" x14ac:dyDescent="0.2">
      <c r="A536" t="s">
        <v>311</v>
      </c>
      <c r="B536">
        <f>1/47.5</f>
        <v>2.1052631578947368E-2</v>
      </c>
      <c r="C536" t="s">
        <v>18</v>
      </c>
      <c r="E536" t="s">
        <v>9</v>
      </c>
      <c r="F536" t="s">
        <v>23</v>
      </c>
      <c r="G536" t="s">
        <v>270</v>
      </c>
    </row>
    <row r="537" spans="1:12" customFormat="1" ht="16" x14ac:dyDescent="0.2">
      <c r="A537" t="s">
        <v>209</v>
      </c>
      <c r="B537">
        <f>232/700000/11.99</f>
        <v>2.7642082687954249E-5</v>
      </c>
      <c r="C537" t="s">
        <v>18</v>
      </c>
      <c r="E537" t="s">
        <v>9</v>
      </c>
      <c r="F537" t="s">
        <v>23</v>
      </c>
      <c r="G537" t="s">
        <v>210</v>
      </c>
      <c r="I537">
        <v>5</v>
      </c>
      <c r="J537">
        <f>B537</f>
        <v>2.7642082687954249E-5</v>
      </c>
      <c r="K537">
        <f>155/700000/11.99</f>
        <v>1.8467770761348742E-5</v>
      </c>
      <c r="L537">
        <f>309/700000/11.99</f>
        <v>3.6816394614559746E-5</v>
      </c>
    </row>
    <row r="538" spans="1:12" customFormat="1" ht="16" x14ac:dyDescent="0.2">
      <c r="A538" t="s">
        <v>146</v>
      </c>
      <c r="B538">
        <v>1.2763976504487801E-4</v>
      </c>
      <c r="C538" t="s">
        <v>18</v>
      </c>
      <c r="E538" t="s">
        <v>9</v>
      </c>
      <c r="F538" t="s">
        <v>23</v>
      </c>
      <c r="G538" t="s">
        <v>146</v>
      </c>
      <c r="I538">
        <v>5</v>
      </c>
      <c r="J538">
        <f>B538</f>
        <v>1.2763976504487801E-4</v>
      </c>
      <c r="K538">
        <f>J538*(700000/1000000)</f>
        <v>8.9347835531414601E-5</v>
      </c>
      <c r="L538">
        <f>J538*(700000/500000)</f>
        <v>1.786956710628292E-4</v>
      </c>
    </row>
    <row r="539" spans="1:12" customFormat="1" ht="16" x14ac:dyDescent="0.2">
      <c r="A539" t="s">
        <v>48</v>
      </c>
      <c r="B539" s="3">
        <v>4.4166666666666577E-6</v>
      </c>
      <c r="D539" t="s">
        <v>14</v>
      </c>
      <c r="E539" t="s">
        <v>9</v>
      </c>
      <c r="F539" s="2" t="s">
        <v>15</v>
      </c>
      <c r="I539" s="10"/>
    </row>
    <row r="540" spans="1:12" customFormat="1" ht="16" x14ac:dyDescent="0.2">
      <c r="A540" t="s">
        <v>50</v>
      </c>
      <c r="B540" s="3">
        <v>7.5082705379565517E-7</v>
      </c>
      <c r="D540" t="s">
        <v>14</v>
      </c>
      <c r="E540" t="s">
        <v>9</v>
      </c>
      <c r="F540" s="2" t="s">
        <v>15</v>
      </c>
      <c r="I540" s="10"/>
    </row>
    <row r="541" spans="1:12" customFormat="1" ht="16" x14ac:dyDescent="0.2">
      <c r="A541" t="s">
        <v>123</v>
      </c>
      <c r="B541">
        <f>2.74*B536</f>
        <v>5.7684210526315789E-2</v>
      </c>
      <c r="D541" t="s">
        <v>14</v>
      </c>
      <c r="E541" t="s">
        <v>9</v>
      </c>
      <c r="F541" s="2" t="s">
        <v>15</v>
      </c>
      <c r="H541" t="s">
        <v>299</v>
      </c>
      <c r="I541" s="10"/>
    </row>
    <row r="542" spans="1:12" customFormat="1" ht="16" x14ac:dyDescent="0.2">
      <c r="A542" t="s">
        <v>124</v>
      </c>
      <c r="B542">
        <v>2.6360440412565261E-4</v>
      </c>
      <c r="D542" t="s">
        <v>14</v>
      </c>
      <c r="E542" t="s">
        <v>9</v>
      </c>
      <c r="F542" s="2" t="s">
        <v>15</v>
      </c>
      <c r="I542" s="10"/>
    </row>
    <row r="543" spans="1:12" customFormat="1" ht="16" x14ac:dyDescent="0.2">
      <c r="A543" t="s">
        <v>58</v>
      </c>
      <c r="B543" s="3">
        <v>9.6666666666666532E-7</v>
      </c>
      <c r="D543" t="s">
        <v>14</v>
      </c>
      <c r="E543" t="s">
        <v>9</v>
      </c>
      <c r="F543" s="2" t="s">
        <v>15</v>
      </c>
      <c r="I543" s="10"/>
    </row>
    <row r="544" spans="1:12" customFormat="1" ht="16" x14ac:dyDescent="0.2">
      <c r="A544" t="s">
        <v>64</v>
      </c>
      <c r="B544" s="3">
        <v>2.7750000000000002E-10</v>
      </c>
      <c r="D544" t="s">
        <v>14</v>
      </c>
      <c r="E544" t="s">
        <v>9</v>
      </c>
      <c r="F544" s="2" t="s">
        <v>15</v>
      </c>
      <c r="I544" s="10"/>
    </row>
    <row r="545" spans="1:9" customFormat="1" ht="16" x14ac:dyDescent="0.2">
      <c r="A545" t="s">
        <v>180</v>
      </c>
      <c r="B545" s="3">
        <v>1.606690212560312E-5</v>
      </c>
      <c r="D545" t="s">
        <v>14</v>
      </c>
      <c r="E545" t="s">
        <v>9</v>
      </c>
      <c r="F545" s="2" t="s">
        <v>15</v>
      </c>
      <c r="I545" s="10"/>
    </row>
    <row r="546" spans="1:9" customFormat="1" ht="16" x14ac:dyDescent="0.2">
      <c r="A546" t="s">
        <v>67</v>
      </c>
      <c r="B546" s="3">
        <v>6.8382126269474045E-6</v>
      </c>
      <c r="D546" t="s">
        <v>14</v>
      </c>
      <c r="E546" t="s">
        <v>9</v>
      </c>
      <c r="F546" s="2" t="s">
        <v>15</v>
      </c>
      <c r="I546" s="10"/>
    </row>
    <row r="547" spans="1:9" customFormat="1" ht="16" x14ac:dyDescent="0.2">
      <c r="A547" t="s">
        <v>69</v>
      </c>
      <c r="B547" s="3">
        <v>2.9605693862641999E-6</v>
      </c>
      <c r="D547" t="s">
        <v>14</v>
      </c>
      <c r="E547" t="s">
        <v>9</v>
      </c>
      <c r="F547" s="2" t="s">
        <v>15</v>
      </c>
      <c r="I547" s="10"/>
    </row>
    <row r="548" spans="1:9" customFormat="1" ht="16" x14ac:dyDescent="0.2">
      <c r="A548" t="s">
        <v>71</v>
      </c>
      <c r="B548" s="3">
        <v>1.4636237937232238E-7</v>
      </c>
      <c r="D548" t="s">
        <v>14</v>
      </c>
      <c r="E548" t="s">
        <v>9</v>
      </c>
      <c r="F548" s="2" t="s">
        <v>15</v>
      </c>
      <c r="I548" s="10"/>
    </row>
    <row r="549" spans="1:9" customFormat="1" ht="16" x14ac:dyDescent="0.2">
      <c r="A549" t="s">
        <v>77</v>
      </c>
      <c r="B549" s="3">
        <v>5.6430000000000142E-7</v>
      </c>
      <c r="D549" t="s">
        <v>14</v>
      </c>
      <c r="E549" t="s">
        <v>9</v>
      </c>
      <c r="F549" s="2" t="s">
        <v>15</v>
      </c>
      <c r="I549" s="10"/>
    </row>
    <row r="550" spans="1:9" customFormat="1" ht="16" x14ac:dyDescent="0.2">
      <c r="A550" t="s">
        <v>78</v>
      </c>
      <c r="B550" s="3">
        <v>2.2336471011856279E-6</v>
      </c>
      <c r="D550" t="s">
        <v>14</v>
      </c>
      <c r="E550" t="s">
        <v>9</v>
      </c>
      <c r="F550" s="2" t="s">
        <v>15</v>
      </c>
      <c r="I550" s="10"/>
    </row>
    <row r="551" spans="1:9" customFormat="1" ht="16" x14ac:dyDescent="0.2">
      <c r="B551" s="3"/>
    </row>
    <row r="552" spans="1:9" x14ac:dyDescent="0.2">
      <c r="A552" s="17" t="s">
        <v>2</v>
      </c>
      <c r="B552" s="17" t="s">
        <v>256</v>
      </c>
    </row>
    <row r="553" spans="1:9" customFormat="1" ht="16" x14ac:dyDescent="0.2">
      <c r="A553" t="s">
        <v>153</v>
      </c>
      <c r="B553" t="s">
        <v>206</v>
      </c>
    </row>
    <row r="554" spans="1:9" customFormat="1" ht="16" x14ac:dyDescent="0.2">
      <c r="A554" t="s">
        <v>201</v>
      </c>
      <c r="B554" t="s">
        <v>202</v>
      </c>
    </row>
    <row r="555" spans="1:9" customFormat="1" ht="16" x14ac:dyDescent="0.2">
      <c r="A555" t="s">
        <v>3</v>
      </c>
      <c r="B555" t="s">
        <v>18</v>
      </c>
    </row>
    <row r="556" spans="1:9" customFormat="1" ht="16" x14ac:dyDescent="0.2">
      <c r="A556" t="s">
        <v>4</v>
      </c>
      <c r="B556">
        <v>1</v>
      </c>
    </row>
    <row r="557" spans="1:9" customFormat="1" ht="16" x14ac:dyDescent="0.2">
      <c r="A557" t="s">
        <v>5</v>
      </c>
      <c r="B557" t="s">
        <v>1</v>
      </c>
    </row>
    <row r="558" spans="1:9" customFormat="1" ht="16" x14ac:dyDescent="0.2">
      <c r="A558" t="s">
        <v>207</v>
      </c>
      <c r="B558" t="s">
        <v>208</v>
      </c>
    </row>
    <row r="559" spans="1:9" customFormat="1" ht="16" x14ac:dyDescent="0.2">
      <c r="A559" t="s">
        <v>6</v>
      </c>
      <c r="B559" t="s">
        <v>7</v>
      </c>
    </row>
    <row r="560" spans="1:9" customFormat="1" ht="16" x14ac:dyDescent="0.2">
      <c r="A560" t="s">
        <v>8</v>
      </c>
      <c r="B560" t="s">
        <v>17</v>
      </c>
    </row>
    <row r="561" spans="1:12" customFormat="1" ht="16" x14ac:dyDescent="0.2">
      <c r="A561" s="1" t="s">
        <v>10</v>
      </c>
    </row>
    <row r="562" spans="1:12" x14ac:dyDescent="0.2">
      <c r="A562" s="17" t="s">
        <v>11</v>
      </c>
      <c r="B562" s="17" t="s">
        <v>12</v>
      </c>
      <c r="C562" s="17" t="s">
        <v>3</v>
      </c>
      <c r="D562" s="17" t="s">
        <v>13</v>
      </c>
      <c r="E562" s="17" t="s">
        <v>8</v>
      </c>
      <c r="F562" s="17" t="s">
        <v>6</v>
      </c>
      <c r="G562" s="17" t="s">
        <v>5</v>
      </c>
      <c r="H562" s="17" t="s">
        <v>153</v>
      </c>
      <c r="I562" s="17" t="s">
        <v>182</v>
      </c>
      <c r="J562" s="17" t="s">
        <v>183</v>
      </c>
      <c r="K562" s="17" t="s">
        <v>184</v>
      </c>
      <c r="L562" s="17" t="s">
        <v>185</v>
      </c>
    </row>
    <row r="563" spans="1:12" customFormat="1" ht="16" x14ac:dyDescent="0.2">
      <c r="A563" t="s">
        <v>256</v>
      </c>
      <c r="B563">
        <v>1</v>
      </c>
      <c r="C563" t="s">
        <v>18</v>
      </c>
      <c r="E563" t="s">
        <v>17</v>
      </c>
      <c r="F563" t="s">
        <v>19</v>
      </c>
      <c r="G563" t="s">
        <v>1</v>
      </c>
    </row>
    <row r="564" spans="1:12" customFormat="1" ht="16" x14ac:dyDescent="0.2">
      <c r="A564" t="s">
        <v>257</v>
      </c>
      <c r="B564">
        <f>1/47.5</f>
        <v>2.1052631578947368E-2</v>
      </c>
      <c r="C564" t="s">
        <v>18</v>
      </c>
      <c r="E564" t="s">
        <v>9</v>
      </c>
      <c r="F564" t="s">
        <v>23</v>
      </c>
      <c r="G564" t="s">
        <v>258</v>
      </c>
    </row>
    <row r="565" spans="1:12" customFormat="1" ht="16" x14ac:dyDescent="0.2">
      <c r="A565" t="s">
        <v>209</v>
      </c>
      <c r="B565">
        <f>232/700000/11.99</f>
        <v>2.7642082687954249E-5</v>
      </c>
      <c r="C565" t="s">
        <v>18</v>
      </c>
      <c r="E565" t="s">
        <v>9</v>
      </c>
      <c r="F565" t="s">
        <v>23</v>
      </c>
      <c r="G565" t="s">
        <v>210</v>
      </c>
      <c r="I565">
        <v>5</v>
      </c>
      <c r="J565">
        <f>B565</f>
        <v>2.7642082687954249E-5</v>
      </c>
      <c r="K565">
        <f>155/700000/11.99</f>
        <v>1.8467770761348742E-5</v>
      </c>
      <c r="L565">
        <f>309/700000/11.99</f>
        <v>3.6816394614559746E-5</v>
      </c>
    </row>
    <row r="566" spans="1:12" customFormat="1" ht="16" x14ac:dyDescent="0.2">
      <c r="A566" t="s">
        <v>146</v>
      </c>
      <c r="B566">
        <v>1.2763976504487801E-4</v>
      </c>
      <c r="C566" t="s">
        <v>18</v>
      </c>
      <c r="E566" t="s">
        <v>9</v>
      </c>
      <c r="F566" t="s">
        <v>23</v>
      </c>
      <c r="G566" t="s">
        <v>146</v>
      </c>
      <c r="I566">
        <v>5</v>
      </c>
      <c r="J566">
        <f>B566</f>
        <v>1.2763976504487801E-4</v>
      </c>
      <c r="K566">
        <f>J566*(700000/1000000)</f>
        <v>8.9347835531414601E-5</v>
      </c>
      <c r="L566">
        <f>J566*(700000/500000)</f>
        <v>1.786956710628292E-4</v>
      </c>
    </row>
    <row r="567" spans="1:12" customFormat="1" ht="16" x14ac:dyDescent="0.2">
      <c r="A567" t="s">
        <v>48</v>
      </c>
      <c r="B567" s="3">
        <v>4.4166666666666577E-6</v>
      </c>
      <c r="D567" t="s">
        <v>14</v>
      </c>
      <c r="E567" t="s">
        <v>9</v>
      </c>
      <c r="F567" s="2" t="s">
        <v>15</v>
      </c>
      <c r="I567" s="10"/>
    </row>
    <row r="568" spans="1:12" customFormat="1" ht="16" x14ac:dyDescent="0.2">
      <c r="A568" t="s">
        <v>50</v>
      </c>
      <c r="B568" s="3">
        <v>7.5082705379565517E-7</v>
      </c>
      <c r="D568" t="s">
        <v>14</v>
      </c>
      <c r="E568" t="s">
        <v>9</v>
      </c>
      <c r="F568" s="2" t="s">
        <v>15</v>
      </c>
      <c r="I568" s="10"/>
    </row>
    <row r="569" spans="1:12" customFormat="1" ht="16" x14ac:dyDescent="0.2">
      <c r="A569" t="s">
        <v>123</v>
      </c>
      <c r="B569">
        <f>2.74*B564</f>
        <v>5.7684210526315789E-2</v>
      </c>
      <c r="D569" t="s">
        <v>14</v>
      </c>
      <c r="E569" t="s">
        <v>9</v>
      </c>
      <c r="F569" s="2" t="s">
        <v>15</v>
      </c>
      <c r="H569" t="s">
        <v>299</v>
      </c>
      <c r="I569" s="10"/>
    </row>
    <row r="570" spans="1:12" customFormat="1" ht="16" x14ac:dyDescent="0.2">
      <c r="A570" t="s">
        <v>124</v>
      </c>
      <c r="B570">
        <v>2.6360440412565261E-4</v>
      </c>
      <c r="D570" t="s">
        <v>14</v>
      </c>
      <c r="E570" t="s">
        <v>9</v>
      </c>
      <c r="F570" s="2" t="s">
        <v>15</v>
      </c>
      <c r="I570" s="10"/>
    </row>
    <row r="571" spans="1:12" customFormat="1" ht="16" x14ac:dyDescent="0.2">
      <c r="A571" t="s">
        <v>58</v>
      </c>
      <c r="B571" s="3">
        <v>9.6666666666666532E-7</v>
      </c>
      <c r="D571" t="s">
        <v>14</v>
      </c>
      <c r="E571" t="s">
        <v>9</v>
      </c>
      <c r="F571" s="2" t="s">
        <v>15</v>
      </c>
      <c r="I571" s="10"/>
    </row>
    <row r="572" spans="1:12" customFormat="1" ht="16" x14ac:dyDescent="0.2">
      <c r="A572" t="s">
        <v>64</v>
      </c>
      <c r="B572" s="3">
        <v>2.7750000000000002E-10</v>
      </c>
      <c r="D572" t="s">
        <v>14</v>
      </c>
      <c r="E572" t="s">
        <v>9</v>
      </c>
      <c r="F572" s="2" t="s">
        <v>15</v>
      </c>
      <c r="I572" s="10"/>
    </row>
    <row r="573" spans="1:12" customFormat="1" ht="16" x14ac:dyDescent="0.2">
      <c r="A573" t="s">
        <v>180</v>
      </c>
      <c r="B573" s="3">
        <v>1.606690212560312E-5</v>
      </c>
      <c r="D573" t="s">
        <v>14</v>
      </c>
      <c r="E573" t="s">
        <v>9</v>
      </c>
      <c r="F573" s="2" t="s">
        <v>15</v>
      </c>
      <c r="I573" s="10"/>
    </row>
    <row r="574" spans="1:12" customFormat="1" ht="16" x14ac:dyDescent="0.2">
      <c r="A574" t="s">
        <v>67</v>
      </c>
      <c r="B574" s="3">
        <v>6.8382126269474045E-6</v>
      </c>
      <c r="D574" t="s">
        <v>14</v>
      </c>
      <c r="E574" t="s">
        <v>9</v>
      </c>
      <c r="F574" s="2" t="s">
        <v>15</v>
      </c>
      <c r="I574" s="10"/>
    </row>
    <row r="575" spans="1:12" customFormat="1" ht="16" x14ac:dyDescent="0.2">
      <c r="A575" t="s">
        <v>69</v>
      </c>
      <c r="B575" s="3">
        <v>2.9605693862641999E-6</v>
      </c>
      <c r="D575" t="s">
        <v>14</v>
      </c>
      <c r="E575" t="s">
        <v>9</v>
      </c>
      <c r="F575" s="2" t="s">
        <v>15</v>
      </c>
      <c r="I575" s="10"/>
    </row>
    <row r="576" spans="1:12" customFormat="1" ht="16" x14ac:dyDescent="0.2">
      <c r="A576" t="s">
        <v>71</v>
      </c>
      <c r="B576" s="3">
        <v>1.4636237937232238E-7</v>
      </c>
      <c r="D576" t="s">
        <v>14</v>
      </c>
      <c r="E576" t="s">
        <v>9</v>
      </c>
      <c r="F576" s="2" t="s">
        <v>15</v>
      </c>
      <c r="I576" s="10"/>
    </row>
    <row r="577" spans="1:13" customFormat="1" ht="16" x14ac:dyDescent="0.2">
      <c r="A577" t="s">
        <v>77</v>
      </c>
      <c r="B577" s="3">
        <v>5.6430000000000142E-7</v>
      </c>
      <c r="D577" t="s">
        <v>14</v>
      </c>
      <c r="E577" t="s">
        <v>9</v>
      </c>
      <c r="F577" s="2" t="s">
        <v>15</v>
      </c>
      <c r="I577" s="10"/>
    </row>
    <row r="578" spans="1:13" customFormat="1" ht="16" x14ac:dyDescent="0.2">
      <c r="A578" t="s">
        <v>78</v>
      </c>
      <c r="B578" s="3">
        <v>2.2336471011856279E-6</v>
      </c>
      <c r="D578" t="s">
        <v>14</v>
      </c>
      <c r="E578" t="s">
        <v>9</v>
      </c>
      <c r="F578" s="2" t="s">
        <v>15</v>
      </c>
      <c r="I578" s="10"/>
    </row>
    <row r="579" spans="1:13" customFormat="1" ht="16" x14ac:dyDescent="0.2">
      <c r="B579" s="3"/>
    </row>
    <row r="580" spans="1:13" customFormat="1" ht="16" x14ac:dyDescent="0.2">
      <c r="B580" s="3"/>
    </row>
    <row r="581" spans="1:13" x14ac:dyDescent="0.2">
      <c r="A581" s="17" t="s">
        <v>2</v>
      </c>
      <c r="B581" s="17" t="s">
        <v>211</v>
      </c>
    </row>
    <row r="582" spans="1:13" customFormat="1" ht="16" x14ac:dyDescent="0.2">
      <c r="A582" t="s">
        <v>153</v>
      </c>
      <c r="B582" t="s">
        <v>212</v>
      </c>
    </row>
    <row r="583" spans="1:13" customFormat="1" ht="16" x14ac:dyDescent="0.2">
      <c r="A583" t="s">
        <v>201</v>
      </c>
      <c r="B583" t="s">
        <v>202</v>
      </c>
    </row>
    <row r="584" spans="1:13" customFormat="1" ht="16" x14ac:dyDescent="0.2">
      <c r="A584" t="s">
        <v>3</v>
      </c>
      <c r="B584" t="s">
        <v>18</v>
      </c>
    </row>
    <row r="585" spans="1:13" customFormat="1" ht="16" x14ac:dyDescent="0.2">
      <c r="A585" t="s">
        <v>4</v>
      </c>
      <c r="B585">
        <v>1</v>
      </c>
    </row>
    <row r="586" spans="1:13" customFormat="1" ht="16" x14ac:dyDescent="0.2">
      <c r="A586" t="s">
        <v>5</v>
      </c>
      <c r="B586" t="s">
        <v>143</v>
      </c>
    </row>
    <row r="587" spans="1:13" customFormat="1" ht="16" x14ac:dyDescent="0.2">
      <c r="A587" t="s">
        <v>207</v>
      </c>
      <c r="B587" t="s">
        <v>208</v>
      </c>
    </row>
    <row r="588" spans="1:13" customFormat="1" ht="16" x14ac:dyDescent="0.2">
      <c r="A588" t="s">
        <v>6</v>
      </c>
      <c r="B588" t="s">
        <v>7</v>
      </c>
    </row>
    <row r="589" spans="1:13" customFormat="1" ht="16" x14ac:dyDescent="0.2">
      <c r="A589" t="s">
        <v>8</v>
      </c>
      <c r="B589" s="3" t="s">
        <v>17</v>
      </c>
    </row>
    <row r="590" spans="1:13" customFormat="1" ht="16" x14ac:dyDescent="0.2">
      <c r="A590" s="1" t="s">
        <v>10</v>
      </c>
    </row>
    <row r="591" spans="1:13" x14ac:dyDescent="0.2">
      <c r="A591" s="17" t="s">
        <v>11</v>
      </c>
      <c r="B591" s="17" t="s">
        <v>12</v>
      </c>
      <c r="C591" s="17" t="s">
        <v>3</v>
      </c>
      <c r="D591" s="17" t="s">
        <v>13</v>
      </c>
      <c r="E591" s="17" t="s">
        <v>8</v>
      </c>
      <c r="F591" s="17" t="s">
        <v>6</v>
      </c>
      <c r="G591" s="17" t="s">
        <v>5</v>
      </c>
      <c r="H591" s="17" t="s">
        <v>153</v>
      </c>
      <c r="I591" s="17" t="s">
        <v>182</v>
      </c>
      <c r="J591" s="17" t="s">
        <v>183</v>
      </c>
      <c r="K591" s="17" t="s">
        <v>184</v>
      </c>
      <c r="L591" s="17" t="s">
        <v>185</v>
      </c>
    </row>
    <row r="592" spans="1:13" customFormat="1" ht="16" x14ac:dyDescent="0.2">
      <c r="A592" t="s">
        <v>211</v>
      </c>
      <c r="B592">
        <v>1</v>
      </c>
      <c r="C592" t="s">
        <v>18</v>
      </c>
      <c r="D592" s="2"/>
      <c r="E592" t="s">
        <v>17</v>
      </c>
      <c r="F592" t="s">
        <v>19</v>
      </c>
      <c r="G592" t="s">
        <v>143</v>
      </c>
      <c r="M592" s="2"/>
    </row>
    <row r="593" spans="1:13" customFormat="1" ht="16" x14ac:dyDescent="0.2">
      <c r="A593" t="s">
        <v>141</v>
      </c>
      <c r="B593">
        <f>1/3.6</f>
        <v>0.27777777777777779</v>
      </c>
      <c r="C593" t="s">
        <v>18</v>
      </c>
      <c r="D593" s="2"/>
      <c r="E593" t="s">
        <v>142</v>
      </c>
      <c r="F593" t="s">
        <v>23</v>
      </c>
      <c r="G593" t="s">
        <v>143</v>
      </c>
      <c r="M593" s="2"/>
    </row>
    <row r="594" spans="1:13" customFormat="1" ht="16" x14ac:dyDescent="0.2">
      <c r="A594" t="s">
        <v>186</v>
      </c>
      <c r="B594">
        <v>5.8548009367681507E-6</v>
      </c>
      <c r="C594" t="s">
        <v>114</v>
      </c>
      <c r="D594" s="2"/>
      <c r="E594" t="s">
        <v>9</v>
      </c>
      <c r="F594" t="s">
        <v>23</v>
      </c>
      <c r="G594" t="s">
        <v>187</v>
      </c>
      <c r="I594">
        <v>5</v>
      </c>
      <c r="J594">
        <f>B594</f>
        <v>5.8548009367681507E-6</v>
      </c>
      <c r="K594">
        <f>J594*(700000/1000000)</f>
        <v>4.0983606557377053E-6</v>
      </c>
      <c r="L594">
        <f>J594*(700000/500000)</f>
        <v>8.1967213114754105E-6</v>
      </c>
      <c r="M594" s="2"/>
    </row>
    <row r="595" spans="1:13" customFormat="1" ht="16" x14ac:dyDescent="0.2">
      <c r="A595" t="s">
        <v>147</v>
      </c>
      <c r="B595">
        <v>2.0319944081098179E-5</v>
      </c>
      <c r="C595" t="s">
        <v>114</v>
      </c>
      <c r="D595" s="2"/>
      <c r="E595" t="s">
        <v>9</v>
      </c>
      <c r="F595" t="s">
        <v>23</v>
      </c>
      <c r="G595" t="s">
        <v>148</v>
      </c>
      <c r="I595">
        <v>5</v>
      </c>
      <c r="J595">
        <f>B595</f>
        <v>2.0319944081098179E-5</v>
      </c>
      <c r="K595">
        <f>J595*(700000/1000000)</f>
        <v>1.4223960856768724E-5</v>
      </c>
      <c r="L595">
        <f>J595*(700000/500000)</f>
        <v>2.8447921713537448E-5</v>
      </c>
      <c r="M595" s="2"/>
    </row>
    <row r="596" spans="1:13" customFormat="1" ht="16" x14ac:dyDescent="0.2">
      <c r="A596" t="s">
        <v>188</v>
      </c>
      <c r="B596">
        <v>2.9685693565181665E-6</v>
      </c>
      <c r="C596" t="s">
        <v>114</v>
      </c>
      <c r="D596" s="2"/>
      <c r="E596" t="s">
        <v>9</v>
      </c>
      <c r="F596" t="s">
        <v>23</v>
      </c>
      <c r="G596" t="s">
        <v>189</v>
      </c>
      <c r="I596">
        <v>5</v>
      </c>
      <c r="J596">
        <f>B596</f>
        <v>2.9685693565181665E-6</v>
      </c>
      <c r="K596">
        <f>J596*(700000/1000000)</f>
        <v>2.0779985495627166E-6</v>
      </c>
      <c r="L596">
        <f>J596*(700000/500000)</f>
        <v>4.1559970991254331E-6</v>
      </c>
      <c r="M596" s="2"/>
    </row>
    <row r="597" spans="1:13" customFormat="1" ht="16" x14ac:dyDescent="0.2">
      <c r="A597" t="s">
        <v>190</v>
      </c>
      <c r="B597">
        <v>8.4309133489461356E-6</v>
      </c>
      <c r="C597" t="s">
        <v>114</v>
      </c>
      <c r="D597" s="2"/>
      <c r="E597" t="s">
        <v>9</v>
      </c>
      <c r="F597" t="s">
        <v>23</v>
      </c>
      <c r="G597" t="s">
        <v>191</v>
      </c>
      <c r="I597">
        <v>5</v>
      </c>
      <c r="J597">
        <f>B597</f>
        <v>8.4309133489461356E-6</v>
      </c>
      <c r="K597">
        <f>J597*(700000/1000000)</f>
        <v>5.9016393442622947E-6</v>
      </c>
      <c r="L597">
        <f>J597*(700000/500000)</f>
        <v>1.1803278688524589E-5</v>
      </c>
      <c r="M597" s="2"/>
    </row>
    <row r="598" spans="1:13" customFormat="1" ht="16" x14ac:dyDescent="0.2">
      <c r="A598" t="s">
        <v>192</v>
      </c>
      <c r="B598">
        <f>399/700000/6.1</f>
        <v>9.3442622950819676E-5</v>
      </c>
      <c r="C598" s="2" t="s">
        <v>114</v>
      </c>
      <c r="D598" s="2"/>
      <c r="E598" t="s">
        <v>142</v>
      </c>
      <c r="F598" t="s">
        <v>23</v>
      </c>
      <c r="G598" t="s">
        <v>193</v>
      </c>
      <c r="I598">
        <v>5</v>
      </c>
      <c r="J598">
        <f>B598</f>
        <v>9.3442622950819676E-5</v>
      </c>
      <c r="K598">
        <f>(266)/1000000/6.1</f>
        <v>4.3606557377049187E-5</v>
      </c>
      <c r="L598">
        <f>533/500000/6.1</f>
        <v>1.7475409836065578E-4</v>
      </c>
      <c r="M598" s="2"/>
    </row>
    <row r="599" spans="1:13" customFormat="1" ht="16" x14ac:dyDescent="0.2">
      <c r="A599" t="s">
        <v>213</v>
      </c>
      <c r="B599">
        <f>4.16666666666667E-08*10/6.1</f>
        <v>6.8306010928961812E-8</v>
      </c>
      <c r="C599" t="s">
        <v>18</v>
      </c>
      <c r="D599" s="2"/>
      <c r="E599" t="s">
        <v>8</v>
      </c>
      <c r="F599" t="s">
        <v>23</v>
      </c>
      <c r="G599" t="s">
        <v>213</v>
      </c>
      <c r="I599">
        <v>5</v>
      </c>
      <c r="J599">
        <f>B599</f>
        <v>6.8306010928961812E-8</v>
      </c>
      <c r="K599">
        <f>B599/2</f>
        <v>3.4153005464480906E-8</v>
      </c>
      <c r="L599">
        <f>B599*2</f>
        <v>1.3661202185792362E-7</v>
      </c>
      <c r="M599" s="2"/>
    </row>
    <row r="600" spans="1:13" customFormat="1" ht="16" x14ac:dyDescent="0.2">
      <c r="B600" s="3"/>
    </row>
    <row r="601" spans="1:13" x14ac:dyDescent="0.2">
      <c r="A601" s="17" t="s">
        <v>2</v>
      </c>
      <c r="B601" s="17" t="s">
        <v>213</v>
      </c>
    </row>
    <row r="602" spans="1:13" customFormat="1" ht="16" x14ac:dyDescent="0.2">
      <c r="A602" t="s">
        <v>153</v>
      </c>
      <c r="B602" t="s">
        <v>214</v>
      </c>
    </row>
    <row r="603" spans="1:13" customFormat="1" ht="16" x14ac:dyDescent="0.2">
      <c r="A603" t="s">
        <v>201</v>
      </c>
      <c r="B603" t="s">
        <v>215</v>
      </c>
    </row>
    <row r="604" spans="1:13" customFormat="1" ht="16" x14ac:dyDescent="0.2">
      <c r="A604" t="s">
        <v>3</v>
      </c>
      <c r="B604" t="s">
        <v>18</v>
      </c>
    </row>
    <row r="605" spans="1:13" customFormat="1" ht="16" x14ac:dyDescent="0.2">
      <c r="A605" t="s">
        <v>4</v>
      </c>
      <c r="B605">
        <v>1</v>
      </c>
    </row>
    <row r="606" spans="1:13" customFormat="1" ht="16" x14ac:dyDescent="0.2">
      <c r="A606" t="s">
        <v>5</v>
      </c>
      <c r="B606" t="s">
        <v>213</v>
      </c>
    </row>
    <row r="607" spans="1:13" customFormat="1" ht="16" x14ac:dyDescent="0.2">
      <c r="A607" t="s">
        <v>207</v>
      </c>
      <c r="B607" t="s">
        <v>216</v>
      </c>
    </row>
    <row r="608" spans="1:13" customFormat="1" ht="16" x14ac:dyDescent="0.2">
      <c r="A608" t="s">
        <v>217</v>
      </c>
      <c r="B608" t="s">
        <v>214</v>
      </c>
    </row>
    <row r="609" spans="1:7" customFormat="1" ht="16" x14ac:dyDescent="0.2">
      <c r="A609" t="s">
        <v>6</v>
      </c>
      <c r="B609" t="s">
        <v>7</v>
      </c>
    </row>
    <row r="610" spans="1:7" customFormat="1" ht="16" x14ac:dyDescent="0.2">
      <c r="A610" t="s">
        <v>8</v>
      </c>
      <c r="B610" t="s">
        <v>8</v>
      </c>
    </row>
    <row r="611" spans="1:7" customFormat="1" ht="16" x14ac:dyDescent="0.2">
      <c r="A611" s="1" t="s">
        <v>10</v>
      </c>
    </row>
    <row r="612" spans="1:7" x14ac:dyDescent="0.2">
      <c r="A612" s="17" t="s">
        <v>11</v>
      </c>
      <c r="B612" s="17" t="s">
        <v>12</v>
      </c>
      <c r="C612" s="17" t="s">
        <v>3</v>
      </c>
      <c r="D612" s="17" t="s">
        <v>13</v>
      </c>
      <c r="E612" s="17" t="s">
        <v>8</v>
      </c>
      <c r="F612" s="17" t="s">
        <v>6</v>
      </c>
      <c r="G612" s="17" t="s">
        <v>5</v>
      </c>
    </row>
    <row r="613" spans="1:7" customFormat="1" ht="16" x14ac:dyDescent="0.2">
      <c r="A613" t="s">
        <v>213</v>
      </c>
      <c r="B613">
        <v>1</v>
      </c>
      <c r="C613" t="s">
        <v>18</v>
      </c>
      <c r="D613" s="2"/>
      <c r="E613" t="s">
        <v>8</v>
      </c>
      <c r="F613" t="s">
        <v>19</v>
      </c>
      <c r="G613" t="s">
        <v>213</v>
      </c>
    </row>
    <row r="614" spans="1:7" customFormat="1" ht="16" x14ac:dyDescent="0.2">
      <c r="A614" t="s">
        <v>218</v>
      </c>
      <c r="B614">
        <v>4.3</v>
      </c>
      <c r="C614" t="s">
        <v>18</v>
      </c>
      <c r="D614" s="2"/>
      <c r="E614" t="s">
        <v>8</v>
      </c>
      <c r="F614" t="s">
        <v>23</v>
      </c>
      <c r="G614" t="s">
        <v>218</v>
      </c>
    </row>
    <row r="615" spans="1:7" customFormat="1" ht="16" x14ac:dyDescent="0.2">
      <c r="A615" t="s">
        <v>219</v>
      </c>
      <c r="B615">
        <v>1</v>
      </c>
      <c r="C615" t="s">
        <v>18</v>
      </c>
      <c r="D615" s="2"/>
      <c r="E615" t="s">
        <v>8</v>
      </c>
      <c r="F615" t="s">
        <v>23</v>
      </c>
      <c r="G615" t="s">
        <v>219</v>
      </c>
    </row>
    <row r="616" spans="1:7" customFormat="1" ht="16" x14ac:dyDescent="0.2">
      <c r="A616" t="s">
        <v>220</v>
      </c>
      <c r="B616">
        <v>1</v>
      </c>
      <c r="C616" t="s">
        <v>18</v>
      </c>
      <c r="D616" s="2"/>
      <c r="E616" t="s">
        <v>8</v>
      </c>
      <c r="F616" t="s">
        <v>23</v>
      </c>
      <c r="G616" t="s">
        <v>220</v>
      </c>
    </row>
    <row r="617" spans="1:7" customFormat="1" ht="16" x14ac:dyDescent="0.2"/>
    <row r="618" spans="1:7" x14ac:dyDescent="0.2">
      <c r="A618" s="17" t="s">
        <v>2</v>
      </c>
      <c r="B618" s="17" t="s">
        <v>302</v>
      </c>
    </row>
    <row r="619" spans="1:7" customFormat="1" ht="16" x14ac:dyDescent="0.2">
      <c r="A619" t="s">
        <v>153</v>
      </c>
      <c r="B619" t="s">
        <v>221</v>
      </c>
    </row>
    <row r="620" spans="1:7" customFormat="1" ht="16" x14ac:dyDescent="0.2">
      <c r="A620" t="s">
        <v>201</v>
      </c>
      <c r="B620" t="s">
        <v>202</v>
      </c>
    </row>
    <row r="621" spans="1:7" customFormat="1" ht="16" x14ac:dyDescent="0.2">
      <c r="A621" t="s">
        <v>3</v>
      </c>
      <c r="B621" t="s">
        <v>18</v>
      </c>
    </row>
    <row r="622" spans="1:7" customFormat="1" ht="16" x14ac:dyDescent="0.2">
      <c r="A622" t="s">
        <v>4</v>
      </c>
      <c r="B622">
        <v>1</v>
      </c>
    </row>
    <row r="623" spans="1:7" customFormat="1" ht="16" x14ac:dyDescent="0.2">
      <c r="A623" t="s">
        <v>5</v>
      </c>
      <c r="B623" t="s">
        <v>1</v>
      </c>
    </row>
    <row r="624" spans="1:7" customFormat="1" ht="16" x14ac:dyDescent="0.2">
      <c r="A624" t="s">
        <v>207</v>
      </c>
      <c r="B624" t="s">
        <v>208</v>
      </c>
    </row>
    <row r="625" spans="1:13" customFormat="1" ht="16" x14ac:dyDescent="0.2">
      <c r="A625" t="s">
        <v>6</v>
      </c>
      <c r="B625" t="s">
        <v>7</v>
      </c>
    </row>
    <row r="626" spans="1:13" customFormat="1" ht="16" x14ac:dyDescent="0.2">
      <c r="A626" t="s">
        <v>8</v>
      </c>
      <c r="B626" t="s">
        <v>17</v>
      </c>
    </row>
    <row r="627" spans="1:13" customFormat="1" ht="16" x14ac:dyDescent="0.2">
      <c r="A627" s="1" t="s">
        <v>10</v>
      </c>
    </row>
    <row r="628" spans="1:13" x14ac:dyDescent="0.2">
      <c r="A628" s="17" t="s">
        <v>11</v>
      </c>
      <c r="B628" s="17" t="s">
        <v>12</v>
      </c>
      <c r="C628" s="17" t="s">
        <v>3</v>
      </c>
      <c r="D628" s="17" t="s">
        <v>13</v>
      </c>
      <c r="E628" s="17" t="s">
        <v>8</v>
      </c>
      <c r="F628" s="17" t="s">
        <v>6</v>
      </c>
      <c r="G628" s="17" t="s">
        <v>5</v>
      </c>
      <c r="H628" s="17" t="s">
        <v>153</v>
      </c>
      <c r="I628" s="17" t="s">
        <v>182</v>
      </c>
      <c r="J628" s="17" t="s">
        <v>183</v>
      </c>
      <c r="K628" s="17" t="s">
        <v>184</v>
      </c>
      <c r="L628" s="17" t="s">
        <v>185</v>
      </c>
    </row>
    <row r="629" spans="1:13" customFormat="1" ht="16" x14ac:dyDescent="0.2">
      <c r="A629" t="s">
        <v>302</v>
      </c>
      <c r="B629">
        <v>1</v>
      </c>
      <c r="C629" t="s">
        <v>18</v>
      </c>
      <c r="D629" s="2"/>
      <c r="E629" t="s">
        <v>17</v>
      </c>
      <c r="F629" t="s">
        <v>19</v>
      </c>
      <c r="G629" t="s">
        <v>1</v>
      </c>
      <c r="M629" s="2"/>
    </row>
    <row r="630" spans="1:13" customFormat="1" ht="16" x14ac:dyDescent="0.2">
      <c r="A630" s="2" t="s">
        <v>160</v>
      </c>
      <c r="B630" s="11">
        <f>1/120</f>
        <v>8.3333333333333332E-3</v>
      </c>
      <c r="C630" s="4" t="s">
        <v>18</v>
      </c>
      <c r="D630" s="2"/>
      <c r="E630" s="4" t="s">
        <v>9</v>
      </c>
      <c r="F630" s="4" t="s">
        <v>23</v>
      </c>
      <c r="G630" s="2" t="s">
        <v>161</v>
      </c>
      <c r="I630" s="2"/>
      <c r="M630" s="2"/>
    </row>
    <row r="631" spans="1:13" customFormat="1" ht="16" x14ac:dyDescent="0.2">
      <c r="A631" t="s">
        <v>197</v>
      </c>
      <c r="B631">
        <f>266/700000/6.3</f>
        <v>6.0317460317460322E-5</v>
      </c>
      <c r="C631" t="s">
        <v>18</v>
      </c>
      <c r="D631" s="2"/>
      <c r="E631" t="s">
        <v>9</v>
      </c>
      <c r="F631" t="s">
        <v>23</v>
      </c>
      <c r="G631" t="s">
        <v>198</v>
      </c>
      <c r="I631">
        <v>5</v>
      </c>
      <c r="J631">
        <f>B631</f>
        <v>6.0317460317460322E-5</v>
      </c>
      <c r="K631">
        <f>205/700000/6.3</f>
        <v>4.6485260770975065E-5</v>
      </c>
      <c r="L631">
        <f>288/700000/6.3</f>
        <v>6.53061224489796E-5</v>
      </c>
      <c r="M631" s="2"/>
    </row>
    <row r="632" spans="1:13" customFormat="1" ht="16" x14ac:dyDescent="0.2">
      <c r="A632" t="s">
        <v>113</v>
      </c>
      <c r="B632">
        <f>164/700000/6.3</f>
        <v>3.7188208616780044E-5</v>
      </c>
      <c r="C632" t="s">
        <v>114</v>
      </c>
      <c r="D632" s="2"/>
      <c r="E632" t="s">
        <v>8</v>
      </c>
      <c r="F632" t="s">
        <v>23</v>
      </c>
      <c r="G632" t="s">
        <v>115</v>
      </c>
      <c r="I632">
        <v>5</v>
      </c>
      <c r="J632">
        <f>B632</f>
        <v>3.7188208616780044E-5</v>
      </c>
      <c r="K632">
        <f>96/1000000/6.3</f>
        <v>1.5238095238095239E-5</v>
      </c>
      <c r="L632">
        <f>232/500000/6.3</f>
        <v>7.3650793650793659E-5</v>
      </c>
      <c r="M632" s="2"/>
    </row>
    <row r="633" spans="1:13" customFormat="1" ht="16" x14ac:dyDescent="0.2">
      <c r="A633" t="s">
        <v>186</v>
      </c>
      <c r="B633">
        <v>5.6689342403628128E-6</v>
      </c>
      <c r="C633" t="s">
        <v>114</v>
      </c>
      <c r="D633" s="2"/>
      <c r="E633" t="s">
        <v>9</v>
      </c>
      <c r="F633" t="s">
        <v>23</v>
      </c>
      <c r="G633" t="s">
        <v>187</v>
      </c>
      <c r="I633">
        <v>5</v>
      </c>
      <c r="J633">
        <f>B633</f>
        <v>5.6689342403628128E-6</v>
      </c>
      <c r="K633">
        <f>B633*(700000/1000000)</f>
        <v>3.9682539682539689E-6</v>
      </c>
      <c r="L633">
        <f>B633*(700000/500000)</f>
        <v>7.9365079365079379E-6</v>
      </c>
      <c r="M633" s="2"/>
    </row>
    <row r="634" spans="1:13" customFormat="1" ht="16" x14ac:dyDescent="0.2">
      <c r="A634" t="s">
        <v>147</v>
      </c>
      <c r="B634">
        <v>2.4040391954934648E-5</v>
      </c>
      <c r="C634" t="s">
        <v>114</v>
      </c>
      <c r="D634" s="2"/>
      <c r="E634" t="s">
        <v>9</v>
      </c>
      <c r="F634" t="s">
        <v>23</v>
      </c>
      <c r="G634" t="s">
        <v>148</v>
      </c>
      <c r="I634">
        <v>5</v>
      </c>
      <c r="J634">
        <f>B634</f>
        <v>2.4040391954934648E-5</v>
      </c>
      <c r="K634">
        <f>B634*(700000/1000000)</f>
        <v>1.6828274368454252E-5</v>
      </c>
      <c r="L634">
        <f>B634*(700000/500000)</f>
        <v>3.3656548736908503E-5</v>
      </c>
      <c r="M634" s="2"/>
    </row>
    <row r="635" spans="1:13" customFormat="1" ht="16" x14ac:dyDescent="0.2">
      <c r="A635" t="s">
        <v>188</v>
      </c>
      <c r="B635">
        <v>3.1830926606374987E-6</v>
      </c>
      <c r="C635" t="s">
        <v>114</v>
      </c>
      <c r="D635" s="2"/>
      <c r="E635" t="s">
        <v>9</v>
      </c>
      <c r="F635" t="s">
        <v>23</v>
      </c>
      <c r="G635" t="s">
        <v>189</v>
      </c>
      <c r="I635">
        <v>5</v>
      </c>
      <c r="J635">
        <f>B635</f>
        <v>3.1830926606374987E-6</v>
      </c>
      <c r="K635">
        <f>B635*(700000/1000000)</f>
        <v>2.2281648624462491E-6</v>
      </c>
      <c r="L635">
        <f>B635*(700000/500000)</f>
        <v>4.4563297248924981E-6</v>
      </c>
      <c r="M635" s="2"/>
    </row>
    <row r="636" spans="1:13" customFormat="1" ht="16" x14ac:dyDescent="0.2">
      <c r="A636" t="s">
        <v>190</v>
      </c>
      <c r="B636">
        <v>8.16326530612245E-6</v>
      </c>
      <c r="C636" t="s">
        <v>114</v>
      </c>
      <c r="D636" s="2"/>
      <c r="E636" t="s">
        <v>9</v>
      </c>
      <c r="F636" t="s">
        <v>23</v>
      </c>
      <c r="G636" t="s">
        <v>191</v>
      </c>
      <c r="I636">
        <v>5</v>
      </c>
      <c r="J636">
        <f>B636</f>
        <v>8.16326530612245E-6</v>
      </c>
      <c r="K636">
        <f>B636*(700000/1000000)</f>
        <v>5.7142857142857145E-6</v>
      </c>
      <c r="L636">
        <f>B636*(700000/500000)</f>
        <v>1.1428571428571429E-5</v>
      </c>
      <c r="M636" s="2"/>
    </row>
    <row r="637" spans="1:13" customFormat="1" ht="16" x14ac:dyDescent="0.2">
      <c r="A637" t="s">
        <v>192</v>
      </c>
      <c r="B637">
        <f>80/700000/6.3</f>
        <v>1.8140589569160997E-5</v>
      </c>
      <c r="C637" s="2" t="s">
        <v>114</v>
      </c>
      <c r="D637" s="2"/>
      <c r="E637" t="s">
        <v>142</v>
      </c>
      <c r="F637" t="s">
        <v>23</v>
      </c>
      <c r="G637" t="s">
        <v>193</v>
      </c>
      <c r="I637">
        <v>5</v>
      </c>
      <c r="J637">
        <f>B637</f>
        <v>1.8140589569160997E-5</v>
      </c>
      <c r="K637">
        <f>47/1000000/6.3</f>
        <v>7.4603174603174601E-6</v>
      </c>
      <c r="L637">
        <f>98/500000/6.3</f>
        <v>3.111111111111111E-5</v>
      </c>
      <c r="M637" s="2"/>
    </row>
    <row r="638" spans="1:13" customFormat="1" ht="16" x14ac:dyDescent="0.2"/>
    <row r="639" spans="1:13" x14ac:dyDescent="0.2">
      <c r="A639" s="17" t="s">
        <v>2</v>
      </c>
      <c r="B639" s="17" t="s">
        <v>222</v>
      </c>
    </row>
    <row r="640" spans="1:13" customFormat="1" ht="16" x14ac:dyDescent="0.2">
      <c r="A640" t="s">
        <v>153</v>
      </c>
      <c r="B640" t="s">
        <v>223</v>
      </c>
    </row>
    <row r="641" spans="1:12" customFormat="1" ht="16" x14ac:dyDescent="0.2">
      <c r="A641" t="s">
        <v>201</v>
      </c>
      <c r="B641" t="s">
        <v>202</v>
      </c>
    </row>
    <row r="642" spans="1:12" customFormat="1" ht="16" x14ac:dyDescent="0.2">
      <c r="A642" t="s">
        <v>3</v>
      </c>
      <c r="B642" t="s">
        <v>18</v>
      </c>
    </row>
    <row r="643" spans="1:12" customFormat="1" ht="16" x14ac:dyDescent="0.2">
      <c r="A643" t="s">
        <v>4</v>
      </c>
      <c r="B643">
        <v>1</v>
      </c>
    </row>
    <row r="644" spans="1:12" customFormat="1" ht="16" x14ac:dyDescent="0.2">
      <c r="A644" t="s">
        <v>5</v>
      </c>
      <c r="B644" t="s">
        <v>143</v>
      </c>
    </row>
    <row r="645" spans="1:12" customFormat="1" ht="16" x14ac:dyDescent="0.2">
      <c r="A645" t="s">
        <v>207</v>
      </c>
      <c r="B645" t="s">
        <v>208</v>
      </c>
    </row>
    <row r="646" spans="1:12" customFormat="1" ht="16" x14ac:dyDescent="0.2">
      <c r="A646" t="s">
        <v>6</v>
      </c>
      <c r="B646" t="s">
        <v>7</v>
      </c>
    </row>
    <row r="647" spans="1:12" customFormat="1" ht="16" x14ac:dyDescent="0.2">
      <c r="A647" t="s">
        <v>8</v>
      </c>
      <c r="B647" t="s">
        <v>17</v>
      </c>
    </row>
    <row r="648" spans="1:12" customFormat="1" ht="16" x14ac:dyDescent="0.2">
      <c r="A648" s="1" t="s">
        <v>10</v>
      </c>
    </row>
    <row r="649" spans="1:12" x14ac:dyDescent="0.2">
      <c r="A649" s="17" t="s">
        <v>11</v>
      </c>
      <c r="B649" s="17" t="s">
        <v>12</v>
      </c>
      <c r="C649" s="17" t="s">
        <v>3</v>
      </c>
      <c r="D649" s="17" t="s">
        <v>13</v>
      </c>
      <c r="E649" s="17" t="s">
        <v>8</v>
      </c>
      <c r="F649" s="17" t="s">
        <v>6</v>
      </c>
      <c r="G649" s="17" t="s">
        <v>5</v>
      </c>
      <c r="H649" s="17" t="s">
        <v>153</v>
      </c>
      <c r="I649" s="17" t="s">
        <v>182</v>
      </c>
      <c r="J649" s="17" t="s">
        <v>183</v>
      </c>
      <c r="K649" s="17" t="s">
        <v>184</v>
      </c>
      <c r="L649" s="17" t="s">
        <v>185</v>
      </c>
    </row>
    <row r="650" spans="1:12" customFormat="1" ht="16" x14ac:dyDescent="0.2">
      <c r="A650" t="s">
        <v>222</v>
      </c>
      <c r="B650">
        <v>1</v>
      </c>
      <c r="C650" t="s">
        <v>18</v>
      </c>
      <c r="D650" s="2"/>
      <c r="E650" t="s">
        <v>17</v>
      </c>
      <c r="F650" t="s">
        <v>19</v>
      </c>
      <c r="G650" t="s">
        <v>143</v>
      </c>
      <c r="H650" s="2"/>
    </row>
    <row r="651" spans="1:12" customFormat="1" ht="16" x14ac:dyDescent="0.2">
      <c r="A651" t="s">
        <v>141</v>
      </c>
      <c r="B651">
        <f>1/3.6</f>
        <v>0.27777777777777779</v>
      </c>
      <c r="C651" t="s">
        <v>18</v>
      </c>
      <c r="D651" s="2"/>
      <c r="E651" t="s">
        <v>142</v>
      </c>
      <c r="F651" t="s">
        <v>23</v>
      </c>
      <c r="G651" t="s">
        <v>143</v>
      </c>
      <c r="H651" s="2"/>
    </row>
    <row r="652" spans="1:12" customFormat="1" ht="16" x14ac:dyDescent="0.2">
      <c r="A652" t="s">
        <v>186</v>
      </c>
      <c r="B652">
        <v>4.3859649122807014E-6</v>
      </c>
      <c r="C652" t="s">
        <v>114</v>
      </c>
      <c r="D652" s="2"/>
      <c r="E652" t="s">
        <v>9</v>
      </c>
      <c r="F652" t="s">
        <v>23</v>
      </c>
      <c r="G652" t="s">
        <v>187</v>
      </c>
      <c r="H652" s="2"/>
      <c r="I652">
        <v>5</v>
      </c>
      <c r="J652">
        <f>B652</f>
        <v>4.3859649122807014E-6</v>
      </c>
      <c r="K652">
        <f>B652*(1000000/1250000)</f>
        <v>3.5087719298245615E-6</v>
      </c>
      <c r="L652">
        <f>B652*(1000000/750000)</f>
        <v>5.8479532163742686E-6</v>
      </c>
    </row>
    <row r="653" spans="1:12" customFormat="1" ht="16" x14ac:dyDescent="0.2">
      <c r="A653" t="s">
        <v>147</v>
      </c>
      <c r="B653">
        <v>1.529271460518488E-5</v>
      </c>
      <c r="C653" t="s">
        <v>114</v>
      </c>
      <c r="D653" s="2"/>
      <c r="E653" t="s">
        <v>9</v>
      </c>
      <c r="F653" t="s">
        <v>23</v>
      </c>
      <c r="G653" t="s">
        <v>148</v>
      </c>
      <c r="H653" s="2"/>
      <c r="I653">
        <v>5</v>
      </c>
      <c r="J653">
        <f>B653</f>
        <v>1.529271460518488E-5</v>
      </c>
      <c r="K653">
        <f>B653*(1000000/1250000)</f>
        <v>1.2234171684147905E-5</v>
      </c>
      <c r="L653">
        <f>B653*(1000000/750000)</f>
        <v>2.0390286140246506E-5</v>
      </c>
    </row>
    <row r="654" spans="1:12" customFormat="1" ht="16" x14ac:dyDescent="0.2">
      <c r="A654" t="s">
        <v>188</v>
      </c>
      <c r="B654">
        <v>2.2293376104859981E-6</v>
      </c>
      <c r="C654" t="s">
        <v>114</v>
      </c>
      <c r="D654" s="2"/>
      <c r="E654" t="s">
        <v>9</v>
      </c>
      <c r="F654" t="s">
        <v>23</v>
      </c>
      <c r="G654" t="s">
        <v>189</v>
      </c>
      <c r="H654" s="2"/>
      <c r="I654">
        <v>5</v>
      </c>
      <c r="J654">
        <f>B654</f>
        <v>2.2293376104859981E-6</v>
      </c>
      <c r="K654">
        <f>B654*(1000000/1250000)</f>
        <v>1.7834700883887986E-6</v>
      </c>
      <c r="L654">
        <f>B654*(1000000/750000)</f>
        <v>2.9724501473146639E-6</v>
      </c>
    </row>
    <row r="655" spans="1:12" customFormat="1" ht="16" x14ac:dyDescent="0.2">
      <c r="A655" t="s">
        <v>190</v>
      </c>
      <c r="B655">
        <v>6.3157894736842103E-6</v>
      </c>
      <c r="C655" t="s">
        <v>114</v>
      </c>
      <c r="D655" s="2"/>
      <c r="E655" t="s">
        <v>9</v>
      </c>
      <c r="F655" t="s">
        <v>23</v>
      </c>
      <c r="G655" t="s">
        <v>191</v>
      </c>
      <c r="H655" s="2"/>
      <c r="I655">
        <v>5</v>
      </c>
      <c r="J655">
        <f>B655</f>
        <v>6.3157894736842103E-6</v>
      </c>
      <c r="K655">
        <f>B655*(1000000/1250000)</f>
        <v>5.0526315789473688E-6</v>
      </c>
      <c r="L655">
        <f>B655*(1000000/750000)</f>
        <v>8.4210526315789465E-6</v>
      </c>
    </row>
    <row r="656" spans="1:12" customFormat="1" ht="16" x14ac:dyDescent="0.2">
      <c r="A656" t="s">
        <v>224</v>
      </c>
      <c r="B656">
        <f>66/1000000/5.7</f>
        <v>1.1578947368421053E-5</v>
      </c>
      <c r="C656" s="2" t="s">
        <v>114</v>
      </c>
      <c r="D656" s="2"/>
      <c r="E656" t="s">
        <v>142</v>
      </c>
      <c r="F656" t="s">
        <v>23</v>
      </c>
      <c r="G656" t="s">
        <v>193</v>
      </c>
      <c r="H656" s="2"/>
      <c r="I656">
        <v>5</v>
      </c>
      <c r="J656">
        <f>B656</f>
        <v>1.1578947368421053E-5</v>
      </c>
      <c r="K656">
        <f>33/1250000/5.7</f>
        <v>4.631578947368421E-6</v>
      </c>
      <c r="L656">
        <f>88/750000/5.7</f>
        <v>2.0584795321637427E-5</v>
      </c>
    </row>
    <row r="657" spans="1:9" customFormat="1" ht="16" x14ac:dyDescent="0.2">
      <c r="B657" s="3"/>
    </row>
    <row r="658" spans="1:9" x14ac:dyDescent="0.2">
      <c r="A658" s="17" t="s">
        <v>2</v>
      </c>
      <c r="B658" s="17" t="s">
        <v>225</v>
      </c>
    </row>
    <row r="659" spans="1:9" customFormat="1" ht="16" x14ac:dyDescent="0.2">
      <c r="A659" t="s">
        <v>3</v>
      </c>
      <c r="B659" t="s">
        <v>18</v>
      </c>
    </row>
    <row r="660" spans="1:9" customFormat="1" ht="16" x14ac:dyDescent="0.2">
      <c r="A660" t="s">
        <v>5</v>
      </c>
      <c r="B660" t="s">
        <v>143</v>
      </c>
    </row>
    <row r="661" spans="1:9" customFormat="1" ht="16" x14ac:dyDescent="0.2">
      <c r="A661" t="s">
        <v>6</v>
      </c>
      <c r="B661" t="s">
        <v>7</v>
      </c>
    </row>
    <row r="662" spans="1:9" customFormat="1" ht="16" x14ac:dyDescent="0.2">
      <c r="A662" t="s">
        <v>8</v>
      </c>
      <c r="B662" t="s">
        <v>17</v>
      </c>
    </row>
    <row r="663" spans="1:9" customFormat="1" ht="16" x14ac:dyDescent="0.2">
      <c r="A663" s="1" t="s">
        <v>10</v>
      </c>
    </row>
    <row r="664" spans="1:9" x14ac:dyDescent="0.2">
      <c r="A664" s="17" t="s">
        <v>11</v>
      </c>
      <c r="B664" s="17" t="s">
        <v>12</v>
      </c>
      <c r="C664" s="17" t="s">
        <v>3</v>
      </c>
      <c r="D664" s="17" t="s">
        <v>13</v>
      </c>
      <c r="E664" s="17" t="s">
        <v>8</v>
      </c>
      <c r="F664" s="17" t="s">
        <v>6</v>
      </c>
      <c r="G664" s="17" t="s">
        <v>5</v>
      </c>
    </row>
    <row r="665" spans="1:9" customFormat="1" ht="16" x14ac:dyDescent="0.2">
      <c r="A665" t="s">
        <v>222</v>
      </c>
      <c r="B665">
        <v>1</v>
      </c>
      <c r="C665" t="s">
        <v>18</v>
      </c>
      <c r="D665" s="2"/>
      <c r="E665" t="s">
        <v>17</v>
      </c>
      <c r="F665" t="s">
        <v>19</v>
      </c>
      <c r="G665" t="s">
        <v>143</v>
      </c>
      <c r="I665" s="2"/>
    </row>
    <row r="666" spans="1:9" customFormat="1" ht="16" x14ac:dyDescent="0.2">
      <c r="A666" t="s">
        <v>226</v>
      </c>
      <c r="B666" s="13">
        <f>1/(0.089775*3.6)</f>
        <v>3.0941551409387671</v>
      </c>
      <c r="C666" t="s">
        <v>22</v>
      </c>
      <c r="D666" s="2"/>
      <c r="E666" t="s">
        <v>227</v>
      </c>
      <c r="F666" t="s">
        <v>23</v>
      </c>
      <c r="G666" t="s">
        <v>226</v>
      </c>
      <c r="I666" s="2"/>
    </row>
    <row r="667" spans="1:9" customFormat="1" ht="16" x14ac:dyDescent="0.2">
      <c r="I667" s="2"/>
    </row>
    <row r="668" spans="1:9" x14ac:dyDescent="0.2">
      <c r="A668" s="17" t="s">
        <v>2</v>
      </c>
      <c r="B668" s="17" t="s">
        <v>228</v>
      </c>
    </row>
    <row r="669" spans="1:9" customFormat="1" ht="16" x14ac:dyDescent="0.2">
      <c r="A669" t="s">
        <v>3</v>
      </c>
      <c r="B669" t="s">
        <v>18</v>
      </c>
      <c r="I669" s="2"/>
    </row>
    <row r="670" spans="1:9" customFormat="1" ht="16" x14ac:dyDescent="0.2">
      <c r="A670" t="s">
        <v>5</v>
      </c>
      <c r="B670" s="3" t="s">
        <v>143</v>
      </c>
    </row>
    <row r="671" spans="1:9" customFormat="1" ht="16" x14ac:dyDescent="0.2">
      <c r="A671" t="s">
        <v>6</v>
      </c>
      <c r="B671" s="3" t="s">
        <v>7</v>
      </c>
    </row>
    <row r="672" spans="1:9" customFormat="1" ht="16" x14ac:dyDescent="0.2">
      <c r="A672" t="s">
        <v>8</v>
      </c>
      <c r="B672" s="3" t="s">
        <v>17</v>
      </c>
    </row>
    <row r="673" spans="1:12" customFormat="1" ht="16" x14ac:dyDescent="0.2">
      <c r="A673" t="s">
        <v>207</v>
      </c>
      <c r="B673" s="3" t="s">
        <v>229</v>
      </c>
    </row>
    <row r="674" spans="1:12" customFormat="1" ht="16" x14ac:dyDescent="0.2">
      <c r="A674" t="s">
        <v>153</v>
      </c>
      <c r="B674" s="3" t="s">
        <v>365</v>
      </c>
    </row>
    <row r="675" spans="1:12" customFormat="1" ht="16" x14ac:dyDescent="0.2">
      <c r="A675" t="s">
        <v>355</v>
      </c>
      <c r="B675" s="2">
        <f>INDEX(Parameters!$B$6:$AL$54,MATCH(Inventories!$B$668,Parameters!$A$6:$A$54,0),MATCH(Inventories!$A675,Parameters!$B$4:$AL$4,0))</f>
        <v>13</v>
      </c>
      <c r="C675" t="s">
        <v>315</v>
      </c>
      <c r="D675" s="2"/>
      <c r="E675" s="2"/>
      <c r="F675" s="2"/>
      <c r="G675" s="2"/>
      <c r="H675" s="2"/>
      <c r="I675" s="2"/>
      <c r="J675" s="2"/>
      <c r="K675" s="2"/>
      <c r="L675" s="2"/>
    </row>
    <row r="676" spans="1:12" customFormat="1" ht="16" x14ac:dyDescent="0.2">
      <c r="A676" t="s">
        <v>356</v>
      </c>
      <c r="B676" s="2">
        <f>INDEX(Parameters!$B$6:$AL$54,MATCH(Inventories!$B$668,Parameters!$A$6:$A$54,0),MATCH(Inventories!$A676,Parameters!$B$4:$AL$4,0))</f>
        <v>5</v>
      </c>
      <c r="C676" t="s">
        <v>315</v>
      </c>
      <c r="D676" s="2"/>
      <c r="E676" s="2"/>
      <c r="F676" s="2"/>
      <c r="G676" s="2"/>
      <c r="H676" s="2"/>
      <c r="I676" s="2"/>
      <c r="J676" s="2"/>
      <c r="K676" s="2"/>
      <c r="L676" s="2"/>
    </row>
    <row r="677" spans="1:12" customFormat="1" ht="16" x14ac:dyDescent="0.2">
      <c r="A677" t="s">
        <v>357</v>
      </c>
      <c r="B677" s="2">
        <f>INDEX(Parameters!$B$6:$AL$54,MATCH(Inventories!$B$668,Parameters!$A$6:$A$54,0),MATCH(Inventories!$A677,Parameters!$B$4:$AL$4,0))</f>
        <v>45</v>
      </c>
      <c r="C677" t="s">
        <v>315</v>
      </c>
      <c r="D677" s="2"/>
      <c r="E677" s="2"/>
      <c r="F677" s="2"/>
      <c r="G677" s="2"/>
      <c r="H677" s="2"/>
      <c r="I677" s="2"/>
      <c r="J677" s="2"/>
      <c r="K677" s="2"/>
      <c r="L677" s="2"/>
    </row>
    <row r="678" spans="1:12" customFormat="1" ht="16" x14ac:dyDescent="0.2">
      <c r="A678" t="s">
        <v>319</v>
      </c>
      <c r="B678" s="24">
        <f>INDEX(Parameters!$B$6:$AL$54,MATCH(Inventories!$B$668,Parameters!$A$6:$A$54,0),MATCH(Inventories!$A678,Parameters!$B$4:$AL$4,0))</f>
        <v>100000</v>
      </c>
      <c r="C678" t="s">
        <v>316</v>
      </c>
      <c r="D678" s="2"/>
      <c r="E678" s="2"/>
      <c r="F678" s="2"/>
      <c r="G678" s="2"/>
      <c r="H678" s="2"/>
      <c r="I678" s="2"/>
      <c r="J678" s="2"/>
      <c r="K678" s="2"/>
      <c r="L678" s="2"/>
    </row>
    <row r="679" spans="1:12" customFormat="1" ht="16" x14ac:dyDescent="0.2">
      <c r="A679" t="s">
        <v>320</v>
      </c>
      <c r="B679" s="24">
        <f>INDEX(Parameters!$B$6:$AL$54,MATCH(Inventories!$B$668,Parameters!$A$6:$A$54,0),MATCH(Inventories!$A679,Parameters!$B$4:$AL$4,0))</f>
        <v>50000</v>
      </c>
      <c r="C679" t="s">
        <v>316</v>
      </c>
      <c r="D679" s="2"/>
      <c r="E679" s="2"/>
      <c r="F679" s="2"/>
      <c r="G679" s="2"/>
      <c r="H679" s="2"/>
      <c r="I679" s="2"/>
      <c r="J679" s="2"/>
      <c r="K679" s="2"/>
      <c r="L679" s="2"/>
    </row>
    <row r="680" spans="1:12" customFormat="1" ht="16" x14ac:dyDescent="0.2">
      <c r="A680" t="s">
        <v>321</v>
      </c>
      <c r="B680" s="24">
        <f>INDEX(Parameters!$B$6:$AL$54,MATCH(Inventories!$B$668,Parameters!$A$6:$A$54,0),MATCH(Inventories!$A680,Parameters!$B$4:$AL$4,0))</f>
        <v>200000</v>
      </c>
      <c r="C680" t="s">
        <v>316</v>
      </c>
      <c r="D680" s="2"/>
      <c r="E680" s="2"/>
      <c r="F680" s="2"/>
      <c r="G680" s="2"/>
      <c r="H680" s="2"/>
      <c r="I680" s="2"/>
      <c r="J680" s="2"/>
      <c r="K680" s="2"/>
      <c r="L680" s="2"/>
    </row>
    <row r="681" spans="1:12" customFormat="1" ht="16" x14ac:dyDescent="0.2">
      <c r="A681" t="s">
        <v>322</v>
      </c>
      <c r="B681" s="2">
        <f>INDEX(Parameters!$B$6:$AL$54,MATCH(Inventories!$B$668,Parameters!$A$6:$A$54,0),MATCH(Inventories!$A681,Parameters!$B$4:$AL$4,0))</f>
        <v>284</v>
      </c>
      <c r="C681" t="s">
        <v>317</v>
      </c>
      <c r="D681" s="2"/>
      <c r="E681" s="2"/>
      <c r="F681" s="2"/>
      <c r="G681" s="2"/>
      <c r="H681" s="2"/>
      <c r="I681" s="2"/>
      <c r="J681" s="2"/>
      <c r="K681" s="2"/>
      <c r="L681" s="2"/>
    </row>
    <row r="682" spans="1:12" customFormat="1" ht="16" x14ac:dyDescent="0.2">
      <c r="A682" t="s">
        <v>323</v>
      </c>
      <c r="B682" s="2">
        <f>INDEX(Parameters!$B$6:$AL$54,MATCH(Inventories!$B$668,Parameters!$A$6:$A$54,0),MATCH(Inventories!$A682,Parameters!$B$4:$AL$4,0))</f>
        <v>156</v>
      </c>
      <c r="C682" t="s">
        <v>317</v>
      </c>
      <c r="D682" s="2"/>
      <c r="E682" s="2"/>
      <c r="F682" s="2"/>
      <c r="G682" s="2"/>
      <c r="H682" s="2"/>
      <c r="I682" s="2"/>
      <c r="J682" s="2"/>
      <c r="K682" s="2"/>
      <c r="L682" s="2"/>
    </row>
    <row r="683" spans="1:12" customFormat="1" ht="16" x14ac:dyDescent="0.2">
      <c r="A683" t="s">
        <v>324</v>
      </c>
      <c r="B683" s="2">
        <f>INDEX(Parameters!$B$6:$AL$54,MATCH(Inventories!$B$668,Parameters!$A$6:$A$54,0),MATCH(Inventories!$A683,Parameters!$B$4:$AL$4,0))</f>
        <v>356</v>
      </c>
      <c r="C683" t="s">
        <v>317</v>
      </c>
      <c r="D683" s="2"/>
      <c r="E683" s="2"/>
      <c r="F683" s="2"/>
      <c r="G683" s="2"/>
      <c r="H683" s="2"/>
      <c r="I683" s="2"/>
      <c r="J683" s="2"/>
      <c r="K683" s="2"/>
      <c r="L683" s="2"/>
    </row>
    <row r="684" spans="1:12" customFormat="1" ht="16" x14ac:dyDescent="0.2">
      <c r="A684" t="s">
        <v>340</v>
      </c>
      <c r="B684" s="2">
        <f>INDEX(Parameters!$B$6:$AL$54,MATCH(Inventories!$B$668,Parameters!$A$6:$A$54,0),MATCH(Inventories!$A684,Parameters!$B$4:$AL$4,0))</f>
        <v>6.4</v>
      </c>
      <c r="C684" t="s">
        <v>339</v>
      </c>
      <c r="D684" s="2"/>
      <c r="E684" s="2"/>
      <c r="F684" s="2"/>
      <c r="G684" s="2"/>
      <c r="H684" s="2"/>
      <c r="I684" s="2"/>
      <c r="J684" s="2"/>
      <c r="K684" s="2"/>
      <c r="L684" s="2"/>
    </row>
    <row r="685" spans="1:12" customFormat="1" ht="16" x14ac:dyDescent="0.2">
      <c r="A685" t="s">
        <v>341</v>
      </c>
      <c r="B685" s="2">
        <f>INDEX(Parameters!$B$6:$AL$54,MATCH(Inventories!$B$668,Parameters!$A$6:$A$54,0),MATCH(Inventories!$A685,Parameters!$B$4:$AL$4,0))</f>
        <v>2.2999999999999998</v>
      </c>
      <c r="C685" t="s">
        <v>339</v>
      </c>
      <c r="D685" s="2"/>
      <c r="E685" s="2"/>
      <c r="F685" s="2"/>
      <c r="G685" s="2"/>
      <c r="H685" s="2"/>
      <c r="I685" s="2"/>
      <c r="J685" s="2"/>
      <c r="K685" s="2"/>
      <c r="L685" s="2"/>
    </row>
    <row r="686" spans="1:12" customFormat="1" ht="16" x14ac:dyDescent="0.2">
      <c r="A686" t="s">
        <v>342</v>
      </c>
      <c r="B686" s="2">
        <f>INDEX(Parameters!$B$6:$AL$54,MATCH(Inventories!$B$668,Parameters!$A$6:$A$54,0),MATCH(Inventories!$A686,Parameters!$B$4:$AL$4,0))</f>
        <v>22</v>
      </c>
      <c r="C686" t="s">
        <v>339</v>
      </c>
      <c r="D686" s="2"/>
      <c r="E686" s="2"/>
      <c r="F686" s="2"/>
      <c r="G686" s="2"/>
      <c r="H686" s="2"/>
      <c r="I686" s="2"/>
      <c r="J686" s="2"/>
      <c r="K686" s="2"/>
      <c r="L686" s="2"/>
    </row>
    <row r="687" spans="1:12" customFormat="1" ht="16" x14ac:dyDescent="0.2">
      <c r="A687" t="s">
        <v>343</v>
      </c>
      <c r="B687" s="2">
        <f>INDEX(Parameters!$B$6:$AL$54,MATCH(Inventories!$B$668,Parameters!$A$6:$A$54,0),MATCH(Inventories!$A687,Parameters!$B$4:$AL$4,0))</f>
        <v>0</v>
      </c>
      <c r="C687" t="s">
        <v>339</v>
      </c>
      <c r="D687" s="2"/>
      <c r="E687" s="2"/>
      <c r="F687" s="2"/>
      <c r="G687" s="2"/>
      <c r="H687" s="2"/>
      <c r="I687" s="2"/>
      <c r="J687" s="2"/>
      <c r="K687" s="2"/>
      <c r="L687" s="2"/>
    </row>
    <row r="688" spans="1:12" customFormat="1" ht="16" x14ac:dyDescent="0.2">
      <c r="A688" t="s">
        <v>344</v>
      </c>
      <c r="B688" s="2">
        <f>INDEX(Parameters!$B$6:$AL$54,MATCH(Inventories!$B$668,Parameters!$A$6:$A$54,0),MATCH(Inventories!$A688,Parameters!$B$4:$AL$4,0))</f>
        <v>0</v>
      </c>
      <c r="C688" t="s">
        <v>339</v>
      </c>
      <c r="D688" s="2"/>
      <c r="E688" s="2"/>
      <c r="F688" s="2"/>
      <c r="G688" s="2"/>
      <c r="H688" s="2"/>
      <c r="I688" s="2"/>
      <c r="J688" s="2"/>
      <c r="K688" s="2"/>
      <c r="L688" s="2"/>
    </row>
    <row r="689" spans="1:12" customFormat="1" ht="16" x14ac:dyDescent="0.2">
      <c r="A689" t="s">
        <v>345</v>
      </c>
      <c r="B689" s="2">
        <f>INDEX(Parameters!$B$6:$AL$54,MATCH(Inventories!$B$668,Parameters!$A$6:$A$54,0),MATCH(Inventories!$A689,Parameters!$B$4:$AL$4,0))</f>
        <v>0</v>
      </c>
      <c r="C689" t="s">
        <v>339</v>
      </c>
      <c r="D689" s="2"/>
      <c r="E689" s="2"/>
      <c r="F689" s="2"/>
      <c r="G689" s="2"/>
      <c r="H689" s="2"/>
      <c r="I689" s="2"/>
      <c r="J689" s="2"/>
      <c r="K689" s="2"/>
      <c r="L689" s="2"/>
    </row>
    <row r="690" spans="1:12" customFormat="1" ht="16" x14ac:dyDescent="0.2">
      <c r="A690" t="s">
        <v>336</v>
      </c>
      <c r="B690" s="2">
        <f>INDEX(Parameters!$B$6:$AL$54,MATCH(Inventories!$B$668,Parameters!$A$6:$A$54,0),MATCH(Inventories!$A690,Parameters!$B$4:$AL$4,0))</f>
        <v>0</v>
      </c>
      <c r="C690" t="s">
        <v>339</v>
      </c>
      <c r="D690" s="2"/>
      <c r="E690" s="2"/>
      <c r="F690" s="2"/>
      <c r="G690" s="2"/>
      <c r="H690" s="2"/>
      <c r="I690" s="2"/>
      <c r="J690" s="2"/>
      <c r="K690" s="2"/>
      <c r="L690" s="2"/>
    </row>
    <row r="691" spans="1:12" customFormat="1" ht="16" x14ac:dyDescent="0.2">
      <c r="A691" t="s">
        <v>337</v>
      </c>
      <c r="B691" s="2">
        <f>INDEX(Parameters!$B$6:$AL$54,MATCH(Inventories!$B$668,Parameters!$A$6:$A$54,0),MATCH(Inventories!$A691,Parameters!$B$4:$AL$4,0))</f>
        <v>0</v>
      </c>
      <c r="C691" t="s">
        <v>339</v>
      </c>
      <c r="D691" s="2"/>
      <c r="E691" s="2"/>
      <c r="F691" s="2"/>
      <c r="G691" s="2"/>
      <c r="H691" s="2"/>
      <c r="I691" s="2"/>
      <c r="J691" s="2"/>
      <c r="K691" s="2"/>
      <c r="L691" s="2"/>
    </row>
    <row r="692" spans="1:12" customFormat="1" ht="16" x14ac:dyDescent="0.2">
      <c r="A692" t="s">
        <v>338</v>
      </c>
      <c r="B692" s="2">
        <f>INDEX(Parameters!$B$6:$AL$54,MATCH(Inventories!$B$668,Parameters!$A$6:$A$54,0),MATCH(Inventories!$A692,Parameters!$B$4:$AL$4,0))</f>
        <v>0</v>
      </c>
      <c r="C692" t="s">
        <v>339</v>
      </c>
      <c r="D692" s="2"/>
      <c r="E692" s="2"/>
      <c r="F692" s="2"/>
      <c r="G692" s="2"/>
      <c r="H692" s="2"/>
      <c r="I692" s="2"/>
      <c r="J692" s="2"/>
      <c r="K692" s="2"/>
      <c r="L692" s="2"/>
    </row>
    <row r="693" spans="1:12" customFormat="1" ht="16" x14ac:dyDescent="0.2">
      <c r="A693" t="s">
        <v>325</v>
      </c>
      <c r="B693" s="2">
        <f>INDEX(Parameters!$B$6:$AL$54,MATCH(Inventories!$B$668,Parameters!$A$6:$A$54,0),MATCH(Inventories!$A693,Parameters!$B$4:$AL$4,0))</f>
        <v>6.7</v>
      </c>
      <c r="C693" t="s">
        <v>318</v>
      </c>
      <c r="D693" s="2"/>
      <c r="E693" s="2"/>
      <c r="F693" s="2"/>
      <c r="G693" s="2"/>
      <c r="H693" s="2"/>
      <c r="I693" s="2"/>
      <c r="J693" s="2"/>
      <c r="K693" s="2"/>
      <c r="L693" s="2"/>
    </row>
    <row r="694" spans="1:12" customFormat="1" ht="16" x14ac:dyDescent="0.2">
      <c r="A694" t="s">
        <v>326</v>
      </c>
      <c r="B694" s="2">
        <f>INDEX(Parameters!$B$6:$AL$54,MATCH(Inventories!$B$668,Parameters!$A$6:$A$54,0),MATCH(Inventories!$A694,Parameters!$B$4:$AL$4,0))</f>
        <v>2.5</v>
      </c>
      <c r="C694" t="s">
        <v>318</v>
      </c>
      <c r="D694" s="2"/>
      <c r="E694" s="2"/>
      <c r="F694" s="2"/>
      <c r="G694" s="2"/>
      <c r="H694" s="2"/>
      <c r="I694" s="2"/>
      <c r="J694" s="2"/>
      <c r="K694" s="2"/>
      <c r="L694" s="2"/>
    </row>
    <row r="695" spans="1:12" customFormat="1" ht="16" x14ac:dyDescent="0.2">
      <c r="A695" t="s">
        <v>327</v>
      </c>
      <c r="B695" s="2">
        <f>INDEX(Parameters!$B$6:$AL$54,MATCH(Inventories!$B$668,Parameters!$A$6:$A$54,0),MATCH(Inventories!$A695,Parameters!$B$4:$AL$4,0))</f>
        <v>14</v>
      </c>
      <c r="C695" t="s">
        <v>318</v>
      </c>
      <c r="D695" s="2"/>
      <c r="E695" s="2"/>
      <c r="F695" s="2"/>
      <c r="G695" s="2"/>
      <c r="H695" s="2"/>
      <c r="I695" s="2"/>
      <c r="J695" s="2"/>
      <c r="K695" s="2"/>
      <c r="L695" s="2"/>
    </row>
    <row r="696" spans="1:12" customFormat="1" ht="16" x14ac:dyDescent="0.2">
      <c r="A696" t="s">
        <v>333</v>
      </c>
      <c r="B696" s="2">
        <f>INDEX(Parameters!$B$6:$AL$54,MATCH(Inventories!$B$668,Parameters!$A$6:$A$54,0),MATCH(Inventories!$A696,Parameters!$B$4:$AL$4,0))</f>
        <v>0</v>
      </c>
      <c r="C696" t="s">
        <v>8</v>
      </c>
      <c r="D696" s="2"/>
      <c r="E696" s="2"/>
      <c r="F696" s="2"/>
      <c r="G696" s="2"/>
      <c r="H696" s="2"/>
      <c r="I696" s="2"/>
      <c r="J696" s="2"/>
      <c r="K696" s="2"/>
      <c r="L696" s="2"/>
    </row>
    <row r="697" spans="1:12" customFormat="1" ht="16" x14ac:dyDescent="0.2">
      <c r="A697" t="s">
        <v>334</v>
      </c>
      <c r="B697" s="2">
        <f>INDEX(Parameters!$B$6:$AL$54,MATCH(Inventories!$B$668,Parameters!$A$6:$A$54,0),MATCH(Inventories!$A697,Parameters!$B$4:$AL$4,0))</f>
        <v>0</v>
      </c>
      <c r="C697" t="s">
        <v>8</v>
      </c>
      <c r="D697" s="2"/>
      <c r="E697" s="2"/>
      <c r="F697" s="2"/>
      <c r="G697" s="2"/>
      <c r="H697" s="2"/>
      <c r="I697" s="2"/>
      <c r="J697" s="2"/>
      <c r="K697" s="2"/>
      <c r="L697" s="2"/>
    </row>
    <row r="698" spans="1:12" customFormat="1" ht="16" x14ac:dyDescent="0.2">
      <c r="A698" t="s">
        <v>335</v>
      </c>
      <c r="B698" s="2">
        <f>INDEX(Parameters!$B$6:$AL$54,MATCH(Inventories!$B$668,Parameters!$A$6:$A$54,0),MATCH(Inventories!$A698,Parameters!$B$4:$AL$4,0))</f>
        <v>0</v>
      </c>
      <c r="C698" t="s">
        <v>8</v>
      </c>
      <c r="D698" s="2"/>
      <c r="E698" s="2"/>
      <c r="F698" s="2"/>
      <c r="G698" s="2"/>
      <c r="H698" s="2"/>
      <c r="I698" s="2"/>
      <c r="J698" s="2"/>
      <c r="K698" s="2"/>
      <c r="L698" s="2"/>
    </row>
    <row r="699" spans="1:12" customFormat="1" ht="16" x14ac:dyDescent="0.2">
      <c r="A699" t="s">
        <v>349</v>
      </c>
      <c r="B699" s="2">
        <f>INDEX(Parameters!$B$6:$AL$54,MATCH(Inventories!$B$668,Parameters!$A$6:$A$54,0),MATCH(Inventories!$A699,Parameters!$B$4:$AL$4,0))</f>
        <v>0</v>
      </c>
      <c r="C699" t="s">
        <v>339</v>
      </c>
      <c r="D699" s="2"/>
      <c r="E699" s="2"/>
      <c r="F699" s="2"/>
      <c r="G699" s="2"/>
      <c r="H699" s="2"/>
      <c r="I699" s="2"/>
      <c r="J699" s="2"/>
      <c r="K699" s="2"/>
      <c r="L699" s="2"/>
    </row>
    <row r="700" spans="1:12" customFormat="1" ht="16" x14ac:dyDescent="0.2">
      <c r="A700" t="s">
        <v>350</v>
      </c>
      <c r="B700" s="2">
        <f>INDEX(Parameters!$B$6:$AL$54,MATCH(Inventories!$B$668,Parameters!$A$6:$A$54,0),MATCH(Inventories!$A700,Parameters!$B$4:$AL$4,0))</f>
        <v>0</v>
      </c>
      <c r="C700" t="s">
        <v>339</v>
      </c>
      <c r="D700" s="2"/>
      <c r="E700" s="12"/>
      <c r="F700" s="2"/>
      <c r="G700" s="2"/>
      <c r="H700" s="2"/>
      <c r="I700" s="2"/>
      <c r="J700" s="2"/>
      <c r="K700" s="2"/>
      <c r="L700" s="2"/>
    </row>
    <row r="701" spans="1:12" customFormat="1" ht="16" x14ac:dyDescent="0.2">
      <c r="A701" t="s">
        <v>351</v>
      </c>
      <c r="B701" s="2">
        <f>INDEX(Parameters!$B$6:$AL$54,MATCH(Inventories!$B$668,Parameters!$A$6:$A$54,0),MATCH(Inventories!$A701,Parameters!$B$4:$AL$4,0))</f>
        <v>0</v>
      </c>
      <c r="C701" t="s">
        <v>339</v>
      </c>
      <c r="D701" s="2"/>
      <c r="E701" s="2"/>
      <c r="F701" s="2"/>
      <c r="G701" s="2"/>
      <c r="H701" s="2"/>
      <c r="I701" s="2"/>
      <c r="J701" s="2"/>
      <c r="K701" s="2"/>
      <c r="L701" s="2"/>
    </row>
    <row r="702" spans="1:12" customFormat="1" ht="16" x14ac:dyDescent="0.2">
      <c r="A702" t="s">
        <v>352</v>
      </c>
      <c r="B702" s="2">
        <f>INDEX(Parameters!$B$6:$AL$54,MATCH(Inventories!$B$668,Parameters!$A$6:$A$54,0),MATCH(Inventories!$A702,Parameters!$B$4:$AL$4,0))</f>
        <v>0</v>
      </c>
      <c r="C702" t="s">
        <v>8</v>
      </c>
      <c r="D702" s="2"/>
      <c r="E702" s="2"/>
      <c r="F702" s="2"/>
      <c r="G702" s="2"/>
      <c r="H702" s="2"/>
      <c r="I702" s="2"/>
      <c r="J702" s="2"/>
      <c r="K702" s="2"/>
      <c r="L702" s="2"/>
    </row>
    <row r="703" spans="1:12" customFormat="1" ht="16" x14ac:dyDescent="0.2">
      <c r="A703" t="s">
        <v>353</v>
      </c>
      <c r="B703" s="2">
        <f>INDEX(Parameters!$B$6:$AL$54,MATCH(Inventories!$B$668,Parameters!$A$6:$A$54,0),MATCH(Inventories!$A703,Parameters!$B$4:$AL$4,0))</f>
        <v>0</v>
      </c>
      <c r="C703" t="s">
        <v>8</v>
      </c>
      <c r="D703" s="2"/>
      <c r="E703" s="2"/>
      <c r="F703" s="2"/>
      <c r="G703" s="2"/>
      <c r="H703" s="2"/>
      <c r="I703" s="2"/>
      <c r="J703" s="2"/>
      <c r="K703" s="2"/>
      <c r="L703" s="2"/>
    </row>
    <row r="704" spans="1:12" customFormat="1" ht="16" x14ac:dyDescent="0.2">
      <c r="A704" t="s">
        <v>354</v>
      </c>
      <c r="B704" s="2">
        <f>INDEX(Parameters!$B$6:$AL$54,MATCH(Inventories!$B$668,Parameters!$A$6:$A$54,0),MATCH(Inventories!$A704,Parameters!$B$4:$AL$4,0))</f>
        <v>0</v>
      </c>
      <c r="C704" t="s">
        <v>8</v>
      </c>
      <c r="D704" s="2"/>
      <c r="E704" s="2"/>
      <c r="F704" s="2"/>
      <c r="G704" s="2"/>
      <c r="H704" s="2"/>
      <c r="I704" s="2"/>
      <c r="J704" s="2"/>
      <c r="K704" s="2"/>
      <c r="L704" s="2"/>
    </row>
    <row r="705" spans="1:13" customFormat="1" ht="16" x14ac:dyDescent="0.2">
      <c r="A705" t="s">
        <v>368</v>
      </c>
      <c r="B705" s="2">
        <f>INDEX(Parameters!$B$6:$AL$54,MATCH(Inventories!$B$668,Parameters!$A$6:$A$54,0),MATCH(Inventories!$A705,Parameters!$B$4:$AL$4,0))</f>
        <v>2.4</v>
      </c>
      <c r="C705" t="s">
        <v>339</v>
      </c>
      <c r="D705" s="2"/>
      <c r="E705" s="2"/>
      <c r="F705" s="2"/>
      <c r="G705" s="2"/>
      <c r="H705" s="2"/>
      <c r="I705" s="2"/>
      <c r="J705" s="2"/>
      <c r="K705" s="2"/>
      <c r="L705" s="2"/>
    </row>
    <row r="706" spans="1:13" customFormat="1" ht="16" x14ac:dyDescent="0.2">
      <c r="A706" t="s">
        <v>369</v>
      </c>
      <c r="B706" s="2">
        <f>INDEX(Parameters!$B$6:$AL$54,MATCH(Inventories!$B$668,Parameters!$A$6:$A$54,0),MATCH(Inventories!$A706,Parameters!$B$4:$AL$4,0))</f>
        <v>1.3</v>
      </c>
      <c r="C706" t="s">
        <v>339</v>
      </c>
      <c r="D706" s="2"/>
      <c r="E706" s="2"/>
      <c r="F706" s="2"/>
      <c r="G706" s="2"/>
      <c r="H706" s="2"/>
      <c r="I706" s="2"/>
      <c r="J706" s="2"/>
      <c r="K706" s="2"/>
      <c r="L706" s="2"/>
    </row>
    <row r="707" spans="1:13" customFormat="1" ht="16" x14ac:dyDescent="0.2">
      <c r="A707" t="s">
        <v>370</v>
      </c>
      <c r="B707" s="2">
        <f>INDEX(Parameters!$B$6:$AL$54,MATCH(Inventories!$B$668,Parameters!$A$6:$A$54,0),MATCH(Inventories!$A707,Parameters!$B$4:$AL$4,0))</f>
        <v>1.125</v>
      </c>
      <c r="C707" t="s">
        <v>339</v>
      </c>
      <c r="D707" s="2"/>
      <c r="E707" s="2"/>
      <c r="F707" s="2"/>
      <c r="G707" s="2"/>
      <c r="H707" s="2"/>
      <c r="I707" s="2"/>
      <c r="J707" s="2"/>
      <c r="K707" s="2"/>
      <c r="L707" s="2"/>
    </row>
    <row r="708" spans="1:13" customFormat="1" ht="16" x14ac:dyDescent="0.2">
      <c r="A708" t="s">
        <v>371</v>
      </c>
      <c r="B708" s="2">
        <f>INDEX(Parameters!$B$6:$AL$54,MATCH(Inventories!$B$668,Parameters!$A$6:$A$54,0),MATCH(Inventories!$A708,Parameters!$B$4:$AL$4,0))</f>
        <v>5.2</v>
      </c>
      <c r="C708" t="s">
        <v>339</v>
      </c>
      <c r="D708" s="2"/>
      <c r="E708" s="2"/>
      <c r="F708" s="2"/>
      <c r="G708" s="2"/>
      <c r="H708" s="2"/>
      <c r="I708" s="2"/>
      <c r="J708" s="2"/>
      <c r="K708" s="2"/>
      <c r="L708" s="2"/>
    </row>
    <row r="709" spans="1:13" customFormat="1" ht="16" x14ac:dyDescent="0.2">
      <c r="A709" t="s">
        <v>372</v>
      </c>
      <c r="B709" s="2">
        <f>INDEX(Parameters!$B$6:$AL$54,MATCH(Inventories!$B$668,Parameters!$A$6:$A$54,0),MATCH(Inventories!$A709,Parameters!$B$4:$AL$4,0))</f>
        <v>2.25</v>
      </c>
      <c r="C709" t="s">
        <v>339</v>
      </c>
      <c r="D709" s="2"/>
      <c r="E709" s="2"/>
      <c r="F709" s="2"/>
      <c r="G709" s="2"/>
      <c r="H709" s="2"/>
      <c r="I709" s="2"/>
      <c r="J709" s="2"/>
      <c r="K709" s="2"/>
      <c r="L709" s="2"/>
    </row>
    <row r="710" spans="1:13" customFormat="1" ht="16" x14ac:dyDescent="0.2">
      <c r="A710" t="s">
        <v>347</v>
      </c>
      <c r="B710" s="29">
        <f>INDEX(Parameters!$B$6:$AL$54,MATCH(Inventories!$B$668,Parameters!$A$6:$A$54,0),MATCH(Inventories!$A710,Parameters!$B$4:$AL$4,0))</f>
        <v>0</v>
      </c>
      <c r="C710" t="s">
        <v>348</v>
      </c>
      <c r="D710" s="2"/>
      <c r="E710" s="2"/>
      <c r="F710" s="2"/>
      <c r="G710" s="2"/>
      <c r="H710" s="2"/>
      <c r="I710" s="2"/>
      <c r="J710" s="2"/>
      <c r="K710" s="2"/>
      <c r="L710" s="2"/>
    </row>
    <row r="711" spans="1:13" customFormat="1" ht="16" x14ac:dyDescent="0.2">
      <c r="A711" t="s">
        <v>346</v>
      </c>
      <c r="B711" s="2">
        <f>INDEX(Parameters!$B$6:$AL$54,MATCH(Inventories!$B$668,Parameters!$A$6:$A$54,0),MATCH(Inventories!$A711,Parameters!$B$4:$AL$4,0))</f>
        <v>0</v>
      </c>
      <c r="C711" t="s">
        <v>348</v>
      </c>
      <c r="D711" s="2"/>
      <c r="E711" s="2"/>
      <c r="F711" s="2"/>
      <c r="G711" s="2"/>
      <c r="H711" s="2"/>
      <c r="I711" s="2"/>
      <c r="J711" s="2"/>
      <c r="K711" s="2"/>
      <c r="L711" s="2"/>
    </row>
    <row r="712" spans="1:13" customFormat="1" ht="16" x14ac:dyDescent="0.2">
      <c r="A712" t="s">
        <v>10</v>
      </c>
      <c r="B712" s="3"/>
    </row>
    <row r="713" spans="1:13" x14ac:dyDescent="0.2">
      <c r="A713" s="17" t="s">
        <v>11</v>
      </c>
      <c r="B713" s="18" t="s">
        <v>12</v>
      </c>
      <c r="C713" s="17" t="s">
        <v>3</v>
      </c>
      <c r="D713" s="17" t="s">
        <v>13</v>
      </c>
      <c r="E713" s="17" t="s">
        <v>8</v>
      </c>
      <c r="F713" s="17" t="s">
        <v>6</v>
      </c>
      <c r="G713" s="17" t="s">
        <v>5</v>
      </c>
      <c r="H713" s="17" t="s">
        <v>153</v>
      </c>
      <c r="I713" s="17" t="s">
        <v>182</v>
      </c>
      <c r="J713" s="17" t="s">
        <v>183</v>
      </c>
      <c r="K713" s="17" t="s">
        <v>184</v>
      </c>
      <c r="L713" s="17" t="s">
        <v>185</v>
      </c>
    </row>
    <row r="714" spans="1:13" customFormat="1" ht="16" x14ac:dyDescent="0.2">
      <c r="A714" t="s">
        <v>228</v>
      </c>
      <c r="B714" s="3">
        <v>1</v>
      </c>
      <c r="C714" t="s">
        <v>18</v>
      </c>
      <c r="D714" s="2"/>
      <c r="E714" t="s">
        <v>17</v>
      </c>
      <c r="F714" t="s">
        <v>19</v>
      </c>
      <c r="G714" t="s">
        <v>143</v>
      </c>
      <c r="H714" t="s">
        <v>214</v>
      </c>
      <c r="M714" s="2"/>
    </row>
    <row r="715" spans="1:13" customFormat="1" ht="16" x14ac:dyDescent="0.2">
      <c r="A715" t="s">
        <v>141</v>
      </c>
      <c r="B715" s="9">
        <f>1/3.6</f>
        <v>0.27777777777777779</v>
      </c>
      <c r="C715" t="s">
        <v>18</v>
      </c>
      <c r="D715" s="2"/>
      <c r="E715" t="s">
        <v>142</v>
      </c>
      <c r="F715" t="s">
        <v>23</v>
      </c>
      <c r="G715" t="s">
        <v>143</v>
      </c>
      <c r="M715" s="2"/>
    </row>
    <row r="716" spans="1:13" customFormat="1" ht="16" x14ac:dyDescent="0.2">
      <c r="A716" t="s">
        <v>147</v>
      </c>
      <c r="B716" s="3">
        <f>(B684/B678)/(B681/1000)</f>
        <v>2.2535211267605634E-4</v>
      </c>
      <c r="C716" t="s">
        <v>114</v>
      </c>
      <c r="D716" t="s">
        <v>214</v>
      </c>
      <c r="E716" t="s">
        <v>9</v>
      </c>
      <c r="F716" t="s">
        <v>23</v>
      </c>
      <c r="G716" t="s">
        <v>148</v>
      </c>
      <c r="H716" s="2"/>
      <c r="I716">
        <v>5</v>
      </c>
      <c r="J716" s="3">
        <f>B716</f>
        <v>2.2535211267605634E-4</v>
      </c>
      <c r="K716" s="3">
        <f>(B685/B680)/(B683/1000)</f>
        <v>3.2303370786516852E-5</v>
      </c>
      <c r="L716" s="3">
        <f>(B686/B679)/(B682/1000)</f>
        <v>2.8205128205128207E-3</v>
      </c>
    </row>
    <row r="717" spans="1:13" customFormat="1" ht="16" x14ac:dyDescent="0.2">
      <c r="A717" t="s">
        <v>192</v>
      </c>
      <c r="B717" s="3">
        <f>((B693*(1+B696)/B678)/(B681/1000))</f>
        <v>2.3591549295774652E-4</v>
      </c>
      <c r="C717" s="2" t="s">
        <v>114</v>
      </c>
      <c r="D717" s="2"/>
      <c r="E717" t="s">
        <v>142</v>
      </c>
      <c r="F717" t="s">
        <v>23</v>
      </c>
      <c r="G717" t="s">
        <v>193</v>
      </c>
      <c r="I717">
        <v>5</v>
      </c>
      <c r="J717" s="3">
        <f>B717</f>
        <v>2.3591549295774652E-4</v>
      </c>
      <c r="K717" s="3">
        <f>((B694+(1+B697))/B680)/(B683/1000)</f>
        <v>4.9157303370786517E-5</v>
      </c>
      <c r="L717" s="3">
        <f>((B695+(1+B698))/B679)/(B682/1000)</f>
        <v>1.923076923076923E-3</v>
      </c>
      <c r="M717" s="2"/>
    </row>
    <row r="718" spans="1:13" customFormat="1" ht="16" x14ac:dyDescent="0.2">
      <c r="A718" t="s">
        <v>231</v>
      </c>
      <c r="B718" s="3">
        <f>(1/B678)/(B681/1000)</f>
        <v>3.5211267605633811E-5</v>
      </c>
      <c r="C718" t="s">
        <v>114</v>
      </c>
      <c r="D718" s="2"/>
      <c r="E718" t="s">
        <v>8</v>
      </c>
      <c r="F718" t="s">
        <v>23</v>
      </c>
      <c r="G718" t="s">
        <v>231</v>
      </c>
      <c r="H718" t="s">
        <v>376</v>
      </c>
      <c r="I718">
        <v>5</v>
      </c>
      <c r="J718" s="3">
        <f>B718</f>
        <v>3.5211267605633811E-5</v>
      </c>
      <c r="K718" s="3">
        <f>(1/B680)/(B683/1000)</f>
        <v>1.4044943820224721E-5</v>
      </c>
      <c r="L718" s="3">
        <f>(1/B679)/(B682/1000)</f>
        <v>1.2820512820512821E-4</v>
      </c>
      <c r="M718" s="2"/>
    </row>
    <row r="719" spans="1:13" customFormat="1" ht="16" x14ac:dyDescent="0.2">
      <c r="A719" t="s">
        <v>373</v>
      </c>
      <c r="B719" s="3">
        <f>(B708/B678)/(B681/1000)</f>
        <v>1.830985915492958E-4</v>
      </c>
      <c r="C719" t="s">
        <v>114</v>
      </c>
      <c r="D719" s="2"/>
      <c r="E719" t="s">
        <v>9</v>
      </c>
      <c r="F719" t="s">
        <v>23</v>
      </c>
      <c r="G719" t="s">
        <v>374</v>
      </c>
      <c r="J719" s="3"/>
      <c r="K719" s="3"/>
      <c r="L719" s="3"/>
      <c r="M719" s="2"/>
    </row>
    <row r="720" spans="1:13" customFormat="1" ht="16" x14ac:dyDescent="0.2">
      <c r="A720" t="s">
        <v>231</v>
      </c>
      <c r="B720" s="3">
        <f>(B705/B678)/(B681/1000)</f>
        <v>8.4507042253521139E-5</v>
      </c>
      <c r="C720" t="s">
        <v>114</v>
      </c>
      <c r="D720" s="2"/>
      <c r="E720" t="s">
        <v>8</v>
      </c>
      <c r="F720" t="s">
        <v>23</v>
      </c>
      <c r="G720" t="s">
        <v>231</v>
      </c>
      <c r="H720" t="s">
        <v>375</v>
      </c>
      <c r="J720" s="3"/>
      <c r="K720" s="3"/>
      <c r="L720" s="3"/>
      <c r="M720" s="2"/>
    </row>
    <row r="721" spans="1:13" customFormat="1" ht="16" x14ac:dyDescent="0.2">
      <c r="A721" t="s">
        <v>188</v>
      </c>
      <c r="B721" s="3">
        <f>(B709/B678)/(B681/1000)</f>
        <v>7.9225352112676067E-5</v>
      </c>
      <c r="C721" t="s">
        <v>114</v>
      </c>
      <c r="D721" s="2"/>
      <c r="E721" t="s">
        <v>9</v>
      </c>
      <c r="F721" t="s">
        <v>23</v>
      </c>
      <c r="G721" t="s">
        <v>189</v>
      </c>
      <c r="J721" s="3"/>
      <c r="K721" s="3"/>
      <c r="L721" s="3"/>
      <c r="M721" s="2"/>
    </row>
    <row r="722" spans="1:13" customFormat="1" ht="16" x14ac:dyDescent="0.2">
      <c r="A722" t="s">
        <v>186</v>
      </c>
      <c r="B722" s="3">
        <f>(B707/B678)/(B681/1000)</f>
        <v>3.9612676056338034E-5</v>
      </c>
      <c r="C722" t="s">
        <v>114</v>
      </c>
      <c r="D722" s="2"/>
      <c r="E722" t="s">
        <v>9</v>
      </c>
      <c r="F722" t="s">
        <v>23</v>
      </c>
      <c r="G722" t="s">
        <v>187</v>
      </c>
      <c r="J722" s="3"/>
      <c r="K722" s="3"/>
      <c r="L722" s="3"/>
      <c r="M722" s="2"/>
    </row>
    <row r="723" spans="1:13" customFormat="1" ht="16" x14ac:dyDescent="0.2">
      <c r="A723" t="s">
        <v>190</v>
      </c>
      <c r="B723" s="3">
        <f>(B706/B678)/(B681/1000)</f>
        <v>4.5774647887323949E-5</v>
      </c>
      <c r="C723" t="s">
        <v>114</v>
      </c>
      <c r="D723" s="2"/>
      <c r="E723" t="s">
        <v>9</v>
      </c>
      <c r="F723" t="s">
        <v>23</v>
      </c>
      <c r="G723" t="s">
        <v>191</v>
      </c>
      <c r="J723" s="3"/>
      <c r="K723" s="3"/>
      <c r="L723" s="3"/>
      <c r="M723" s="2"/>
    </row>
    <row r="724" spans="1:13" customFormat="1" ht="16" x14ac:dyDescent="0.2">
      <c r="B724" s="3"/>
    </row>
    <row r="725" spans="1:13" x14ac:dyDescent="0.2">
      <c r="A725" s="17" t="s">
        <v>2</v>
      </c>
      <c r="B725" s="17" t="s">
        <v>303</v>
      </c>
    </row>
    <row r="726" spans="1:13" customFormat="1" ht="16" x14ac:dyDescent="0.2">
      <c r="A726" t="s">
        <v>3</v>
      </c>
      <c r="B726" t="s">
        <v>18</v>
      </c>
    </row>
    <row r="727" spans="1:13" customFormat="1" ht="16" x14ac:dyDescent="0.2">
      <c r="A727" t="s">
        <v>5</v>
      </c>
      <c r="B727" s="3" t="s">
        <v>1</v>
      </c>
    </row>
    <row r="728" spans="1:13" customFormat="1" ht="16" x14ac:dyDescent="0.2">
      <c r="A728" t="s">
        <v>6</v>
      </c>
      <c r="B728" s="3" t="s">
        <v>7</v>
      </c>
    </row>
    <row r="729" spans="1:13" customFormat="1" ht="16" x14ac:dyDescent="0.2">
      <c r="A729" t="s">
        <v>8</v>
      </c>
      <c r="B729" s="3" t="s">
        <v>17</v>
      </c>
    </row>
    <row r="730" spans="1:13" customFormat="1" ht="16" x14ac:dyDescent="0.2">
      <c r="A730" t="s">
        <v>207</v>
      </c>
      <c r="B730" s="3" t="s">
        <v>229</v>
      </c>
    </row>
    <row r="731" spans="1:13" customFormat="1" ht="16" x14ac:dyDescent="0.2">
      <c r="A731" t="s">
        <v>153</v>
      </c>
      <c r="B731" s="3" t="s">
        <v>230</v>
      </c>
    </row>
    <row r="732" spans="1:13" customFormat="1" ht="16" x14ac:dyDescent="0.2">
      <c r="A732" t="s">
        <v>355</v>
      </c>
      <c r="B732" s="2">
        <f>INDEX(Parameters!$B$6:$AL$54,MATCH(Inventories!$B$725,Parameters!$A$6:$A$54,0),MATCH(Inventories!$A732,Parameters!$B$4:$AL$4,0))</f>
        <v>13</v>
      </c>
      <c r="C732" t="s">
        <v>315</v>
      </c>
      <c r="D732" s="2"/>
      <c r="E732" s="2"/>
      <c r="F732" s="2"/>
      <c r="G732" s="2"/>
      <c r="H732" s="2"/>
      <c r="I732" s="2"/>
      <c r="J732" s="2"/>
      <c r="K732" s="2"/>
      <c r="L732" s="2"/>
    </row>
    <row r="733" spans="1:13" customFormat="1" ht="16" x14ac:dyDescent="0.2">
      <c r="A733" t="s">
        <v>356</v>
      </c>
      <c r="B733" s="2">
        <f>INDEX(Parameters!$B$6:$AL$54,MATCH(Inventories!$B$725,Parameters!$A$6:$A$54,0),MATCH(Inventories!$A733,Parameters!$B$4:$AL$4,0))</f>
        <v>5</v>
      </c>
      <c r="C733" t="s">
        <v>315</v>
      </c>
      <c r="D733" s="2"/>
      <c r="E733" s="2"/>
      <c r="F733" s="2"/>
      <c r="G733" s="2"/>
      <c r="H733" s="2"/>
      <c r="I733" s="2"/>
      <c r="J733" s="2"/>
      <c r="K733" s="2"/>
      <c r="L733" s="2"/>
    </row>
    <row r="734" spans="1:13" customFormat="1" ht="16" x14ac:dyDescent="0.2">
      <c r="A734" t="s">
        <v>357</v>
      </c>
      <c r="B734" s="2">
        <f>INDEX(Parameters!$B$6:$AL$54,MATCH(Inventories!$B$725,Parameters!$A$6:$A$54,0),MATCH(Inventories!$A734,Parameters!$B$4:$AL$4,0))</f>
        <v>45</v>
      </c>
      <c r="C734" t="s">
        <v>315</v>
      </c>
      <c r="D734" s="2"/>
      <c r="E734" s="2"/>
      <c r="F734" s="2"/>
      <c r="G734" s="2"/>
      <c r="H734" s="2"/>
      <c r="I734" s="2"/>
      <c r="J734" s="2"/>
      <c r="K734" s="2"/>
      <c r="L734" s="2"/>
    </row>
    <row r="735" spans="1:13" customFormat="1" ht="16" x14ac:dyDescent="0.2">
      <c r="A735" t="s">
        <v>319</v>
      </c>
      <c r="B735" s="24">
        <f>INDEX(Parameters!$B$6:$AL$54,MATCH(Inventories!$B$725,Parameters!$A$6:$A$54,0),MATCH(Inventories!$A735,Parameters!$B$4:$AL$4,0))</f>
        <v>100000</v>
      </c>
      <c r="C735" t="s">
        <v>316</v>
      </c>
      <c r="D735" s="2"/>
      <c r="E735" s="2"/>
      <c r="F735" s="2"/>
      <c r="G735" s="2"/>
      <c r="H735" s="2"/>
      <c r="I735" s="2"/>
      <c r="J735" s="2"/>
      <c r="K735" s="2"/>
      <c r="L735" s="2"/>
    </row>
    <row r="736" spans="1:13" customFormat="1" ht="16" x14ac:dyDescent="0.2">
      <c r="A736" t="s">
        <v>320</v>
      </c>
      <c r="B736" s="24">
        <f>INDEX(Parameters!$B$6:$AL$54,MATCH(Inventories!$B$725,Parameters!$A$6:$A$54,0),MATCH(Inventories!$A736,Parameters!$B$4:$AL$4,0))</f>
        <v>50000</v>
      </c>
      <c r="C736" t="s">
        <v>316</v>
      </c>
      <c r="D736" s="2"/>
      <c r="E736" s="2"/>
      <c r="F736" s="2"/>
      <c r="G736" s="2"/>
      <c r="H736" s="2"/>
      <c r="I736" s="2"/>
      <c r="J736" s="2"/>
      <c r="K736" s="2"/>
      <c r="L736" s="2"/>
    </row>
    <row r="737" spans="1:12" customFormat="1" ht="16" x14ac:dyDescent="0.2">
      <c r="A737" t="s">
        <v>321</v>
      </c>
      <c r="B737" s="24">
        <f>INDEX(Parameters!$B$6:$AL$54,MATCH(Inventories!$B$725,Parameters!$A$6:$A$54,0),MATCH(Inventories!$A737,Parameters!$B$4:$AL$4,0))</f>
        <v>200000</v>
      </c>
      <c r="C737" t="s">
        <v>316</v>
      </c>
      <c r="D737" s="2"/>
      <c r="E737" s="2"/>
      <c r="F737" s="2"/>
      <c r="G737" s="2"/>
      <c r="H737" s="2"/>
      <c r="I737" s="2"/>
      <c r="J737" s="2"/>
      <c r="K737" s="2"/>
      <c r="L737" s="2"/>
    </row>
    <row r="738" spans="1:12" customFormat="1" ht="16" x14ac:dyDescent="0.2">
      <c r="A738" t="s">
        <v>322</v>
      </c>
      <c r="B738" s="2">
        <f>INDEX(Parameters!$B$6:$AL$54,MATCH(Inventories!$B$725,Parameters!$A$6:$A$54,0),MATCH(Inventories!$A738,Parameters!$B$4:$AL$4,0))</f>
        <v>284</v>
      </c>
      <c r="C738" t="s">
        <v>317</v>
      </c>
      <c r="D738" s="2"/>
      <c r="E738" s="2"/>
      <c r="F738" s="2"/>
      <c r="G738" s="2"/>
      <c r="H738" s="2"/>
      <c r="I738" s="2"/>
      <c r="J738" s="2"/>
      <c r="K738" s="2"/>
      <c r="L738" s="2"/>
    </row>
    <row r="739" spans="1:12" customFormat="1" ht="16" x14ac:dyDescent="0.2">
      <c r="A739" t="s">
        <v>323</v>
      </c>
      <c r="B739" s="2">
        <f>INDEX(Parameters!$B$6:$AL$54,MATCH(Inventories!$B$725,Parameters!$A$6:$A$54,0),MATCH(Inventories!$A739,Parameters!$B$4:$AL$4,0))</f>
        <v>156</v>
      </c>
      <c r="C739" t="s">
        <v>317</v>
      </c>
      <c r="D739" s="2"/>
      <c r="E739" s="2"/>
      <c r="F739" s="2"/>
      <c r="G739" s="2"/>
      <c r="H739" s="2"/>
      <c r="I739" s="2"/>
      <c r="J739" s="2"/>
      <c r="K739" s="2"/>
      <c r="L739" s="2"/>
    </row>
    <row r="740" spans="1:12" customFormat="1" ht="16" x14ac:dyDescent="0.2">
      <c r="A740" t="s">
        <v>324</v>
      </c>
      <c r="B740" s="2">
        <f>INDEX(Parameters!$B$6:$AL$54,MATCH(Inventories!$B$725,Parameters!$A$6:$A$54,0),MATCH(Inventories!$A740,Parameters!$B$4:$AL$4,0))</f>
        <v>356</v>
      </c>
      <c r="C740" t="s">
        <v>317</v>
      </c>
      <c r="D740" s="2"/>
      <c r="E740" s="2"/>
      <c r="F740" s="2"/>
      <c r="G740" s="2"/>
      <c r="H740" s="2"/>
      <c r="I740" s="2"/>
      <c r="J740" s="2"/>
      <c r="K740" s="2"/>
      <c r="L740" s="2"/>
    </row>
    <row r="741" spans="1:12" customFormat="1" ht="16" x14ac:dyDescent="0.2">
      <c r="A741" t="s">
        <v>340</v>
      </c>
      <c r="B741" s="2">
        <f>INDEX(Parameters!$B$6:$AL$54,MATCH(Inventories!$B$725,Parameters!$A$6:$A$54,0),MATCH(Inventories!$A741,Parameters!$B$4:$AL$4,0))</f>
        <v>6.4</v>
      </c>
      <c r="C741" t="s">
        <v>339</v>
      </c>
      <c r="D741" s="2"/>
      <c r="E741" s="2"/>
      <c r="F741" s="2"/>
      <c r="G741" s="2"/>
      <c r="H741" s="2"/>
      <c r="I741" s="2"/>
      <c r="J741" s="2"/>
      <c r="K741" s="2"/>
      <c r="L741" s="2"/>
    </row>
    <row r="742" spans="1:12" customFormat="1" ht="16" x14ac:dyDescent="0.2">
      <c r="A742" t="s">
        <v>341</v>
      </c>
      <c r="B742" s="2">
        <f>INDEX(Parameters!$B$6:$AL$54,MATCH(Inventories!$B$725,Parameters!$A$6:$A$54,0),MATCH(Inventories!$A742,Parameters!$B$4:$AL$4,0))</f>
        <v>2.2999999999999998</v>
      </c>
      <c r="C742" t="s">
        <v>339</v>
      </c>
      <c r="D742" s="2"/>
      <c r="E742" s="2"/>
      <c r="F742" s="2"/>
      <c r="G742" s="2"/>
      <c r="H742" s="2"/>
      <c r="I742" s="2"/>
      <c r="J742" s="2"/>
      <c r="K742" s="2"/>
      <c r="L742" s="2"/>
    </row>
    <row r="743" spans="1:12" customFormat="1" ht="16" x14ac:dyDescent="0.2">
      <c r="A743" t="s">
        <v>342</v>
      </c>
      <c r="B743" s="2">
        <f>INDEX(Parameters!$B$6:$AL$54,MATCH(Inventories!$B$725,Parameters!$A$6:$A$54,0),MATCH(Inventories!$A743,Parameters!$B$4:$AL$4,0))</f>
        <v>22</v>
      </c>
      <c r="C743" t="s">
        <v>339</v>
      </c>
      <c r="D743" s="2"/>
      <c r="E743" s="2"/>
      <c r="F743" s="2"/>
      <c r="G743" s="2"/>
      <c r="H743" s="2"/>
      <c r="I743" s="2"/>
      <c r="J743" s="2"/>
      <c r="K743" s="2"/>
      <c r="L743" s="2"/>
    </row>
    <row r="744" spans="1:12" customFormat="1" ht="16" x14ac:dyDescent="0.2">
      <c r="A744" t="s">
        <v>343</v>
      </c>
      <c r="B744" s="2">
        <f>INDEX(Parameters!$B$6:$AL$54,MATCH(Inventories!$B$725,Parameters!$A$6:$A$54,0),MATCH(Inventories!$A744,Parameters!$B$4:$AL$4,0))</f>
        <v>0</v>
      </c>
      <c r="C744" t="s">
        <v>339</v>
      </c>
      <c r="D744" s="2"/>
      <c r="E744" s="2"/>
      <c r="F744" s="2"/>
      <c r="G744" s="2"/>
      <c r="H744" s="2"/>
      <c r="I744" s="2"/>
      <c r="J744" s="2"/>
      <c r="K744" s="2"/>
      <c r="L744" s="2"/>
    </row>
    <row r="745" spans="1:12" customFormat="1" ht="16" x14ac:dyDescent="0.2">
      <c r="A745" t="s">
        <v>344</v>
      </c>
      <c r="B745" s="2">
        <f>INDEX(Parameters!$B$6:$AL$54,MATCH(Inventories!$B$725,Parameters!$A$6:$A$54,0),MATCH(Inventories!$A745,Parameters!$B$4:$AL$4,0))</f>
        <v>0</v>
      </c>
      <c r="C745" t="s">
        <v>339</v>
      </c>
      <c r="D745" s="2"/>
      <c r="E745" s="2"/>
      <c r="F745" s="2"/>
      <c r="G745" s="2"/>
      <c r="H745" s="2"/>
      <c r="I745" s="2"/>
      <c r="J745" s="2"/>
      <c r="K745" s="2"/>
      <c r="L745" s="2"/>
    </row>
    <row r="746" spans="1:12" customFormat="1" ht="16" x14ac:dyDescent="0.2">
      <c r="A746" t="s">
        <v>345</v>
      </c>
      <c r="B746" s="2">
        <f>INDEX(Parameters!$B$6:$AL$54,MATCH(Inventories!$B$725,Parameters!$A$6:$A$54,0),MATCH(Inventories!$A746,Parameters!$B$4:$AL$4,0))</f>
        <v>0</v>
      </c>
      <c r="C746" t="s">
        <v>339</v>
      </c>
      <c r="D746" s="2"/>
      <c r="E746" s="2"/>
      <c r="F746" s="2"/>
      <c r="G746" s="2"/>
      <c r="H746" s="2"/>
      <c r="I746" s="2"/>
      <c r="J746" s="2"/>
      <c r="K746" s="2"/>
      <c r="L746" s="2"/>
    </row>
    <row r="747" spans="1:12" customFormat="1" ht="16" x14ac:dyDescent="0.2">
      <c r="A747" t="s">
        <v>336</v>
      </c>
      <c r="B747" s="2">
        <f>INDEX(Parameters!$B$6:$AL$54,MATCH(Inventories!$B$725,Parameters!$A$6:$A$54,0),MATCH(Inventories!$A747,Parameters!$B$4:$AL$4,0))</f>
        <v>0</v>
      </c>
      <c r="C747" t="s">
        <v>339</v>
      </c>
      <c r="D747" s="2"/>
      <c r="E747" s="2"/>
      <c r="F747" s="2"/>
      <c r="G747" s="2"/>
      <c r="H747" s="2"/>
      <c r="I747" s="2"/>
      <c r="J747" s="2"/>
      <c r="K747" s="2"/>
      <c r="L747" s="2"/>
    </row>
    <row r="748" spans="1:12" customFormat="1" ht="16" x14ac:dyDescent="0.2">
      <c r="A748" t="s">
        <v>337</v>
      </c>
      <c r="B748" s="2">
        <f>INDEX(Parameters!$B$6:$AL$54,MATCH(Inventories!$B$725,Parameters!$A$6:$A$54,0),MATCH(Inventories!$A748,Parameters!$B$4:$AL$4,0))</f>
        <v>0</v>
      </c>
      <c r="C748" t="s">
        <v>339</v>
      </c>
      <c r="D748" s="2"/>
      <c r="E748" s="2"/>
      <c r="F748" s="2"/>
      <c r="G748" s="2"/>
      <c r="H748" s="2"/>
      <c r="I748" s="2"/>
      <c r="J748" s="2"/>
      <c r="K748" s="2"/>
      <c r="L748" s="2"/>
    </row>
    <row r="749" spans="1:12" customFormat="1" ht="16" x14ac:dyDescent="0.2">
      <c r="A749" t="s">
        <v>338</v>
      </c>
      <c r="B749" s="2">
        <f>INDEX(Parameters!$B$6:$AL$54,MATCH(Inventories!$B$725,Parameters!$A$6:$A$54,0),MATCH(Inventories!$A749,Parameters!$B$4:$AL$4,0))</f>
        <v>0</v>
      </c>
      <c r="C749" t="s">
        <v>339</v>
      </c>
      <c r="D749" s="2"/>
      <c r="E749" s="2"/>
      <c r="F749" s="2"/>
      <c r="G749" s="2"/>
      <c r="H749" s="2"/>
      <c r="I749" s="2"/>
      <c r="J749" s="2"/>
      <c r="K749" s="2"/>
      <c r="L749" s="2"/>
    </row>
    <row r="750" spans="1:12" customFormat="1" ht="16" x14ac:dyDescent="0.2">
      <c r="A750" t="s">
        <v>325</v>
      </c>
      <c r="B750" s="2">
        <f>INDEX(Parameters!$B$6:$AL$54,MATCH(Inventories!$B$725,Parameters!$A$6:$A$54,0),MATCH(Inventories!$A750,Parameters!$B$4:$AL$4,0))</f>
        <v>2</v>
      </c>
      <c r="C750" t="s">
        <v>318</v>
      </c>
      <c r="D750" s="2"/>
      <c r="E750" s="2"/>
      <c r="F750" s="2"/>
      <c r="G750" s="2"/>
      <c r="H750" s="2"/>
      <c r="I750" s="2"/>
      <c r="J750" s="2"/>
      <c r="K750" s="2"/>
      <c r="L750" s="2"/>
    </row>
    <row r="751" spans="1:12" customFormat="1" ht="16" x14ac:dyDescent="0.2">
      <c r="A751" t="s">
        <v>326</v>
      </c>
      <c r="B751" s="2">
        <f>INDEX(Parameters!$B$6:$AL$54,MATCH(Inventories!$B$725,Parameters!$A$6:$A$54,0),MATCH(Inventories!$A751,Parameters!$B$4:$AL$4,0))</f>
        <v>1</v>
      </c>
      <c r="C751" t="s">
        <v>318</v>
      </c>
      <c r="D751" s="2"/>
      <c r="E751" s="2"/>
      <c r="F751" s="2"/>
      <c r="G751" s="2"/>
      <c r="H751" s="2"/>
      <c r="I751" s="2"/>
      <c r="J751" s="2"/>
      <c r="K751" s="2"/>
      <c r="L751" s="2"/>
    </row>
    <row r="752" spans="1:12" customFormat="1" ht="16" x14ac:dyDescent="0.2">
      <c r="A752" t="s">
        <v>327</v>
      </c>
      <c r="B752" s="2">
        <f>INDEX(Parameters!$B$6:$AL$54,MATCH(Inventories!$B$725,Parameters!$A$6:$A$54,0),MATCH(Inventories!$A752,Parameters!$B$4:$AL$4,0))</f>
        <v>5</v>
      </c>
      <c r="C752" t="s">
        <v>318</v>
      </c>
      <c r="D752" s="2"/>
      <c r="E752" s="2"/>
      <c r="F752" s="2"/>
      <c r="G752" s="2"/>
      <c r="H752" s="2"/>
      <c r="I752" s="2"/>
      <c r="J752" s="2"/>
      <c r="K752" s="2"/>
      <c r="L752" s="2"/>
    </row>
    <row r="753" spans="1:12" customFormat="1" ht="16" x14ac:dyDescent="0.2">
      <c r="A753" t="s">
        <v>333</v>
      </c>
      <c r="B753" s="2">
        <f>INDEX(Parameters!$B$6:$AL$54,MATCH(Inventories!$B$725,Parameters!$A$6:$A$54,0),MATCH(Inventories!$A753,Parameters!$B$4:$AL$4,0))</f>
        <v>0</v>
      </c>
      <c r="C753" t="s">
        <v>8</v>
      </c>
      <c r="D753" s="2"/>
      <c r="E753" s="2"/>
      <c r="F753" s="2"/>
      <c r="G753" s="2"/>
      <c r="H753" s="2"/>
      <c r="I753" s="2"/>
      <c r="J753" s="2"/>
      <c r="K753" s="2"/>
      <c r="L753" s="2"/>
    </row>
    <row r="754" spans="1:12" customFormat="1" ht="16" x14ac:dyDescent="0.2">
      <c r="A754" t="s">
        <v>334</v>
      </c>
      <c r="B754" s="2">
        <f>INDEX(Parameters!$B$6:$AL$54,MATCH(Inventories!$B$725,Parameters!$A$6:$A$54,0),MATCH(Inventories!$A754,Parameters!$B$4:$AL$4,0))</f>
        <v>0</v>
      </c>
      <c r="C754" t="s">
        <v>8</v>
      </c>
      <c r="D754" s="2"/>
      <c r="E754" s="2"/>
      <c r="F754" s="2"/>
      <c r="G754" s="2"/>
      <c r="H754" s="2"/>
      <c r="I754" s="2"/>
      <c r="J754" s="2"/>
      <c r="K754" s="2"/>
      <c r="L754" s="2"/>
    </row>
    <row r="755" spans="1:12" customFormat="1" ht="16" x14ac:dyDescent="0.2">
      <c r="A755" t="s">
        <v>335</v>
      </c>
      <c r="B755" s="2">
        <f>INDEX(Parameters!$B$6:$AL$54,MATCH(Inventories!$B$725,Parameters!$A$6:$A$54,0),MATCH(Inventories!$A755,Parameters!$B$4:$AL$4,0))</f>
        <v>0</v>
      </c>
      <c r="C755" t="s">
        <v>8</v>
      </c>
      <c r="D755" s="2"/>
      <c r="E755" s="2"/>
      <c r="F755" s="2"/>
      <c r="G755" s="2"/>
      <c r="H755" s="2"/>
      <c r="I755" s="2"/>
      <c r="J755" s="2"/>
      <c r="K755" s="2"/>
      <c r="L755" s="2"/>
    </row>
    <row r="756" spans="1:12" customFormat="1" ht="16" x14ac:dyDescent="0.2">
      <c r="A756" t="s">
        <v>349</v>
      </c>
      <c r="B756" s="2">
        <f>INDEX(Parameters!$B$6:$AL$54,MATCH(Inventories!$B$725,Parameters!$A$6:$A$54,0),MATCH(Inventories!$A756,Parameters!$B$4:$AL$4,0))</f>
        <v>13</v>
      </c>
      <c r="C756" t="s">
        <v>315</v>
      </c>
      <c r="D756" s="2"/>
      <c r="E756" s="2"/>
      <c r="F756" s="2"/>
      <c r="G756" s="2"/>
      <c r="H756" s="2"/>
      <c r="I756" s="2"/>
      <c r="J756" s="2"/>
      <c r="K756" s="2"/>
      <c r="L756" s="2"/>
    </row>
    <row r="757" spans="1:12" customFormat="1" ht="16" x14ac:dyDescent="0.2">
      <c r="A757" t="s">
        <v>350</v>
      </c>
      <c r="B757" s="2">
        <f>INDEX(Parameters!$B$6:$AL$54,MATCH(Inventories!$B$725,Parameters!$A$6:$A$54,0),MATCH(Inventories!$A757,Parameters!$B$4:$AL$4,0))</f>
        <v>5</v>
      </c>
      <c r="C757" t="s">
        <v>315</v>
      </c>
      <c r="D757" s="2"/>
      <c r="E757" s="12"/>
      <c r="F757" s="2"/>
      <c r="G757" s="2"/>
      <c r="H757" s="2"/>
      <c r="I757" s="2"/>
      <c r="J757" s="2"/>
      <c r="K757" s="2"/>
      <c r="L757" s="2"/>
    </row>
    <row r="758" spans="1:12" customFormat="1" ht="16" x14ac:dyDescent="0.2">
      <c r="A758" t="s">
        <v>351</v>
      </c>
      <c r="B758" s="2">
        <f>INDEX(Parameters!$B$6:$AL$54,MATCH(Inventories!$B$725,Parameters!$A$6:$A$54,0),MATCH(Inventories!$A758,Parameters!$B$4:$AL$4,0))</f>
        <v>45</v>
      </c>
      <c r="C758" t="s">
        <v>315</v>
      </c>
      <c r="D758" s="2"/>
      <c r="E758" s="2"/>
      <c r="F758" s="2"/>
      <c r="G758" s="2"/>
      <c r="H758" s="2"/>
      <c r="I758" s="2"/>
      <c r="J758" s="2"/>
      <c r="K758" s="2"/>
      <c r="L758" s="2"/>
    </row>
    <row r="759" spans="1:12" customFormat="1" ht="16" x14ac:dyDescent="0.2">
      <c r="A759" t="s">
        <v>352</v>
      </c>
      <c r="B759" s="2">
        <f>INDEX(Parameters!$B$6:$AL$54,MATCH(Inventories!$B$725,Parameters!$A$6:$A$54,0),MATCH(Inventories!$A759,Parameters!$B$4:$AL$4,0))</f>
        <v>0</v>
      </c>
      <c r="C759" t="s">
        <v>8</v>
      </c>
      <c r="D759" s="2"/>
      <c r="E759" s="2"/>
      <c r="F759" s="2"/>
      <c r="G759" s="2"/>
      <c r="H759" s="2"/>
      <c r="I759" s="2"/>
      <c r="J759" s="2"/>
      <c r="K759" s="2"/>
      <c r="L759" s="2"/>
    </row>
    <row r="760" spans="1:12" customFormat="1" ht="16" x14ac:dyDescent="0.2">
      <c r="A760" t="s">
        <v>353</v>
      </c>
      <c r="B760" s="2">
        <f>INDEX(Parameters!$B$6:$AL$54,MATCH(Inventories!$B$725,Parameters!$A$6:$A$54,0),MATCH(Inventories!$A760,Parameters!$B$4:$AL$4,0))</f>
        <v>0</v>
      </c>
      <c r="C760" t="s">
        <v>8</v>
      </c>
      <c r="D760" s="2"/>
      <c r="E760" s="2"/>
      <c r="F760" s="2"/>
      <c r="G760" s="2"/>
      <c r="H760" s="2"/>
      <c r="I760" s="2"/>
      <c r="J760" s="2"/>
      <c r="K760" s="2"/>
      <c r="L760" s="2"/>
    </row>
    <row r="761" spans="1:12" customFormat="1" ht="16" x14ac:dyDescent="0.2">
      <c r="A761" t="s">
        <v>354</v>
      </c>
      <c r="B761" s="2">
        <f>INDEX(Parameters!$B$6:$AL$54,MATCH(Inventories!$B$725,Parameters!$A$6:$A$54,0),MATCH(Inventories!$A761,Parameters!$B$4:$AL$4,0))</f>
        <v>0</v>
      </c>
      <c r="C761" t="s">
        <v>8</v>
      </c>
      <c r="D761" s="2"/>
      <c r="E761" s="2"/>
      <c r="F761" s="2"/>
      <c r="G761" s="2"/>
      <c r="H761" s="2"/>
      <c r="I761" s="2"/>
      <c r="J761" s="2"/>
      <c r="K761" s="2"/>
      <c r="L761" s="2"/>
    </row>
    <row r="762" spans="1:12" customFormat="1" ht="16" x14ac:dyDescent="0.2">
      <c r="A762" t="s">
        <v>368</v>
      </c>
      <c r="B762" s="2">
        <f>INDEX(Parameters!$B$6:$AL$54,MATCH(Inventories!$B$725,Parameters!$A$6:$A$54,0),MATCH(Inventories!$A762,Parameters!$B$4:$AL$4,0))</f>
        <v>0</v>
      </c>
      <c r="C762" t="s">
        <v>339</v>
      </c>
      <c r="D762" s="2"/>
      <c r="E762" s="2"/>
      <c r="F762" s="2"/>
      <c r="G762" s="2"/>
      <c r="H762" s="2"/>
      <c r="I762" s="2"/>
      <c r="J762" s="2"/>
      <c r="K762" s="2"/>
      <c r="L762" s="2"/>
    </row>
    <row r="763" spans="1:12" customFormat="1" ht="16" x14ac:dyDescent="0.2">
      <c r="A763" t="s">
        <v>369</v>
      </c>
      <c r="B763" s="2">
        <f>INDEX(Parameters!$B$6:$AL$54,MATCH(Inventories!$B$725,Parameters!$A$6:$A$54,0),MATCH(Inventories!$A763,Parameters!$B$4:$AL$4,0))</f>
        <v>1.3</v>
      </c>
      <c r="C763" t="s">
        <v>339</v>
      </c>
      <c r="D763" s="2"/>
      <c r="E763" s="2"/>
      <c r="F763" s="2"/>
      <c r="G763" s="2"/>
      <c r="H763" s="2"/>
      <c r="I763" s="2"/>
      <c r="J763" s="2"/>
      <c r="K763" s="2"/>
      <c r="L763" s="2"/>
    </row>
    <row r="764" spans="1:12" customFormat="1" ht="16" x14ac:dyDescent="0.2">
      <c r="A764" t="s">
        <v>370</v>
      </c>
      <c r="B764" s="2">
        <f>INDEX(Parameters!$B$6:$AL$54,MATCH(Inventories!$B$725,Parameters!$A$6:$A$54,0),MATCH(Inventories!$A764,Parameters!$B$4:$AL$4,0))</f>
        <v>1.125</v>
      </c>
      <c r="C764" t="s">
        <v>339</v>
      </c>
      <c r="D764" s="2"/>
      <c r="E764" s="2"/>
      <c r="F764" s="2"/>
      <c r="G764" s="2"/>
      <c r="H764" s="2"/>
      <c r="I764" s="2"/>
      <c r="J764" s="2"/>
      <c r="K764" s="2"/>
      <c r="L764" s="2"/>
    </row>
    <row r="765" spans="1:12" customFormat="1" ht="16" x14ac:dyDescent="0.2">
      <c r="A765" t="s">
        <v>371</v>
      </c>
      <c r="B765" s="2">
        <f>INDEX(Parameters!$B$6:$AL$54,MATCH(Inventories!$B$725,Parameters!$A$6:$A$54,0),MATCH(Inventories!$A765,Parameters!$B$4:$AL$4,0))</f>
        <v>5.2</v>
      </c>
      <c r="C765" t="s">
        <v>339</v>
      </c>
      <c r="D765" s="2"/>
      <c r="E765" s="2"/>
      <c r="F765" s="2"/>
      <c r="G765" s="2"/>
      <c r="H765" s="2"/>
      <c r="I765" s="2"/>
      <c r="J765" s="2"/>
      <c r="K765" s="2"/>
      <c r="L765" s="2"/>
    </row>
    <row r="766" spans="1:12" customFormat="1" ht="16" x14ac:dyDescent="0.2">
      <c r="A766" t="s">
        <v>372</v>
      </c>
      <c r="B766" s="2">
        <f>INDEX(Parameters!$B$6:$AL$54,MATCH(Inventories!$B$725,Parameters!$A$6:$A$54,0),MATCH(Inventories!$A766,Parameters!$B$4:$AL$4,0))</f>
        <v>2.25</v>
      </c>
      <c r="C766" t="s">
        <v>339</v>
      </c>
      <c r="D766" s="2"/>
      <c r="E766" s="2"/>
      <c r="F766" s="2"/>
      <c r="G766" s="2"/>
      <c r="H766" s="2"/>
      <c r="I766" s="2"/>
      <c r="J766" s="2"/>
      <c r="K766" s="2"/>
      <c r="L766" s="2"/>
    </row>
    <row r="767" spans="1:12" customFormat="1" ht="16" x14ac:dyDescent="0.2">
      <c r="A767" t="s">
        <v>347</v>
      </c>
      <c r="B767" s="29">
        <f>INDEX(Parameters!$B$6:$AL$54,MATCH(Inventories!$B$725,Parameters!$A$6:$A$54,0),MATCH(Inventories!$A767,Parameters!$B$4:$AL$4,0))</f>
        <v>0</v>
      </c>
      <c r="C767" t="s">
        <v>348</v>
      </c>
      <c r="D767" s="2"/>
      <c r="E767" s="2"/>
      <c r="F767" s="2"/>
      <c r="G767" s="2"/>
      <c r="H767" s="2"/>
      <c r="I767" s="2"/>
      <c r="J767" s="2"/>
      <c r="K767" s="2"/>
      <c r="L767" s="2"/>
    </row>
    <row r="768" spans="1:12" customFormat="1" ht="16" x14ac:dyDescent="0.2">
      <c r="A768" t="s">
        <v>346</v>
      </c>
      <c r="B768" s="2">
        <f>INDEX(Parameters!$B$6:$AL$54,MATCH(Inventories!$B$725,Parameters!$A$6:$A$54,0),MATCH(Inventories!$A768,Parameters!$B$4:$AL$4,0))</f>
        <v>0</v>
      </c>
      <c r="C768" t="s">
        <v>348</v>
      </c>
      <c r="D768" s="2"/>
      <c r="E768" s="2"/>
      <c r="F768" s="2"/>
      <c r="G768" s="2"/>
      <c r="H768" s="2"/>
      <c r="I768" s="2"/>
      <c r="J768" s="2"/>
      <c r="K768" s="2"/>
      <c r="L768" s="2"/>
    </row>
    <row r="769" spans="1:15" customFormat="1" ht="16" x14ac:dyDescent="0.2">
      <c r="A769" t="s">
        <v>10</v>
      </c>
      <c r="B769" s="3"/>
    </row>
    <row r="770" spans="1:15" x14ac:dyDescent="0.2">
      <c r="A770" s="17" t="s">
        <v>11</v>
      </c>
      <c r="B770" s="18" t="s">
        <v>12</v>
      </c>
      <c r="C770" s="17" t="s">
        <v>3</v>
      </c>
      <c r="D770" s="17" t="s">
        <v>13</v>
      </c>
      <c r="E770" s="17" t="s">
        <v>8</v>
      </c>
      <c r="F770" s="17" t="s">
        <v>6</v>
      </c>
      <c r="G770" s="17" t="s">
        <v>5</v>
      </c>
      <c r="H770" s="17" t="s">
        <v>153</v>
      </c>
      <c r="I770" s="17" t="s">
        <v>182</v>
      </c>
      <c r="J770" s="17" t="s">
        <v>183</v>
      </c>
      <c r="K770" s="17" t="s">
        <v>184</v>
      </c>
      <c r="L770" s="17" t="s">
        <v>185</v>
      </c>
    </row>
    <row r="771" spans="1:15" customFormat="1" ht="16" x14ac:dyDescent="0.2">
      <c r="A771" t="s">
        <v>303</v>
      </c>
      <c r="B771" s="3">
        <v>1</v>
      </c>
      <c r="C771" t="s">
        <v>18</v>
      </c>
      <c r="D771" s="2"/>
      <c r="E771" t="s">
        <v>17</v>
      </c>
      <c r="F771" t="s">
        <v>19</v>
      </c>
      <c r="G771" s="3" t="s">
        <v>1</v>
      </c>
      <c r="H771" t="s">
        <v>214</v>
      </c>
      <c r="M771" s="2"/>
    </row>
    <row r="772" spans="1:15" s="4" customFormat="1" ht="16" x14ac:dyDescent="0.2">
      <c r="A772" s="4" t="s">
        <v>113</v>
      </c>
      <c r="B772" s="19">
        <f>((B756+(1+B759))/B735)/(B738/1000)</f>
        <v>4.9295774647887321E-4</v>
      </c>
      <c r="C772" s="4" t="s">
        <v>114</v>
      </c>
      <c r="E772" s="4" t="s">
        <v>8</v>
      </c>
      <c r="F772" s="4" t="s">
        <v>23</v>
      </c>
      <c r="G772" s="4" t="s">
        <v>115</v>
      </c>
      <c r="H772"/>
      <c r="I772" s="4">
        <v>5</v>
      </c>
      <c r="J772" s="20">
        <f>B772</f>
        <v>4.9295774647887321E-4</v>
      </c>
      <c r="K772" s="6">
        <f>((B757+(1+B760))/B737)/(B740/1000)</f>
        <v>8.4269662921348325E-5</v>
      </c>
      <c r="L772" s="6">
        <f>((B758+(1+B761))/B736)/(B739/1000)</f>
        <v>5.8974358974358976E-3</v>
      </c>
      <c r="O772" s="5"/>
    </row>
    <row r="773" spans="1:15" customFormat="1" ht="16" x14ac:dyDescent="0.2">
      <c r="A773" t="s">
        <v>197</v>
      </c>
      <c r="B773" s="21">
        <f>(8/B735)/(B738/1000)</f>
        <v>2.8169014084507049E-4</v>
      </c>
      <c r="C773" t="s">
        <v>18</v>
      </c>
      <c r="D773" s="2"/>
      <c r="E773" t="s">
        <v>9</v>
      </c>
      <c r="F773" t="s">
        <v>23</v>
      </c>
      <c r="G773" t="s">
        <v>198</v>
      </c>
      <c r="H773" t="s">
        <v>366</v>
      </c>
      <c r="I773">
        <v>5</v>
      </c>
      <c r="J773" s="20">
        <f>B773</f>
        <v>2.8169014084507049E-4</v>
      </c>
      <c r="K773" s="3">
        <f>(8/B737)/(B740/1000)</f>
        <v>1.1235955056179777E-4</v>
      </c>
      <c r="L773" s="3">
        <f>(8/B736)/(B739/1000)</f>
        <v>1.0256410256410256E-3</v>
      </c>
      <c r="M773" s="2"/>
    </row>
    <row r="774" spans="1:15" customFormat="1" ht="16" x14ac:dyDescent="0.2">
      <c r="A774" s="2" t="s">
        <v>160</v>
      </c>
      <c r="B774" s="19">
        <f>1/120</f>
        <v>8.3333333333333332E-3</v>
      </c>
      <c r="C774" s="4" t="s">
        <v>18</v>
      </c>
      <c r="D774" s="2"/>
      <c r="E774" s="4" t="s">
        <v>9</v>
      </c>
      <c r="F774" s="4" t="s">
        <v>23</v>
      </c>
      <c r="G774" s="2" t="s">
        <v>161</v>
      </c>
      <c r="M774" s="2"/>
    </row>
    <row r="775" spans="1:15" customFormat="1" ht="16" x14ac:dyDescent="0.2">
      <c r="A775" s="2" t="s">
        <v>192</v>
      </c>
      <c r="B775" s="3">
        <f>((B750+(1+B753))/B735)/(B738/1000)</f>
        <v>1.0563380281690141E-4</v>
      </c>
      <c r="C775" s="2" t="s">
        <v>114</v>
      </c>
      <c r="D775" s="2"/>
      <c r="E775" t="s">
        <v>142</v>
      </c>
      <c r="F775" t="s">
        <v>23</v>
      </c>
      <c r="G775" t="s">
        <v>193</v>
      </c>
      <c r="I775">
        <v>5</v>
      </c>
      <c r="J775" s="20">
        <f>B775</f>
        <v>1.0563380281690141E-4</v>
      </c>
      <c r="K775" s="3">
        <f>((B751+(1+B754))/B737)/(B740/1000)</f>
        <v>2.8089887640449443E-5</v>
      </c>
      <c r="L775" s="3">
        <f>((B752+(1+B755))/B736)/(B739/1000)</f>
        <v>7.6923076923076923E-4</v>
      </c>
      <c r="M775" s="2"/>
    </row>
    <row r="776" spans="1:15" customFormat="1" ht="16" x14ac:dyDescent="0.2">
      <c r="A776" t="s">
        <v>373</v>
      </c>
      <c r="B776" s="3">
        <f>(B765/B735)/(B738/1000)</f>
        <v>1.830985915492958E-4</v>
      </c>
      <c r="C776" t="s">
        <v>114</v>
      </c>
      <c r="D776" s="2"/>
      <c r="E776" t="s">
        <v>9</v>
      </c>
      <c r="F776" t="s">
        <v>23</v>
      </c>
      <c r="G776" t="s">
        <v>374</v>
      </c>
      <c r="J776" s="3"/>
      <c r="K776" s="3"/>
      <c r="L776" s="3"/>
      <c r="M776" s="2"/>
    </row>
    <row r="777" spans="1:15" customFormat="1" ht="16" x14ac:dyDescent="0.2">
      <c r="A777" t="s">
        <v>188</v>
      </c>
      <c r="B777" s="3">
        <f>(B766/B735)/(B738/1000)</f>
        <v>7.9225352112676067E-5</v>
      </c>
      <c r="C777" t="s">
        <v>114</v>
      </c>
      <c r="D777" s="2"/>
      <c r="E777" t="s">
        <v>9</v>
      </c>
      <c r="F777" t="s">
        <v>23</v>
      </c>
      <c r="G777" t="s">
        <v>189</v>
      </c>
      <c r="J777" s="3"/>
      <c r="K777" s="3"/>
      <c r="L777" s="3"/>
      <c r="M777" s="2"/>
    </row>
    <row r="778" spans="1:15" customFormat="1" ht="16" x14ac:dyDescent="0.2">
      <c r="A778" t="s">
        <v>186</v>
      </c>
      <c r="B778" s="3">
        <f>(B764/B735)/(B738/1000)</f>
        <v>3.9612676056338034E-5</v>
      </c>
      <c r="C778" t="s">
        <v>114</v>
      </c>
      <c r="D778" s="2"/>
      <c r="E778" t="s">
        <v>9</v>
      </c>
      <c r="F778" t="s">
        <v>23</v>
      </c>
      <c r="G778" t="s">
        <v>187</v>
      </c>
      <c r="J778" s="3"/>
      <c r="K778" s="3"/>
      <c r="L778" s="3"/>
      <c r="M778" s="2"/>
    </row>
    <row r="779" spans="1:15" customFormat="1" ht="16" x14ac:dyDescent="0.2">
      <c r="A779" t="s">
        <v>190</v>
      </c>
      <c r="B779" s="3">
        <f>(B763/B735)/(B738/1000)</f>
        <v>4.5774647887323949E-5</v>
      </c>
      <c r="C779" t="s">
        <v>114</v>
      </c>
      <c r="D779" s="2"/>
      <c r="E779" t="s">
        <v>9</v>
      </c>
      <c r="F779" t="s">
        <v>23</v>
      </c>
      <c r="G779" t="s">
        <v>191</v>
      </c>
      <c r="J779" s="3"/>
      <c r="K779" s="3"/>
      <c r="L779" s="3"/>
      <c r="M779" s="2"/>
    </row>
    <row r="780" spans="1:15" customFormat="1" ht="16" x14ac:dyDescent="0.2">
      <c r="A780" t="s">
        <v>98</v>
      </c>
      <c r="B780" s="3">
        <f>B774*9</f>
        <v>7.4999999999999997E-2</v>
      </c>
      <c r="D780" s="2" t="s">
        <v>117</v>
      </c>
      <c r="E780" t="s">
        <v>9</v>
      </c>
      <c r="F780" t="s">
        <v>15</v>
      </c>
      <c r="H780" t="s">
        <v>367</v>
      </c>
      <c r="J780" s="3"/>
      <c r="K780" s="3"/>
      <c r="L780" s="3"/>
      <c r="M780" s="2"/>
    </row>
    <row r="781" spans="1:15" customFormat="1" ht="16" x14ac:dyDescent="0.2">
      <c r="B781" s="3"/>
    </row>
    <row r="782" spans="1:15" x14ac:dyDescent="0.2">
      <c r="A782" s="17" t="s">
        <v>2</v>
      </c>
      <c r="B782" s="17" t="s">
        <v>232</v>
      </c>
    </row>
    <row r="783" spans="1:15" customFormat="1" ht="16" x14ac:dyDescent="0.2">
      <c r="A783" s="2" t="s">
        <v>3</v>
      </c>
      <c r="B783" s="2" t="s">
        <v>18</v>
      </c>
      <c r="C783" s="2"/>
      <c r="D783" s="2"/>
      <c r="E783" s="2"/>
      <c r="F783" s="2"/>
      <c r="G783" s="2"/>
      <c r="H783" s="2"/>
      <c r="I783" s="2"/>
      <c r="J783" s="2"/>
      <c r="K783" s="2"/>
      <c r="L783" s="2"/>
    </row>
    <row r="784" spans="1:15" customFormat="1" ht="16" x14ac:dyDescent="0.2">
      <c r="A784" s="2" t="s">
        <v>4</v>
      </c>
      <c r="B784" s="2">
        <v>1</v>
      </c>
      <c r="C784" s="2"/>
      <c r="D784" s="2"/>
      <c r="E784" s="2"/>
      <c r="F784" s="2"/>
      <c r="G784" s="2"/>
      <c r="H784" s="2"/>
      <c r="I784" s="2"/>
      <c r="J784" s="2"/>
      <c r="K784" s="2"/>
      <c r="L784" s="2"/>
    </row>
    <row r="785" spans="1:12" customFormat="1" ht="16" x14ac:dyDescent="0.2">
      <c r="A785" s="2" t="s">
        <v>5</v>
      </c>
      <c r="B785" s="2" t="s">
        <v>1</v>
      </c>
      <c r="C785" s="2"/>
      <c r="D785" s="2"/>
      <c r="E785" s="2"/>
      <c r="F785" s="2"/>
      <c r="G785" s="2"/>
      <c r="H785" s="2"/>
      <c r="I785" s="2"/>
      <c r="J785" s="2"/>
    </row>
    <row r="786" spans="1:12" customFormat="1" ht="16" x14ac:dyDescent="0.2">
      <c r="A786" s="2" t="s">
        <v>6</v>
      </c>
      <c r="B786" s="2" t="s">
        <v>7</v>
      </c>
      <c r="C786" s="2"/>
      <c r="D786" s="2"/>
      <c r="E786" s="2"/>
      <c r="F786" s="2"/>
      <c r="G786" s="2"/>
      <c r="H786" s="2"/>
      <c r="I786" s="2"/>
      <c r="J786" s="2"/>
      <c r="K786" s="2"/>
      <c r="L786" s="2"/>
    </row>
    <row r="787" spans="1:12" customFormat="1" ht="16" x14ac:dyDescent="0.2">
      <c r="A787" s="2" t="s">
        <v>8</v>
      </c>
      <c r="B787" s="2" t="s">
        <v>17</v>
      </c>
      <c r="C787" s="2"/>
      <c r="D787" s="2"/>
      <c r="E787" s="2"/>
      <c r="F787" s="2"/>
      <c r="G787" s="2"/>
      <c r="H787" s="2"/>
      <c r="I787" s="2"/>
      <c r="J787" s="2"/>
      <c r="K787" s="2"/>
      <c r="L787" s="2"/>
    </row>
    <row r="788" spans="1:12" customFormat="1" ht="16" x14ac:dyDescent="0.2">
      <c r="A788" t="s">
        <v>355</v>
      </c>
      <c r="B788" s="2">
        <f>INDEX(Parameters!$B$6:$AL$54,MATCH(Inventories!$B$782,Parameters!$A$6:$A$54,0),MATCH(Inventories!$A788,Parameters!$B$4:$AL$4,0))</f>
        <v>20</v>
      </c>
      <c r="C788" t="s">
        <v>315</v>
      </c>
      <c r="D788" s="2"/>
      <c r="E788" s="2"/>
      <c r="F788" s="2"/>
      <c r="G788" s="2"/>
      <c r="H788" s="2"/>
      <c r="I788" s="2"/>
      <c r="J788" s="2"/>
      <c r="K788" s="2"/>
      <c r="L788" s="2"/>
    </row>
    <row r="789" spans="1:12" customFormat="1" ht="16" x14ac:dyDescent="0.2">
      <c r="A789" t="s">
        <v>356</v>
      </c>
      <c r="B789" s="2">
        <f>INDEX(Parameters!$B$6:$AL$54,MATCH(Inventories!$B$782,Parameters!$A$6:$A$54,0),MATCH(Inventories!$A789,Parameters!$B$4:$AL$4,0))</f>
        <v>9</v>
      </c>
      <c r="C789" t="s">
        <v>315</v>
      </c>
      <c r="D789" s="2"/>
      <c r="E789" s="2"/>
      <c r="F789" s="2"/>
      <c r="G789" s="2"/>
      <c r="H789" s="2"/>
      <c r="I789" s="2"/>
      <c r="J789" s="2"/>
      <c r="K789" s="2"/>
      <c r="L789" s="2"/>
    </row>
    <row r="790" spans="1:12" customFormat="1" ht="16" x14ac:dyDescent="0.2">
      <c r="A790" t="s">
        <v>357</v>
      </c>
      <c r="B790" s="2">
        <f>INDEX(Parameters!$B$6:$AL$54,MATCH(Inventories!$B$782,Parameters!$A$6:$A$54,0),MATCH(Inventories!$A790,Parameters!$B$4:$AL$4,0))</f>
        <v>92</v>
      </c>
      <c r="C790" t="s">
        <v>315</v>
      </c>
      <c r="D790" s="2"/>
      <c r="E790" s="2"/>
      <c r="F790" s="2"/>
      <c r="G790" s="2"/>
      <c r="H790" s="2"/>
      <c r="I790" s="2"/>
      <c r="J790" s="2"/>
      <c r="K790" s="2"/>
      <c r="L790" s="2"/>
    </row>
    <row r="791" spans="1:12" customFormat="1" ht="16" x14ac:dyDescent="0.2">
      <c r="A791" t="s">
        <v>319</v>
      </c>
      <c r="B791" s="24">
        <f>INDEX(Parameters!$B$6:$AL$54,MATCH(Inventories!$B$782,Parameters!$A$6:$A$54,0),MATCH(Inventories!$A791,Parameters!$B$4:$AL$4,0))</f>
        <v>100000</v>
      </c>
      <c r="C791" t="s">
        <v>316</v>
      </c>
      <c r="D791" s="2"/>
      <c r="E791" s="2"/>
      <c r="F791" s="2"/>
      <c r="G791" s="2"/>
      <c r="H791" s="2"/>
      <c r="I791" s="2"/>
      <c r="J791" s="2"/>
      <c r="K791" s="2"/>
      <c r="L791" s="2"/>
    </row>
    <row r="792" spans="1:12" customFormat="1" ht="16" x14ac:dyDescent="0.2">
      <c r="A792" t="s">
        <v>320</v>
      </c>
      <c r="B792" s="24">
        <f>INDEX(Parameters!$B$6:$AL$54,MATCH(Inventories!$B$782,Parameters!$A$6:$A$54,0),MATCH(Inventories!$A792,Parameters!$B$4:$AL$4,0))</f>
        <v>50000</v>
      </c>
      <c r="C792" t="s">
        <v>316</v>
      </c>
      <c r="D792" s="2"/>
      <c r="E792" s="2"/>
      <c r="F792" s="2"/>
      <c r="G792" s="2"/>
      <c r="H792" s="2"/>
      <c r="I792" s="2"/>
      <c r="J792" s="2"/>
      <c r="K792" s="2"/>
      <c r="L792" s="2"/>
    </row>
    <row r="793" spans="1:12" customFormat="1" ht="16" x14ac:dyDescent="0.2">
      <c r="A793" t="s">
        <v>321</v>
      </c>
      <c r="B793" s="24">
        <f>INDEX(Parameters!$B$6:$AL$54,MATCH(Inventories!$B$782,Parameters!$A$6:$A$54,0),MATCH(Inventories!$A793,Parameters!$B$4:$AL$4,0))</f>
        <v>200000</v>
      </c>
      <c r="C793" t="s">
        <v>316</v>
      </c>
      <c r="D793" s="2"/>
      <c r="E793" s="2"/>
      <c r="F793" s="2"/>
      <c r="G793" s="2"/>
      <c r="H793" s="2"/>
      <c r="I793" s="2"/>
      <c r="J793" s="2"/>
      <c r="K793" s="2"/>
      <c r="L793" s="2"/>
    </row>
    <row r="794" spans="1:12" customFormat="1" ht="16" x14ac:dyDescent="0.2">
      <c r="A794" t="s">
        <v>322</v>
      </c>
      <c r="B794" s="2">
        <f>INDEX(Parameters!$B$6:$AL$54,MATCH(Inventories!$B$782,Parameters!$A$6:$A$54,0),MATCH(Inventories!$A794,Parameters!$B$4:$AL$4,0))</f>
        <v>1300</v>
      </c>
      <c r="C794" t="s">
        <v>317</v>
      </c>
      <c r="D794" s="2"/>
      <c r="E794" s="2"/>
      <c r="F794" s="2"/>
      <c r="G794" s="2"/>
      <c r="H794" s="2"/>
      <c r="I794" s="2"/>
      <c r="J794" s="2"/>
      <c r="K794" s="2"/>
      <c r="L794" s="2"/>
    </row>
    <row r="795" spans="1:12" customFormat="1" ht="16" x14ac:dyDescent="0.2">
      <c r="A795" t="s">
        <v>323</v>
      </c>
      <c r="B795" s="2">
        <f>INDEX(Parameters!$B$6:$AL$54,MATCH(Inventories!$B$782,Parameters!$A$6:$A$54,0),MATCH(Inventories!$A795,Parameters!$B$4:$AL$4,0))</f>
        <v>800</v>
      </c>
      <c r="C795" t="s">
        <v>317</v>
      </c>
      <c r="D795" s="2"/>
      <c r="E795" s="2"/>
      <c r="F795" s="2"/>
      <c r="G795" s="2"/>
      <c r="H795" s="2"/>
      <c r="I795" s="2"/>
      <c r="J795" s="2"/>
      <c r="K795" s="2"/>
      <c r="L795" s="2"/>
    </row>
    <row r="796" spans="1:12" customFormat="1" ht="16" x14ac:dyDescent="0.2">
      <c r="A796" t="s">
        <v>324</v>
      </c>
      <c r="B796" s="2">
        <f>INDEX(Parameters!$B$6:$AL$54,MATCH(Inventories!$B$782,Parameters!$A$6:$A$54,0),MATCH(Inventories!$A796,Parameters!$B$4:$AL$4,0))</f>
        <v>1530</v>
      </c>
      <c r="C796" t="s">
        <v>317</v>
      </c>
      <c r="D796" s="2"/>
      <c r="E796" s="2"/>
      <c r="F796" s="2"/>
      <c r="G796" s="2"/>
      <c r="H796" s="2"/>
      <c r="I796" s="2"/>
      <c r="J796" s="2"/>
      <c r="K796" s="2"/>
      <c r="L796" s="2"/>
    </row>
    <row r="797" spans="1:12" customFormat="1" ht="16" x14ac:dyDescent="0.2">
      <c r="A797" t="s">
        <v>343</v>
      </c>
      <c r="B797" s="2">
        <f>INDEX(Parameters!$B$6:$AL$54,MATCH(Inventories!$B$782,Parameters!$A$6:$A$54,0),MATCH(Inventories!$A797,Parameters!$B$4:$AL$4,0))</f>
        <v>14</v>
      </c>
      <c r="C797" t="s">
        <v>339</v>
      </c>
      <c r="D797" s="2"/>
      <c r="E797" s="2"/>
      <c r="F797" s="2"/>
      <c r="G797" s="2"/>
      <c r="H797" s="2"/>
      <c r="I797" s="2"/>
      <c r="J797" s="2"/>
      <c r="K797" s="2"/>
      <c r="L797" s="2"/>
    </row>
    <row r="798" spans="1:12" customFormat="1" ht="16" x14ac:dyDescent="0.2">
      <c r="A798" t="s">
        <v>344</v>
      </c>
      <c r="B798" s="2">
        <f>INDEX(Parameters!$B$6:$AL$54,MATCH(Inventories!$B$782,Parameters!$A$6:$A$54,0),MATCH(Inventories!$A798,Parameters!$B$4:$AL$4,0))</f>
        <v>6</v>
      </c>
      <c r="C798" t="s">
        <v>339</v>
      </c>
      <c r="D798" s="2"/>
      <c r="E798" s="2"/>
      <c r="F798" s="2"/>
      <c r="G798" s="2"/>
      <c r="H798" s="2"/>
      <c r="I798" s="2"/>
      <c r="J798" s="2"/>
      <c r="K798" s="2"/>
      <c r="L798" s="2"/>
    </row>
    <row r="799" spans="1:12" customFormat="1" ht="16" x14ac:dyDescent="0.2">
      <c r="A799" t="s">
        <v>345</v>
      </c>
      <c r="B799" s="2">
        <f>INDEX(Parameters!$B$6:$AL$54,MATCH(Inventories!$B$782,Parameters!$A$6:$A$54,0),MATCH(Inventories!$A799,Parameters!$B$4:$AL$4,0))</f>
        <v>65</v>
      </c>
      <c r="C799" t="s">
        <v>339</v>
      </c>
      <c r="D799" s="2"/>
      <c r="E799" s="2"/>
      <c r="F799" s="2"/>
      <c r="G799" s="2"/>
      <c r="H799" s="2"/>
      <c r="I799" s="2"/>
      <c r="J799" s="2"/>
      <c r="K799" s="2"/>
      <c r="L799" s="2"/>
    </row>
    <row r="800" spans="1:12" customFormat="1" ht="16" x14ac:dyDescent="0.2">
      <c r="A800" t="s">
        <v>336</v>
      </c>
      <c r="B800" s="2">
        <f>INDEX(Parameters!$B$6:$AL$54,MATCH(Inventories!$B$782,Parameters!$A$6:$A$54,0),MATCH(Inventories!$A800,Parameters!$B$4:$AL$4,0))</f>
        <v>10</v>
      </c>
      <c r="C800" t="s">
        <v>339</v>
      </c>
      <c r="D800" s="2"/>
      <c r="E800" s="2"/>
      <c r="F800" s="2"/>
      <c r="G800" s="2"/>
      <c r="H800" s="2"/>
      <c r="I800" s="2"/>
      <c r="J800" s="2"/>
      <c r="K800" s="2"/>
      <c r="L800" s="2"/>
    </row>
    <row r="801" spans="1:12" customFormat="1" ht="16" x14ac:dyDescent="0.2">
      <c r="A801" t="s">
        <v>337</v>
      </c>
      <c r="B801" s="2">
        <f>INDEX(Parameters!$B$6:$AL$54,MATCH(Inventories!$B$782,Parameters!$A$6:$A$54,0),MATCH(Inventories!$A801,Parameters!$B$4:$AL$4,0))</f>
        <v>6</v>
      </c>
      <c r="C801" t="s">
        <v>339</v>
      </c>
      <c r="D801" s="2"/>
      <c r="E801" s="2"/>
      <c r="F801" s="2"/>
      <c r="G801" s="2"/>
      <c r="H801" s="2"/>
      <c r="I801" s="2"/>
      <c r="J801" s="2"/>
      <c r="K801" s="2"/>
      <c r="L801" s="2"/>
    </row>
    <row r="802" spans="1:12" customFormat="1" ht="16" x14ac:dyDescent="0.2">
      <c r="A802" t="s">
        <v>338</v>
      </c>
      <c r="B802" s="2">
        <f>INDEX(Parameters!$B$6:$AL$54,MATCH(Inventories!$B$782,Parameters!$A$6:$A$54,0),MATCH(Inventories!$A802,Parameters!$B$4:$AL$4,0))</f>
        <v>12</v>
      </c>
      <c r="C802" t="s">
        <v>339</v>
      </c>
      <c r="D802" s="2"/>
      <c r="E802" s="2"/>
      <c r="F802" s="2"/>
      <c r="G802" s="2"/>
      <c r="H802" s="2"/>
      <c r="I802" s="2"/>
      <c r="J802" s="2"/>
      <c r="K802" s="2"/>
      <c r="L802" s="2"/>
    </row>
    <row r="803" spans="1:12" customFormat="1" ht="16" x14ac:dyDescent="0.2">
      <c r="A803" t="s">
        <v>347</v>
      </c>
      <c r="B803" s="26">
        <f>INDEX(Parameters!$B$6:$AL$54,MATCH(Inventories!$B$782,Parameters!$A$6:$A$54,0),MATCH(Inventories!$A803,Parameters!$B$4:$AL$4,0))</f>
        <v>7.5811450000000001E-3</v>
      </c>
      <c r="C803" t="s">
        <v>348</v>
      </c>
      <c r="D803" s="2"/>
      <c r="E803" s="2"/>
      <c r="F803" s="2"/>
      <c r="G803" s="2"/>
      <c r="H803" s="2"/>
      <c r="I803" s="2"/>
      <c r="J803" s="2"/>
      <c r="K803" s="2"/>
      <c r="L803" s="2"/>
    </row>
    <row r="804" spans="1:12" customFormat="1" ht="16" x14ac:dyDescent="0.2">
      <c r="A804" t="s">
        <v>346</v>
      </c>
      <c r="B804" s="2">
        <f>INDEX(Parameters!$B$6:$AL$54,MATCH(Inventories!$B$782,Parameters!$A$6:$A$54,0),MATCH(Inventories!$A804,Parameters!$B$4:$AL$4,0))</f>
        <v>5.65099E-4</v>
      </c>
      <c r="C804" t="s">
        <v>348</v>
      </c>
      <c r="D804" s="2"/>
      <c r="E804" s="2"/>
      <c r="F804" s="2"/>
      <c r="G804" s="2"/>
      <c r="H804" s="2"/>
      <c r="I804" s="2"/>
      <c r="J804" s="2"/>
      <c r="K804" s="2"/>
      <c r="L804" s="2"/>
    </row>
    <row r="805" spans="1:12" customFormat="1" ht="16" x14ac:dyDescent="0.2">
      <c r="A805" s="1" t="s">
        <v>10</v>
      </c>
      <c r="B805" s="2"/>
      <c r="C805" s="2"/>
      <c r="D805" s="2"/>
      <c r="E805" s="2"/>
      <c r="F805" s="2"/>
      <c r="G805" s="2"/>
      <c r="H805" s="2"/>
      <c r="I805" s="2"/>
      <c r="J805" s="2"/>
      <c r="K805" s="2"/>
      <c r="L805" s="2"/>
    </row>
    <row r="806" spans="1:12" x14ac:dyDescent="0.2">
      <c r="A806" s="17" t="s">
        <v>11</v>
      </c>
      <c r="B806" s="17" t="s">
        <v>12</v>
      </c>
      <c r="C806" s="17" t="s">
        <v>3</v>
      </c>
      <c r="D806" s="17" t="s">
        <v>13</v>
      </c>
      <c r="E806" s="17" t="s">
        <v>8</v>
      </c>
      <c r="F806" s="17" t="s">
        <v>6</v>
      </c>
      <c r="G806" s="17" t="s">
        <v>5</v>
      </c>
      <c r="H806" s="17" t="s">
        <v>153</v>
      </c>
      <c r="I806" s="17" t="s">
        <v>182</v>
      </c>
      <c r="J806" s="17" t="s">
        <v>184</v>
      </c>
      <c r="K806" s="17" t="s">
        <v>185</v>
      </c>
    </row>
    <row r="807" spans="1:12" customFormat="1" ht="16" x14ac:dyDescent="0.2">
      <c r="A807" s="2" t="str">
        <f>B782</f>
        <v>petrol, burned in motorcycle</v>
      </c>
      <c r="B807" s="2">
        <v>1</v>
      </c>
      <c r="C807" s="2" t="s">
        <v>18</v>
      </c>
      <c r="D807" s="2"/>
      <c r="E807" s="2" t="str">
        <f>B787</f>
        <v>megajoule</v>
      </c>
      <c r="F807" s="2" t="s">
        <v>19</v>
      </c>
      <c r="G807" s="2" t="str">
        <f>B785</f>
        <v>heat</v>
      </c>
      <c r="H807" s="2"/>
      <c r="I807" s="2"/>
      <c r="J807" s="2"/>
      <c r="K807" s="2"/>
      <c r="L807" s="2"/>
    </row>
    <row r="808" spans="1:12" customFormat="1" ht="16" x14ac:dyDescent="0.2">
      <c r="A808" t="s">
        <v>121</v>
      </c>
      <c r="B808" s="25">
        <f>1/42.6</f>
        <v>2.3474178403755867E-2</v>
      </c>
      <c r="C808" t="s">
        <v>27</v>
      </c>
      <c r="E808" t="s">
        <v>9</v>
      </c>
      <c r="F808" t="s">
        <v>23</v>
      </c>
      <c r="G808" t="s">
        <v>82</v>
      </c>
      <c r="H808" s="2"/>
      <c r="I808" s="2"/>
      <c r="J808" s="2"/>
      <c r="K808" s="2"/>
    </row>
    <row r="809" spans="1:12" customFormat="1" ht="16" x14ac:dyDescent="0.2">
      <c r="A809" s="2" t="s">
        <v>144</v>
      </c>
      <c r="B809" s="3">
        <f>(B797/B791)/(B794/1000)</f>
        <v>1.0769230769230768E-4</v>
      </c>
      <c r="C809" t="s">
        <v>114</v>
      </c>
      <c r="E809" t="s">
        <v>9</v>
      </c>
      <c r="F809" t="s">
        <v>23</v>
      </c>
      <c r="G809" t="s">
        <v>145</v>
      </c>
      <c r="H809" s="2"/>
      <c r="I809">
        <v>5</v>
      </c>
      <c r="J809" s="12">
        <f>(B798/B793)/(B796/1000)</f>
        <v>1.9607843137254903E-5</v>
      </c>
      <c r="K809" s="3">
        <f>(B799/B792)/(B795/1000)</f>
        <v>1.6249999999999999E-3</v>
      </c>
    </row>
    <row r="810" spans="1:12" customFormat="1" ht="16" x14ac:dyDescent="0.2">
      <c r="A810" s="2" t="s">
        <v>361</v>
      </c>
      <c r="B810" s="3">
        <f>(B800/B791)/(B794/1000)</f>
        <v>7.6923076923076926E-5</v>
      </c>
      <c r="C810" t="s">
        <v>114</v>
      </c>
      <c r="E810" t="s">
        <v>9</v>
      </c>
      <c r="F810" t="s">
        <v>23</v>
      </c>
      <c r="G810" s="2" t="s">
        <v>360</v>
      </c>
      <c r="H810" s="2" t="s">
        <v>364</v>
      </c>
      <c r="I810">
        <v>5</v>
      </c>
      <c r="J810" s="12">
        <f>(B801/B793)/(B796/1000)</f>
        <v>1.9607843137254903E-5</v>
      </c>
      <c r="K810" s="3">
        <f>(B802/B792)/(B795/1000)</f>
        <v>2.9999999999999997E-4</v>
      </c>
    </row>
    <row r="811" spans="1:12" customFormat="1" ht="16" x14ac:dyDescent="0.2">
      <c r="A811" s="2" t="s">
        <v>362</v>
      </c>
      <c r="B811" s="3">
        <f>(B800/B791)/(B794/1000)</f>
        <v>7.6923076923076926E-5</v>
      </c>
      <c r="C811" t="s">
        <v>114</v>
      </c>
      <c r="E811" t="s">
        <v>9</v>
      </c>
      <c r="F811" t="s">
        <v>23</v>
      </c>
      <c r="G811" s="2" t="s">
        <v>363</v>
      </c>
      <c r="H811" s="2" t="s">
        <v>364</v>
      </c>
      <c r="I811">
        <v>5</v>
      </c>
      <c r="J811" s="12">
        <f>(B801/B793)/(B796/1000)</f>
        <v>1.9607843137254903E-5</v>
      </c>
      <c r="K811" s="3">
        <f>(B802/B792)/(B795/1000)</f>
        <v>2.9999999999999997E-4</v>
      </c>
    </row>
    <row r="812" spans="1:12" customFormat="1" ht="16" x14ac:dyDescent="0.2">
      <c r="A812" t="s">
        <v>53</v>
      </c>
      <c r="B812" s="3">
        <f>B808*3.15</f>
        <v>7.3943661971830985E-2</v>
      </c>
      <c r="D812" t="s">
        <v>14</v>
      </c>
      <c r="E812" t="s">
        <v>9</v>
      </c>
      <c r="F812" t="s">
        <v>15</v>
      </c>
      <c r="H812" s="2"/>
      <c r="I812" s="2"/>
      <c r="J812" s="2"/>
      <c r="K812" s="2"/>
    </row>
    <row r="813" spans="1:12" customFormat="1" ht="16" x14ac:dyDescent="0.2">
      <c r="A813" t="s">
        <v>233</v>
      </c>
      <c r="B813" s="3">
        <v>8.8450704225352119E-4</v>
      </c>
      <c r="D813" t="s">
        <v>14</v>
      </c>
      <c r="E813" t="s">
        <v>9</v>
      </c>
      <c r="F813" t="s">
        <v>15</v>
      </c>
      <c r="H813" s="2"/>
      <c r="I813" s="2"/>
      <c r="J813" s="2"/>
      <c r="K813" s="2"/>
    </row>
    <row r="814" spans="1:12" customFormat="1" ht="16" x14ac:dyDescent="0.2">
      <c r="A814" t="s">
        <v>77</v>
      </c>
      <c r="B814" s="3">
        <v>3.7558685446009391E-7</v>
      </c>
      <c r="D814" t="s">
        <v>14</v>
      </c>
      <c r="E814" t="s">
        <v>9</v>
      </c>
      <c r="F814" t="s">
        <v>15</v>
      </c>
      <c r="H814" s="2"/>
      <c r="I814" s="2"/>
      <c r="J814" s="2"/>
      <c r="K814" s="2"/>
    </row>
    <row r="815" spans="1:12" customFormat="1" ht="16" x14ac:dyDescent="0.2">
      <c r="A815" t="s">
        <v>50</v>
      </c>
      <c r="B815" s="3">
        <v>7.6234099132856199E-7</v>
      </c>
      <c r="D815" t="s">
        <v>14</v>
      </c>
      <c r="E815" t="s">
        <v>9</v>
      </c>
      <c r="F815" t="s">
        <v>15</v>
      </c>
      <c r="H815" s="2"/>
      <c r="I815" s="2"/>
      <c r="J815" s="2"/>
      <c r="K815" s="2"/>
    </row>
    <row r="816" spans="1:12" customFormat="1" ht="16" x14ac:dyDescent="0.2">
      <c r="A816" t="s">
        <v>65</v>
      </c>
      <c r="B816" s="3">
        <v>1.8797075715851682E-5</v>
      </c>
      <c r="D816" t="s">
        <v>14</v>
      </c>
      <c r="E816" t="s">
        <v>9</v>
      </c>
      <c r="F816" t="s">
        <v>15</v>
      </c>
      <c r="H816" s="2"/>
      <c r="I816" s="2"/>
      <c r="J816" s="2"/>
      <c r="K816" s="2"/>
    </row>
    <row r="817" spans="1:11" customFormat="1" ht="16" x14ac:dyDescent="0.2">
      <c r="A817" t="s">
        <v>54</v>
      </c>
      <c r="B817" s="3">
        <v>8.3455151885463482E-5</v>
      </c>
      <c r="D817" t="s">
        <v>14</v>
      </c>
      <c r="E817" t="s">
        <v>9</v>
      </c>
      <c r="F817" t="s">
        <v>15</v>
      </c>
      <c r="H817" s="2"/>
      <c r="I817" s="2"/>
      <c r="J817" s="2"/>
      <c r="K817" s="2"/>
    </row>
    <row r="818" spans="1:11" customFormat="1" ht="16" x14ac:dyDescent="0.2">
      <c r="A818" t="s">
        <v>58</v>
      </c>
      <c r="B818" s="3">
        <v>5.6532558543914833E-7</v>
      </c>
      <c r="D818" t="s">
        <v>14</v>
      </c>
      <c r="E818" t="s">
        <v>9</v>
      </c>
      <c r="F818" t="s">
        <v>15</v>
      </c>
      <c r="H818" s="2"/>
      <c r="I818" s="2"/>
      <c r="J818" s="2"/>
      <c r="K818" s="2"/>
    </row>
    <row r="819" spans="1:11" customFormat="1" ht="16" x14ac:dyDescent="0.2">
      <c r="A819" t="s">
        <v>48</v>
      </c>
      <c r="B819" s="3">
        <v>5.6532558543914833E-7</v>
      </c>
      <c r="D819" t="s">
        <v>14</v>
      </c>
      <c r="E819" t="s">
        <v>9</v>
      </c>
      <c r="F819" t="s">
        <v>15</v>
      </c>
      <c r="H819" s="2"/>
      <c r="I819" s="2"/>
      <c r="J819" s="2"/>
      <c r="K819" s="2"/>
    </row>
    <row r="820" spans="1:11" customFormat="1" ht="16" x14ac:dyDescent="0.2">
      <c r="A820" t="s">
        <v>69</v>
      </c>
      <c r="B820" s="3">
        <f>B803/1000</f>
        <v>7.5811449999999999E-6</v>
      </c>
      <c r="D820" t="s">
        <v>14</v>
      </c>
      <c r="E820" t="s">
        <v>9</v>
      </c>
      <c r="F820" t="s">
        <v>15</v>
      </c>
      <c r="H820" s="2"/>
      <c r="I820" s="2"/>
      <c r="J820" s="2"/>
      <c r="K820" s="2"/>
    </row>
    <row r="821" spans="1:11" customFormat="1" ht="16" x14ac:dyDescent="0.2">
      <c r="A821" t="s">
        <v>234</v>
      </c>
      <c r="B821" s="3">
        <f>B804/1000</f>
        <v>5.6509899999999997E-7</v>
      </c>
      <c r="D821" t="s">
        <v>14</v>
      </c>
      <c r="E821" t="s">
        <v>9</v>
      </c>
      <c r="F821" t="s">
        <v>15</v>
      </c>
      <c r="H821" s="2"/>
      <c r="I821" s="2"/>
      <c r="J821" s="2"/>
      <c r="K821" s="2"/>
    </row>
    <row r="822" spans="1:11" customFormat="1" ht="16" x14ac:dyDescent="0.2">
      <c r="A822" t="s">
        <v>235</v>
      </c>
      <c r="B822" s="3">
        <v>6.1476482081469075E-6</v>
      </c>
      <c r="D822" t="s">
        <v>14</v>
      </c>
      <c r="E822" t="s">
        <v>9</v>
      </c>
      <c r="F822" t="s">
        <v>15</v>
      </c>
      <c r="H822" s="2"/>
      <c r="I822" s="2"/>
      <c r="J822" s="2"/>
      <c r="K822" s="2"/>
    </row>
    <row r="823" spans="1:11" customFormat="1" ht="16" x14ac:dyDescent="0.2">
      <c r="A823" t="s">
        <v>59</v>
      </c>
      <c r="B823" s="3">
        <v>4.3348801467702544E-7</v>
      </c>
      <c r="D823" t="s">
        <v>14</v>
      </c>
      <c r="E823" t="s">
        <v>9</v>
      </c>
      <c r="F823" t="s">
        <v>15</v>
      </c>
      <c r="H823" s="2"/>
      <c r="I823" s="2"/>
      <c r="J823" s="2"/>
      <c r="K823" s="2"/>
    </row>
    <row r="824" spans="1:11" customFormat="1" ht="16" x14ac:dyDescent="0.2">
      <c r="A824" t="s">
        <v>73</v>
      </c>
      <c r="B824" s="3">
        <v>8.8328278852685434E-8</v>
      </c>
      <c r="D824" t="s">
        <v>14</v>
      </c>
      <c r="E824" t="s">
        <v>9</v>
      </c>
      <c r="F824" t="s">
        <v>15</v>
      </c>
      <c r="H824" s="2"/>
      <c r="I824" s="2"/>
      <c r="J824" s="2"/>
      <c r="K824" s="2"/>
    </row>
    <row r="825" spans="1:11" customFormat="1" ht="16" x14ac:dyDescent="0.2">
      <c r="A825" t="s">
        <v>51</v>
      </c>
      <c r="B825" s="3">
        <v>7.1206181721241788E-7</v>
      </c>
      <c r="D825" t="s">
        <v>14</v>
      </c>
      <c r="E825" t="s">
        <v>9</v>
      </c>
      <c r="F825" t="s">
        <v>15</v>
      </c>
      <c r="H825" s="2"/>
      <c r="I825" s="2"/>
      <c r="J825" s="2"/>
      <c r="K825" s="2"/>
    </row>
    <row r="826" spans="1:11" customFormat="1" ht="16" x14ac:dyDescent="0.2">
      <c r="A826" t="s">
        <v>72</v>
      </c>
      <c r="B826" s="3">
        <v>2.9216276851272876E-7</v>
      </c>
      <c r="D826" t="s">
        <v>14</v>
      </c>
      <c r="E826" t="s">
        <v>9</v>
      </c>
      <c r="F826" t="s">
        <v>15</v>
      </c>
      <c r="H826" s="2"/>
      <c r="I826" s="2"/>
      <c r="J826" s="2"/>
      <c r="K826" s="2"/>
    </row>
    <row r="827" spans="1:11" customFormat="1" ht="16" x14ac:dyDescent="0.2">
      <c r="A827" t="s">
        <v>85</v>
      </c>
      <c r="B827" s="3">
        <v>2.1878235223511317E-7</v>
      </c>
      <c r="D827" t="s">
        <v>14</v>
      </c>
      <c r="E827" t="s">
        <v>9</v>
      </c>
      <c r="F827" t="s">
        <v>15</v>
      </c>
      <c r="H827" s="2"/>
      <c r="I827" s="2"/>
      <c r="J827" s="2"/>
      <c r="K827" s="2"/>
    </row>
    <row r="828" spans="1:11" customFormat="1" ht="16" x14ac:dyDescent="0.2">
      <c r="A828" t="s">
        <v>236</v>
      </c>
      <c r="B828" s="3">
        <v>1.5491421214163292E-7</v>
      </c>
      <c r="D828" t="s">
        <v>14</v>
      </c>
      <c r="E828" t="s">
        <v>9</v>
      </c>
      <c r="F828" t="s">
        <v>15</v>
      </c>
      <c r="H828" s="2"/>
      <c r="I828" s="2"/>
      <c r="J828" s="2"/>
      <c r="K828" s="2"/>
    </row>
    <row r="829" spans="1:11" customFormat="1" ht="16" x14ac:dyDescent="0.2">
      <c r="A829" t="s">
        <v>62</v>
      </c>
      <c r="B829" s="3">
        <v>1.0055834823228804E-7</v>
      </c>
      <c r="D829" t="s">
        <v>14</v>
      </c>
      <c r="E829" t="s">
        <v>9</v>
      </c>
      <c r="F829" t="s">
        <v>15</v>
      </c>
      <c r="H829" s="2"/>
      <c r="I829" s="2"/>
      <c r="J829" s="2"/>
      <c r="K829" s="2"/>
    </row>
    <row r="830" spans="1:11" customFormat="1" ht="16" x14ac:dyDescent="0.2">
      <c r="A830" t="s">
        <v>237</v>
      </c>
      <c r="B830" s="3">
        <v>9.9199451634554413E-7</v>
      </c>
      <c r="D830" t="s">
        <v>14</v>
      </c>
      <c r="E830" t="s">
        <v>9</v>
      </c>
      <c r="F830" t="s">
        <v>15</v>
      </c>
      <c r="H830" s="2"/>
      <c r="I830" s="2"/>
      <c r="J830" s="2"/>
      <c r="K830" s="2"/>
    </row>
    <row r="831" spans="1:11" customFormat="1" ht="16" x14ac:dyDescent="0.2">
      <c r="A831" t="s">
        <v>86</v>
      </c>
      <c r="B831" s="3">
        <v>5.1909850033424364E-7</v>
      </c>
      <c r="D831" t="s">
        <v>14</v>
      </c>
      <c r="E831" t="s">
        <v>9</v>
      </c>
      <c r="F831" t="s">
        <v>15</v>
      </c>
      <c r="H831" s="2"/>
      <c r="I831" s="2"/>
      <c r="J831" s="2"/>
      <c r="K831" s="2"/>
    </row>
    <row r="832" spans="1:11" customFormat="1" ht="16" x14ac:dyDescent="0.2">
      <c r="A832" t="s">
        <v>83</v>
      </c>
      <c r="B832" s="3">
        <v>1.4947862575069847E-8</v>
      </c>
      <c r="D832" t="s">
        <v>14</v>
      </c>
      <c r="E832" t="s">
        <v>9</v>
      </c>
      <c r="F832" t="s">
        <v>15</v>
      </c>
      <c r="H832" s="2"/>
      <c r="I832" s="2"/>
      <c r="J832" s="2"/>
      <c r="K832" s="2"/>
    </row>
    <row r="833" spans="1:11" customFormat="1" ht="16" x14ac:dyDescent="0.2">
      <c r="A833" t="s">
        <v>78</v>
      </c>
      <c r="B833" s="3">
        <v>1.4920684643115172E-6</v>
      </c>
      <c r="D833" t="s">
        <v>14</v>
      </c>
      <c r="E833" t="s">
        <v>9</v>
      </c>
      <c r="F833" t="s">
        <v>15</v>
      </c>
      <c r="H833" s="2"/>
      <c r="I833" s="2"/>
      <c r="J833" s="2"/>
      <c r="K833" s="2"/>
    </row>
    <row r="834" spans="1:11" customFormat="1" ht="16" x14ac:dyDescent="0.2">
      <c r="A834" t="s">
        <v>80</v>
      </c>
      <c r="B834" s="3">
        <v>7.3788085256935697E-7</v>
      </c>
      <c r="D834" t="s">
        <v>14</v>
      </c>
      <c r="E834" t="s">
        <v>9</v>
      </c>
      <c r="F834" t="s">
        <v>15</v>
      </c>
      <c r="H834" s="2"/>
      <c r="I834" s="2"/>
      <c r="J834" s="2"/>
      <c r="K834" s="2"/>
    </row>
    <row r="835" spans="1:11" customFormat="1" ht="16" x14ac:dyDescent="0.2">
      <c r="A835" t="s">
        <v>81</v>
      </c>
      <c r="B835" s="3">
        <v>3.0711063108779858E-7</v>
      </c>
      <c r="D835" t="s">
        <v>14</v>
      </c>
      <c r="E835" t="s">
        <v>9</v>
      </c>
      <c r="F835" t="s">
        <v>15</v>
      </c>
      <c r="H835" s="2"/>
      <c r="I835" s="2"/>
      <c r="J835" s="2"/>
      <c r="K835" s="2"/>
    </row>
    <row r="836" spans="1:11" customFormat="1" ht="16" x14ac:dyDescent="0.2">
      <c r="A836" t="s">
        <v>61</v>
      </c>
      <c r="B836" s="3">
        <v>2.3101242161471579E-7</v>
      </c>
      <c r="D836" t="s">
        <v>14</v>
      </c>
      <c r="E836" t="s">
        <v>9</v>
      </c>
      <c r="F836" t="s">
        <v>15</v>
      </c>
      <c r="H836" s="2"/>
      <c r="I836" s="2"/>
      <c r="J836" s="2"/>
      <c r="K836" s="2"/>
    </row>
    <row r="837" spans="1:11" customFormat="1" ht="16" x14ac:dyDescent="0.2">
      <c r="A837" t="s">
        <v>45</v>
      </c>
      <c r="B837" s="3">
        <v>1.0191724483002165E-7</v>
      </c>
      <c r="D837" t="s">
        <v>14</v>
      </c>
      <c r="E837" t="s">
        <v>9</v>
      </c>
      <c r="F837" t="s">
        <v>15</v>
      </c>
      <c r="H837" s="2"/>
      <c r="I837" s="2"/>
      <c r="J837" s="2"/>
      <c r="K837" s="2"/>
    </row>
    <row r="838" spans="1:11" customFormat="1" ht="16" x14ac:dyDescent="0.2">
      <c r="A838" t="s">
        <v>49</v>
      </c>
      <c r="B838" s="3">
        <v>2.9895725150139694E-8</v>
      </c>
      <c r="D838" t="s">
        <v>14</v>
      </c>
      <c r="E838" t="s">
        <v>9</v>
      </c>
      <c r="F838" t="s">
        <v>15</v>
      </c>
      <c r="H838" s="2"/>
      <c r="I838" s="2"/>
      <c r="J838" s="2"/>
      <c r="K838" s="2"/>
    </row>
    <row r="839" spans="1:11" customFormat="1" ht="16" x14ac:dyDescent="0.2">
      <c r="A839" t="s">
        <v>46</v>
      </c>
      <c r="B839" s="3">
        <v>8.2892692461750966E-8</v>
      </c>
      <c r="D839" t="s">
        <v>14</v>
      </c>
      <c r="E839" t="s">
        <v>9</v>
      </c>
      <c r="F839" t="s">
        <v>15</v>
      </c>
      <c r="H839" s="2"/>
      <c r="I839" s="2"/>
      <c r="J839" s="2"/>
      <c r="K839" s="2"/>
    </row>
    <row r="840" spans="1:11" customFormat="1" ht="16" x14ac:dyDescent="0.2">
      <c r="A840" t="s">
        <v>66</v>
      </c>
      <c r="B840" s="3">
        <v>0</v>
      </c>
      <c r="D840" t="s">
        <v>14</v>
      </c>
      <c r="E840" t="s">
        <v>9</v>
      </c>
      <c r="F840" t="s">
        <v>15</v>
      </c>
      <c r="H840" s="2"/>
      <c r="I840" s="2"/>
      <c r="J840" s="2"/>
      <c r="K840" s="2"/>
    </row>
    <row r="841" spans="1:11" customFormat="1" ht="16" x14ac:dyDescent="0.2">
      <c r="A841" t="s">
        <v>47</v>
      </c>
      <c r="B841" s="3">
        <v>2.5819035356938819E-8</v>
      </c>
      <c r="D841" t="s">
        <v>14</v>
      </c>
      <c r="E841" t="s">
        <v>9</v>
      </c>
      <c r="F841" t="s">
        <v>15</v>
      </c>
      <c r="H841" s="2"/>
      <c r="I841" s="2"/>
      <c r="J841" s="2"/>
      <c r="K841" s="2"/>
    </row>
    <row r="842" spans="1:11" customFormat="1" ht="16" x14ac:dyDescent="0.2">
      <c r="A842" t="s">
        <v>76</v>
      </c>
      <c r="B842" s="3">
        <v>1.3724855637109585E-7</v>
      </c>
      <c r="D842" t="s">
        <v>14</v>
      </c>
      <c r="E842" t="s">
        <v>9</v>
      </c>
      <c r="F842" t="s">
        <v>15</v>
      </c>
      <c r="H842" s="2"/>
      <c r="I842" s="2"/>
      <c r="J842" s="2"/>
      <c r="K842" s="2"/>
    </row>
    <row r="843" spans="1:11" customFormat="1" ht="16" x14ac:dyDescent="0.2">
      <c r="A843" t="s">
        <v>70</v>
      </c>
      <c r="B843" s="3">
        <v>8.1882352941176476E-10</v>
      </c>
      <c r="D843" t="s">
        <v>14</v>
      </c>
      <c r="E843" t="s">
        <v>9</v>
      </c>
      <c r="F843" t="s">
        <v>15</v>
      </c>
      <c r="H843" s="2"/>
      <c r="I843" s="2"/>
      <c r="J843" s="2"/>
      <c r="K843" s="2"/>
    </row>
    <row r="844" spans="1:11" customFormat="1" ht="16" x14ac:dyDescent="0.2">
      <c r="A844" t="s">
        <v>238</v>
      </c>
      <c r="B844" s="3">
        <v>7.0588235294117658E-12</v>
      </c>
      <c r="D844" t="s">
        <v>14</v>
      </c>
      <c r="E844" t="s">
        <v>9</v>
      </c>
      <c r="F844" t="s">
        <v>15</v>
      </c>
      <c r="H844" s="2"/>
      <c r="I844" s="2"/>
      <c r="J844" s="2"/>
      <c r="K844" s="2"/>
    </row>
    <row r="845" spans="1:11" customFormat="1" ht="16" x14ac:dyDescent="0.2">
      <c r="A845" t="s">
        <v>239</v>
      </c>
      <c r="B845" s="3">
        <v>4.7058823529411767E-12</v>
      </c>
      <c r="D845" t="s">
        <v>14</v>
      </c>
      <c r="E845" t="s">
        <v>9</v>
      </c>
      <c r="F845" t="s">
        <v>15</v>
      </c>
      <c r="H845" s="2"/>
      <c r="I845" s="2"/>
      <c r="J845" s="2"/>
      <c r="K845" s="2"/>
    </row>
    <row r="846" spans="1:11" customFormat="1" ht="16" x14ac:dyDescent="0.2">
      <c r="A846" t="s">
        <v>240</v>
      </c>
      <c r="B846" s="3">
        <v>5.082352941176471E-8</v>
      </c>
      <c r="D846" t="s">
        <v>14</v>
      </c>
      <c r="E846" t="s">
        <v>9</v>
      </c>
      <c r="F846" t="s">
        <v>15</v>
      </c>
      <c r="H846" s="2"/>
      <c r="I846" s="2"/>
      <c r="J846" s="2"/>
      <c r="K846" s="2"/>
    </row>
    <row r="847" spans="1:11" customFormat="1" ht="16" x14ac:dyDescent="0.2">
      <c r="A847" t="s">
        <v>241</v>
      </c>
      <c r="B847" s="3">
        <v>9.8823529411764698E-10</v>
      </c>
      <c r="D847" t="s">
        <v>14</v>
      </c>
      <c r="E847" t="s">
        <v>9</v>
      </c>
      <c r="F847" t="s">
        <v>15</v>
      </c>
      <c r="H847" s="2"/>
      <c r="I847" s="2"/>
      <c r="J847" s="2"/>
      <c r="K847" s="2"/>
    </row>
    <row r="848" spans="1:11" customFormat="1" ht="16" x14ac:dyDescent="0.2">
      <c r="A848" t="s">
        <v>242</v>
      </c>
      <c r="B848" s="3">
        <v>3.0588235294117649E-10</v>
      </c>
      <c r="D848" t="s">
        <v>14</v>
      </c>
      <c r="E848" t="s">
        <v>9</v>
      </c>
      <c r="F848" t="s">
        <v>15</v>
      </c>
      <c r="H848" s="2"/>
      <c r="I848" s="2"/>
      <c r="J848" s="2"/>
      <c r="K848" s="2"/>
    </row>
    <row r="849" spans="1:12" customFormat="1" ht="16" x14ac:dyDescent="0.2">
      <c r="A849" t="s">
        <v>243</v>
      </c>
      <c r="B849" s="3">
        <v>3.7647058823529416E-10</v>
      </c>
      <c r="D849" t="s">
        <v>14</v>
      </c>
      <c r="E849" t="s">
        <v>9</v>
      </c>
      <c r="F849" t="s">
        <v>15</v>
      </c>
      <c r="H849" s="2"/>
      <c r="I849" s="2"/>
      <c r="J849" s="2"/>
      <c r="K849" s="2"/>
    </row>
    <row r="850" spans="1:12" customFormat="1" ht="16" x14ac:dyDescent="0.2">
      <c r="A850" t="s">
        <v>56</v>
      </c>
      <c r="B850" s="3">
        <v>7.5294117647058818E-13</v>
      </c>
      <c r="D850" t="s">
        <v>14</v>
      </c>
      <c r="E850" t="s">
        <v>9</v>
      </c>
      <c r="F850" t="s">
        <v>15</v>
      </c>
      <c r="H850" s="2"/>
      <c r="I850" s="2"/>
      <c r="J850" s="2"/>
      <c r="K850" s="2"/>
    </row>
    <row r="851" spans="1:12" customFormat="1" ht="16" x14ac:dyDescent="0.2">
      <c r="A851" t="s">
        <v>244</v>
      </c>
      <c r="B851" s="3">
        <v>2.0470588235294119E-10</v>
      </c>
      <c r="D851" t="s">
        <v>14</v>
      </c>
      <c r="E851" t="s">
        <v>9</v>
      </c>
      <c r="F851" t="s">
        <v>15</v>
      </c>
      <c r="H851" s="2"/>
      <c r="I851" s="2"/>
      <c r="J851" s="2"/>
      <c r="K851" s="2"/>
    </row>
    <row r="852" spans="1:12" customFormat="1" ht="16" x14ac:dyDescent="0.2">
      <c r="A852" t="s">
        <v>245</v>
      </c>
      <c r="B852" s="3">
        <v>2.5411764705882359E-10</v>
      </c>
      <c r="D852" t="s">
        <v>14</v>
      </c>
      <c r="E852" t="s">
        <v>9</v>
      </c>
      <c r="F852" t="s">
        <v>15</v>
      </c>
      <c r="H852" s="2"/>
      <c r="I852" s="2"/>
      <c r="J852" s="2"/>
      <c r="K852" s="2"/>
    </row>
    <row r="853" spans="1:12" customFormat="1" ht="16" x14ac:dyDescent="0.2">
      <c r="B853" s="3"/>
    </row>
    <row r="854" spans="1:12" x14ac:dyDescent="0.2">
      <c r="A854" s="17" t="s">
        <v>2</v>
      </c>
      <c r="B854" s="17" t="s">
        <v>261</v>
      </c>
    </row>
    <row r="855" spans="1:12" customFormat="1" ht="16" x14ac:dyDescent="0.2">
      <c r="A855" s="2" t="s">
        <v>3</v>
      </c>
      <c r="B855" s="2" t="s">
        <v>18</v>
      </c>
      <c r="C855" s="2"/>
      <c r="D855" s="2"/>
      <c r="E855" s="2"/>
      <c r="F855" s="2"/>
      <c r="G855" s="2"/>
      <c r="H855" s="2"/>
      <c r="I855" s="2"/>
      <c r="J855" s="2"/>
      <c r="K855" s="2"/>
      <c r="L855" s="2"/>
    </row>
    <row r="856" spans="1:12" customFormat="1" ht="16" x14ac:dyDescent="0.2">
      <c r="A856" s="2" t="s">
        <v>4</v>
      </c>
      <c r="B856" s="2">
        <v>1</v>
      </c>
      <c r="C856" s="2"/>
      <c r="D856" s="2"/>
      <c r="E856" s="2"/>
      <c r="F856" s="2"/>
      <c r="G856" s="2"/>
      <c r="H856" s="2"/>
      <c r="I856" s="2"/>
      <c r="J856" s="2"/>
      <c r="K856" s="2"/>
      <c r="L856" s="2"/>
    </row>
    <row r="857" spans="1:12" customFormat="1" ht="16" x14ac:dyDescent="0.2">
      <c r="A857" s="2" t="s">
        <v>5</v>
      </c>
      <c r="B857" s="2" t="s">
        <v>1</v>
      </c>
      <c r="C857" s="2"/>
      <c r="D857" s="2"/>
      <c r="E857" s="2"/>
      <c r="F857" s="2"/>
      <c r="G857" s="2"/>
      <c r="H857" s="2"/>
      <c r="I857" s="2"/>
      <c r="J857" s="2"/>
    </row>
    <row r="858" spans="1:12" customFormat="1" ht="16" x14ac:dyDescent="0.2">
      <c r="A858" s="2" t="s">
        <v>6</v>
      </c>
      <c r="B858" s="2" t="s">
        <v>7</v>
      </c>
      <c r="C858" s="2"/>
      <c r="D858" s="2"/>
      <c r="E858" s="2"/>
      <c r="F858" s="2"/>
      <c r="G858" s="2"/>
      <c r="H858" s="2"/>
      <c r="I858" s="2"/>
      <c r="J858" s="2"/>
      <c r="K858" s="2"/>
      <c r="L858" s="2"/>
    </row>
    <row r="859" spans="1:12" customFormat="1" ht="16" x14ac:dyDescent="0.2">
      <c r="A859" s="2" t="s">
        <v>8</v>
      </c>
      <c r="B859" s="2" t="s">
        <v>17</v>
      </c>
      <c r="C859" s="2"/>
      <c r="D859" s="2"/>
      <c r="E859" s="2"/>
      <c r="F859" s="2"/>
      <c r="G859" s="2"/>
      <c r="H859" s="2"/>
      <c r="I859" s="2"/>
      <c r="J859" s="2"/>
      <c r="K859" s="2"/>
      <c r="L859" s="2"/>
    </row>
    <row r="860" spans="1:12" customFormat="1" ht="16" x14ac:dyDescent="0.2">
      <c r="A860" t="s">
        <v>355</v>
      </c>
      <c r="B860" s="2">
        <f>INDEX(Parameters!$B$6:$AL$54,MATCH(Inventories!$B$854,Parameters!$A$6:$A$54,0),MATCH(Inventories!$A860,Parameters!$B$4:$AL$4,0))</f>
        <v>20</v>
      </c>
      <c r="C860" t="s">
        <v>315</v>
      </c>
      <c r="D860" s="2"/>
      <c r="E860" s="2"/>
      <c r="F860" s="2"/>
      <c r="G860" s="2"/>
      <c r="H860" s="2"/>
      <c r="I860" s="2"/>
      <c r="J860" s="2"/>
      <c r="K860" s="2"/>
      <c r="L860" s="2"/>
    </row>
    <row r="861" spans="1:12" customFormat="1" ht="16" x14ac:dyDescent="0.2">
      <c r="A861" t="s">
        <v>356</v>
      </c>
      <c r="B861" s="2">
        <f>INDEX(Parameters!$B$6:$AL$54,MATCH(Inventories!$B$854,Parameters!$A$6:$A$54,0),MATCH(Inventories!$A861,Parameters!$B$4:$AL$4,0))</f>
        <v>9</v>
      </c>
      <c r="C861" t="s">
        <v>315</v>
      </c>
      <c r="D861" s="2"/>
      <c r="E861" s="2"/>
      <c r="F861" s="2"/>
      <c r="G861" s="2"/>
      <c r="H861" s="2"/>
      <c r="I861" s="2"/>
      <c r="J861" s="2"/>
      <c r="K861" s="2"/>
      <c r="L861" s="2"/>
    </row>
    <row r="862" spans="1:12" customFormat="1" ht="16" x14ac:dyDescent="0.2">
      <c r="A862" t="s">
        <v>357</v>
      </c>
      <c r="B862" s="2">
        <f>INDEX(Parameters!$B$6:$AL$54,MATCH(Inventories!$B$854,Parameters!$A$6:$A$54,0),MATCH(Inventories!$A862,Parameters!$B$4:$AL$4,0))</f>
        <v>92</v>
      </c>
      <c r="C862" t="s">
        <v>315</v>
      </c>
      <c r="D862" s="2"/>
      <c r="E862" s="2"/>
      <c r="F862" s="2"/>
      <c r="G862" s="2"/>
      <c r="H862" s="2"/>
      <c r="I862" s="2"/>
      <c r="J862" s="2"/>
      <c r="K862" s="2"/>
      <c r="L862" s="2"/>
    </row>
    <row r="863" spans="1:12" customFormat="1" ht="16" x14ac:dyDescent="0.2">
      <c r="A863" t="s">
        <v>319</v>
      </c>
      <c r="B863" s="24">
        <f>INDEX(Parameters!$B$6:$AL$54,MATCH(Inventories!$B$854,Parameters!$A$6:$A$54,0),MATCH(Inventories!$A863,Parameters!$B$4:$AL$4,0))</f>
        <v>100000</v>
      </c>
      <c r="C863" t="s">
        <v>316</v>
      </c>
      <c r="D863" s="2"/>
      <c r="E863" s="2"/>
      <c r="F863" s="2"/>
      <c r="G863" s="2"/>
      <c r="H863" s="2"/>
      <c r="I863" s="2"/>
      <c r="J863" s="2"/>
      <c r="K863" s="2"/>
      <c r="L863" s="2"/>
    </row>
    <row r="864" spans="1:12" customFormat="1" ht="16" x14ac:dyDescent="0.2">
      <c r="A864" t="s">
        <v>320</v>
      </c>
      <c r="B864" s="24">
        <f>INDEX(Parameters!$B$6:$AL$54,MATCH(Inventories!$B$854,Parameters!$A$6:$A$54,0),MATCH(Inventories!$A864,Parameters!$B$4:$AL$4,0))</f>
        <v>50000</v>
      </c>
      <c r="C864" t="s">
        <v>316</v>
      </c>
      <c r="D864" s="2"/>
      <c r="E864" s="2"/>
      <c r="F864" s="2"/>
      <c r="G864" s="2"/>
      <c r="H864" s="2"/>
      <c r="I864" s="2"/>
      <c r="J864" s="2"/>
      <c r="K864" s="2"/>
      <c r="L864" s="2"/>
    </row>
    <row r="865" spans="1:12" customFormat="1" ht="16" x14ac:dyDescent="0.2">
      <c r="A865" t="s">
        <v>321</v>
      </c>
      <c r="B865" s="24">
        <f>INDEX(Parameters!$B$6:$AL$54,MATCH(Inventories!$B$854,Parameters!$A$6:$A$54,0),MATCH(Inventories!$A865,Parameters!$B$4:$AL$4,0))</f>
        <v>200000</v>
      </c>
      <c r="C865" t="s">
        <v>316</v>
      </c>
      <c r="D865" s="2"/>
      <c r="E865" s="2"/>
      <c r="F865" s="2"/>
      <c r="G865" s="2"/>
      <c r="H865" s="2"/>
      <c r="I865" s="2"/>
      <c r="J865" s="2"/>
      <c r="K865" s="2"/>
      <c r="L865" s="2"/>
    </row>
    <row r="866" spans="1:12" customFormat="1" ht="16" x14ac:dyDescent="0.2">
      <c r="A866" t="s">
        <v>322</v>
      </c>
      <c r="B866" s="2">
        <f>INDEX(Parameters!$B$6:$AL$54,MATCH(Inventories!$B$854,Parameters!$A$6:$A$54,0),MATCH(Inventories!$A866,Parameters!$B$4:$AL$4,0))</f>
        <v>1300</v>
      </c>
      <c r="C866" t="s">
        <v>317</v>
      </c>
      <c r="D866" s="2"/>
      <c r="E866" s="2"/>
      <c r="F866" s="2"/>
      <c r="G866" s="2"/>
      <c r="H866" s="2"/>
      <c r="I866" s="2"/>
      <c r="J866" s="2"/>
      <c r="K866" s="2"/>
      <c r="L866" s="2"/>
    </row>
    <row r="867" spans="1:12" customFormat="1" ht="16" x14ac:dyDescent="0.2">
      <c r="A867" t="s">
        <v>323</v>
      </c>
      <c r="B867" s="2">
        <f>INDEX(Parameters!$B$6:$AL$54,MATCH(Inventories!$B$854,Parameters!$A$6:$A$54,0),MATCH(Inventories!$A867,Parameters!$B$4:$AL$4,0))</f>
        <v>800</v>
      </c>
      <c r="C867" t="s">
        <v>317</v>
      </c>
      <c r="D867" s="2"/>
      <c r="E867" s="2"/>
      <c r="F867" s="2"/>
      <c r="G867" s="2"/>
      <c r="H867" s="2"/>
      <c r="I867" s="2"/>
      <c r="J867" s="2"/>
      <c r="K867" s="2"/>
      <c r="L867" s="2"/>
    </row>
    <row r="868" spans="1:12" customFormat="1" ht="16" x14ac:dyDescent="0.2">
      <c r="A868" t="s">
        <v>324</v>
      </c>
      <c r="B868" s="2">
        <f>INDEX(Parameters!$B$6:$AL$54,MATCH(Inventories!$B$854,Parameters!$A$6:$A$54,0),MATCH(Inventories!$A868,Parameters!$B$4:$AL$4,0))</f>
        <v>1530</v>
      </c>
      <c r="C868" t="s">
        <v>317</v>
      </c>
      <c r="D868" s="2"/>
      <c r="E868" s="2"/>
      <c r="F868" s="2"/>
      <c r="G868" s="2"/>
      <c r="H868" s="2"/>
      <c r="I868" s="2"/>
      <c r="J868" s="2"/>
      <c r="K868" s="2"/>
      <c r="L868" s="2"/>
    </row>
    <row r="869" spans="1:12" customFormat="1" ht="16" x14ac:dyDescent="0.2">
      <c r="A869" t="s">
        <v>343</v>
      </c>
      <c r="B869" s="2">
        <f>INDEX(Parameters!$B$6:$AL$54,MATCH(Inventories!$B$854,Parameters!$A$6:$A$54,0),MATCH(Inventories!$A869,Parameters!$B$4:$AL$4,0))</f>
        <v>14</v>
      </c>
      <c r="C869" t="s">
        <v>339</v>
      </c>
      <c r="D869" s="2"/>
      <c r="E869" s="2"/>
      <c r="F869" s="2"/>
      <c r="G869" s="2"/>
      <c r="H869" s="2"/>
      <c r="I869" s="2"/>
      <c r="J869" s="2"/>
      <c r="K869" s="2"/>
      <c r="L869" s="2"/>
    </row>
    <row r="870" spans="1:12" customFormat="1" ht="16" x14ac:dyDescent="0.2">
      <c r="A870" t="s">
        <v>344</v>
      </c>
      <c r="B870" s="2">
        <f>INDEX(Parameters!$B$6:$AL$54,MATCH(Inventories!$B$854,Parameters!$A$6:$A$54,0),MATCH(Inventories!$A870,Parameters!$B$4:$AL$4,0))</f>
        <v>6</v>
      </c>
      <c r="C870" t="s">
        <v>339</v>
      </c>
      <c r="D870" s="2"/>
      <c r="E870" s="2"/>
      <c r="F870" s="2"/>
      <c r="G870" s="2"/>
      <c r="H870" s="2"/>
      <c r="I870" s="2"/>
      <c r="J870" s="2"/>
      <c r="K870" s="2"/>
      <c r="L870" s="2"/>
    </row>
    <row r="871" spans="1:12" customFormat="1" ht="16" x14ac:dyDescent="0.2">
      <c r="A871" t="s">
        <v>345</v>
      </c>
      <c r="B871" s="2">
        <f>INDEX(Parameters!$B$6:$AL$54,MATCH(Inventories!$B$854,Parameters!$A$6:$A$54,0),MATCH(Inventories!$A871,Parameters!$B$4:$AL$4,0))</f>
        <v>65</v>
      </c>
      <c r="C871" t="s">
        <v>339</v>
      </c>
      <c r="D871" s="2"/>
      <c r="E871" s="2"/>
      <c r="F871" s="2"/>
      <c r="G871" s="2"/>
      <c r="H871" s="2"/>
      <c r="I871" s="2"/>
      <c r="J871" s="2"/>
      <c r="K871" s="2"/>
      <c r="L871" s="2"/>
    </row>
    <row r="872" spans="1:12" customFormat="1" ht="16" x14ac:dyDescent="0.2">
      <c r="A872" t="s">
        <v>336</v>
      </c>
      <c r="B872" s="2">
        <f>INDEX(Parameters!$B$6:$AL$54,MATCH(Inventories!$B$854,Parameters!$A$6:$A$54,0),MATCH(Inventories!$A872,Parameters!$B$4:$AL$4,0))</f>
        <v>10</v>
      </c>
      <c r="C872" t="s">
        <v>339</v>
      </c>
      <c r="D872" s="2"/>
      <c r="E872" s="2"/>
      <c r="F872" s="2"/>
      <c r="G872" s="2"/>
      <c r="H872" s="2"/>
      <c r="I872" s="2"/>
      <c r="J872" s="2"/>
      <c r="K872" s="2"/>
      <c r="L872" s="2"/>
    </row>
    <row r="873" spans="1:12" customFormat="1" ht="16" x14ac:dyDescent="0.2">
      <c r="A873" t="s">
        <v>337</v>
      </c>
      <c r="B873" s="2">
        <f>INDEX(Parameters!$B$6:$AL$54,MATCH(Inventories!$B$854,Parameters!$A$6:$A$54,0),MATCH(Inventories!$A873,Parameters!$B$4:$AL$4,0))</f>
        <v>6</v>
      </c>
      <c r="C873" t="s">
        <v>339</v>
      </c>
      <c r="D873" s="2"/>
      <c r="E873" s="2"/>
      <c r="F873" s="2"/>
      <c r="G873" s="2"/>
      <c r="H873" s="2"/>
      <c r="I873" s="2"/>
      <c r="J873" s="2"/>
      <c r="K873" s="2"/>
      <c r="L873" s="2"/>
    </row>
    <row r="874" spans="1:12" customFormat="1" ht="16" x14ac:dyDescent="0.2">
      <c r="A874" t="s">
        <v>338</v>
      </c>
      <c r="B874" s="2">
        <f>INDEX(Parameters!$B$6:$AL$54,MATCH(Inventories!$B$854,Parameters!$A$6:$A$54,0),MATCH(Inventories!$A874,Parameters!$B$4:$AL$4,0))</f>
        <v>12</v>
      </c>
      <c r="C874" t="s">
        <v>339</v>
      </c>
      <c r="D874" s="2"/>
      <c r="E874" s="2"/>
      <c r="F874" s="2"/>
      <c r="G874" s="2"/>
      <c r="H874" s="2"/>
      <c r="I874" s="2"/>
      <c r="J874" s="2"/>
      <c r="K874" s="2"/>
      <c r="L874" s="2"/>
    </row>
    <row r="875" spans="1:12" customFormat="1" ht="16" x14ac:dyDescent="0.2">
      <c r="A875" t="s">
        <v>347</v>
      </c>
      <c r="B875" s="26">
        <f>INDEX(Parameters!$B$6:$AL$54,MATCH(Inventories!$B$854,Parameters!$A$6:$A$54,0),MATCH(Inventories!$A875,Parameters!$B$4:$AL$4,0))</f>
        <v>7.5811450000000001E-3</v>
      </c>
      <c r="C875" t="s">
        <v>348</v>
      </c>
      <c r="D875" s="2"/>
      <c r="E875" s="2"/>
      <c r="F875" s="2"/>
      <c r="G875" s="2"/>
      <c r="H875" s="2"/>
      <c r="I875" s="2"/>
      <c r="J875" s="2"/>
      <c r="K875" s="2"/>
      <c r="L875" s="2"/>
    </row>
    <row r="876" spans="1:12" customFormat="1" ht="16" x14ac:dyDescent="0.2">
      <c r="A876" t="s">
        <v>346</v>
      </c>
      <c r="B876" s="2">
        <f>INDEX(Parameters!$B$6:$AL$54,MATCH(Inventories!$B$854,Parameters!$A$6:$A$54,0),MATCH(Inventories!$A876,Parameters!$B$4:$AL$4,0))</f>
        <v>5.65099E-4</v>
      </c>
      <c r="C876" t="s">
        <v>348</v>
      </c>
      <c r="D876" s="2"/>
      <c r="E876" s="2"/>
      <c r="F876" s="2"/>
      <c r="G876" s="2"/>
      <c r="H876" s="2"/>
      <c r="I876" s="2"/>
      <c r="J876" s="2"/>
      <c r="K876" s="2"/>
      <c r="L876" s="2"/>
    </row>
    <row r="877" spans="1:12" customFormat="1" ht="16" x14ac:dyDescent="0.2">
      <c r="A877" s="1" t="s">
        <v>10</v>
      </c>
      <c r="B877" s="2"/>
      <c r="C877" s="2"/>
      <c r="D877" s="2"/>
      <c r="E877" s="2"/>
      <c r="F877" s="2"/>
      <c r="G877" s="2"/>
      <c r="H877" s="2"/>
      <c r="I877" s="2"/>
      <c r="J877" s="2"/>
      <c r="K877" s="2"/>
      <c r="L877" s="2"/>
    </row>
    <row r="878" spans="1:12" x14ac:dyDescent="0.2">
      <c r="A878" s="17" t="s">
        <v>11</v>
      </c>
      <c r="B878" s="17" t="s">
        <v>12</v>
      </c>
      <c r="C878" s="17" t="s">
        <v>3</v>
      </c>
      <c r="D878" s="17" t="s">
        <v>13</v>
      </c>
      <c r="E878" s="17" t="s">
        <v>8</v>
      </c>
      <c r="F878" s="17" t="s">
        <v>6</v>
      </c>
      <c r="G878" s="17" t="s">
        <v>5</v>
      </c>
      <c r="H878" s="17" t="s">
        <v>153</v>
      </c>
      <c r="I878" s="17" t="s">
        <v>182</v>
      </c>
      <c r="J878" s="17" t="s">
        <v>184</v>
      </c>
      <c r="K878" s="17" t="s">
        <v>185</v>
      </c>
    </row>
    <row r="879" spans="1:12" customFormat="1" ht="16" x14ac:dyDescent="0.2">
      <c r="A879" s="2" t="str">
        <f>B854</f>
        <v>bioethanol, burned in motorcycle</v>
      </c>
      <c r="B879" s="2">
        <v>1</v>
      </c>
      <c r="C879" s="2" t="s">
        <v>18</v>
      </c>
      <c r="D879" s="2"/>
      <c r="E879" s="2" t="str">
        <f>B859</f>
        <v>megajoule</v>
      </c>
      <c r="F879" s="2" t="s">
        <v>19</v>
      </c>
      <c r="G879" s="2" t="str">
        <f>B857</f>
        <v>heat</v>
      </c>
      <c r="H879" s="2"/>
      <c r="I879" s="2"/>
      <c r="J879" s="2"/>
      <c r="K879" s="2"/>
      <c r="L879" s="2"/>
    </row>
    <row r="880" spans="1:12" customFormat="1" ht="16" x14ac:dyDescent="0.2">
      <c r="A880" t="s">
        <v>262</v>
      </c>
      <c r="B880" s="25">
        <f>1/28</f>
        <v>3.5714285714285712E-2</v>
      </c>
      <c r="C880" t="s">
        <v>22</v>
      </c>
      <c r="E880" t="s">
        <v>9</v>
      </c>
      <c r="F880" t="s">
        <v>23</v>
      </c>
      <c r="G880" t="s">
        <v>263</v>
      </c>
      <c r="I880" s="2"/>
    </row>
    <row r="881" spans="1:11" customFormat="1" ht="16" x14ac:dyDescent="0.2">
      <c r="A881" s="2" t="s">
        <v>144</v>
      </c>
      <c r="B881" s="3">
        <f>(B869/B863)/(B866/1000)</f>
        <v>1.0769230769230768E-4</v>
      </c>
      <c r="C881" t="s">
        <v>114</v>
      </c>
      <c r="E881" t="s">
        <v>9</v>
      </c>
      <c r="F881" t="s">
        <v>23</v>
      </c>
      <c r="G881" t="s">
        <v>145</v>
      </c>
      <c r="H881" s="2"/>
      <c r="I881">
        <v>5</v>
      </c>
      <c r="J881" s="12">
        <f>(B870/B865)/(B868/1000)</f>
        <v>1.9607843137254903E-5</v>
      </c>
      <c r="K881" s="3">
        <f>(B871/B864)/(B867/1000)</f>
        <v>1.6249999999999999E-3</v>
      </c>
    </row>
    <row r="882" spans="1:11" customFormat="1" ht="16" x14ac:dyDescent="0.2">
      <c r="A882" s="2" t="s">
        <v>361</v>
      </c>
      <c r="B882" s="3">
        <f>(B872/B863)/(B866/1000)</f>
        <v>7.6923076923076926E-5</v>
      </c>
      <c r="C882" t="s">
        <v>114</v>
      </c>
      <c r="E882" t="s">
        <v>9</v>
      </c>
      <c r="F882" t="s">
        <v>23</v>
      </c>
      <c r="G882" s="2" t="s">
        <v>360</v>
      </c>
      <c r="H882" s="2" t="s">
        <v>364</v>
      </c>
      <c r="I882">
        <v>5</v>
      </c>
      <c r="J882" s="12">
        <f>(B873/B865)/(B868/1000)</f>
        <v>1.9607843137254903E-5</v>
      </c>
      <c r="K882" s="3">
        <f>(B874/B864)/(B867/1000)</f>
        <v>2.9999999999999997E-4</v>
      </c>
    </row>
    <row r="883" spans="1:11" customFormat="1" ht="16" x14ac:dyDescent="0.2">
      <c r="A883" s="2" t="s">
        <v>362</v>
      </c>
      <c r="B883" s="3">
        <f>(B872/B863)/(B866/1000)</f>
        <v>7.6923076923076926E-5</v>
      </c>
      <c r="C883" t="s">
        <v>114</v>
      </c>
      <c r="E883" t="s">
        <v>9</v>
      </c>
      <c r="F883" t="s">
        <v>23</v>
      </c>
      <c r="G883" s="2" t="s">
        <v>363</v>
      </c>
      <c r="H883" s="2" t="s">
        <v>364</v>
      </c>
      <c r="I883">
        <v>5</v>
      </c>
      <c r="J883" s="12">
        <f>(B873/B865)/(B868/1000)</f>
        <v>1.9607843137254903E-5</v>
      </c>
      <c r="K883" s="3">
        <f>(B874/B864)/(B867/1000)</f>
        <v>2.9999999999999997E-4</v>
      </c>
    </row>
    <row r="884" spans="1:11" customFormat="1" ht="16" x14ac:dyDescent="0.2">
      <c r="A884" t="s">
        <v>123</v>
      </c>
      <c r="B884" s="3">
        <f>B880*1.91</f>
        <v>6.8214285714285713E-2</v>
      </c>
      <c r="D884" t="s">
        <v>14</v>
      </c>
      <c r="E884" t="s">
        <v>9</v>
      </c>
      <c r="F884" t="s">
        <v>15</v>
      </c>
      <c r="H884" s="3" t="s">
        <v>300</v>
      </c>
      <c r="I884" s="2"/>
    </row>
    <row r="885" spans="1:11" customFormat="1" ht="16" x14ac:dyDescent="0.2">
      <c r="A885" t="s">
        <v>233</v>
      </c>
      <c r="B885" s="3">
        <v>8.8450704225352119E-4</v>
      </c>
      <c r="D885" t="s">
        <v>14</v>
      </c>
      <c r="E885" t="s">
        <v>9</v>
      </c>
      <c r="F885" t="s">
        <v>15</v>
      </c>
      <c r="H885" s="3"/>
      <c r="I885" s="2"/>
    </row>
    <row r="886" spans="1:11" customFormat="1" ht="16" x14ac:dyDescent="0.2">
      <c r="A886" t="s">
        <v>77</v>
      </c>
      <c r="B886" s="3">
        <v>3.7558685446009391E-7</v>
      </c>
      <c r="D886" t="s">
        <v>14</v>
      </c>
      <c r="E886" t="s">
        <v>9</v>
      </c>
      <c r="F886" t="s">
        <v>15</v>
      </c>
      <c r="H886" s="3"/>
      <c r="I886" s="2"/>
    </row>
    <row r="887" spans="1:11" customFormat="1" ht="16" x14ac:dyDescent="0.2">
      <c r="A887" t="s">
        <v>50</v>
      </c>
      <c r="B887" s="3">
        <v>7.6234099132856199E-7</v>
      </c>
      <c r="D887" t="s">
        <v>14</v>
      </c>
      <c r="E887" t="s">
        <v>9</v>
      </c>
      <c r="F887" t="s">
        <v>15</v>
      </c>
      <c r="H887" s="3"/>
      <c r="I887" s="2"/>
    </row>
    <row r="888" spans="1:11" customFormat="1" ht="16" x14ac:dyDescent="0.2">
      <c r="A888" t="s">
        <v>180</v>
      </c>
      <c r="B888" s="3">
        <v>1.8797075715851682E-5</v>
      </c>
      <c r="D888" t="s">
        <v>14</v>
      </c>
      <c r="E888" t="s">
        <v>9</v>
      </c>
      <c r="F888" t="s">
        <v>15</v>
      </c>
      <c r="H888" s="3"/>
      <c r="I888" s="2"/>
    </row>
    <row r="889" spans="1:11" customFormat="1" ht="16" x14ac:dyDescent="0.2">
      <c r="A889" t="s">
        <v>124</v>
      </c>
      <c r="B889" s="3">
        <v>8.3455151885463482E-5</v>
      </c>
      <c r="D889" t="s">
        <v>14</v>
      </c>
      <c r="E889" t="s">
        <v>9</v>
      </c>
      <c r="F889" t="s">
        <v>15</v>
      </c>
      <c r="H889" s="3"/>
      <c r="I889" s="2"/>
    </row>
    <row r="890" spans="1:11" customFormat="1" ht="16" x14ac:dyDescent="0.2">
      <c r="A890" t="s">
        <v>58</v>
      </c>
      <c r="B890" s="3">
        <v>5.6532558543914833E-7</v>
      </c>
      <c r="D890" t="s">
        <v>14</v>
      </c>
      <c r="E890" t="s">
        <v>9</v>
      </c>
      <c r="F890" t="s">
        <v>15</v>
      </c>
      <c r="H890" s="3"/>
      <c r="I890" s="2"/>
    </row>
    <row r="891" spans="1:11" customFormat="1" ht="16" x14ac:dyDescent="0.2">
      <c r="A891" t="s">
        <v>48</v>
      </c>
      <c r="B891" s="3">
        <v>5.6532558543914833E-7</v>
      </c>
      <c r="D891" t="s">
        <v>14</v>
      </c>
      <c r="E891" t="s">
        <v>9</v>
      </c>
      <c r="F891" t="s">
        <v>15</v>
      </c>
      <c r="H891" s="3"/>
      <c r="I891" s="2"/>
    </row>
    <row r="892" spans="1:11" customFormat="1" ht="16" x14ac:dyDescent="0.2">
      <c r="A892" t="s">
        <v>69</v>
      </c>
      <c r="B892" s="3">
        <f>B875/1000</f>
        <v>7.5811449999999999E-6</v>
      </c>
      <c r="D892" t="s">
        <v>14</v>
      </c>
      <c r="E892" t="s">
        <v>9</v>
      </c>
      <c r="F892" t="s">
        <v>15</v>
      </c>
      <c r="H892" s="3"/>
      <c r="I892" s="2"/>
    </row>
    <row r="893" spans="1:11" customFormat="1" ht="16" x14ac:dyDescent="0.2">
      <c r="A893" t="s">
        <v>234</v>
      </c>
      <c r="B893" s="3">
        <f>B876/1000</f>
        <v>5.6509899999999997E-7</v>
      </c>
      <c r="D893" t="s">
        <v>14</v>
      </c>
      <c r="E893" t="s">
        <v>9</v>
      </c>
      <c r="F893" t="s">
        <v>15</v>
      </c>
      <c r="H893" s="3"/>
      <c r="I893" s="2"/>
    </row>
    <row r="894" spans="1:11" customFormat="1" ht="16" x14ac:dyDescent="0.2">
      <c r="A894" t="s">
        <v>235</v>
      </c>
      <c r="B894" s="3">
        <v>6.1476482081469075E-6</v>
      </c>
      <c r="D894" t="s">
        <v>14</v>
      </c>
      <c r="E894" t="s">
        <v>9</v>
      </c>
      <c r="F894" t="s">
        <v>15</v>
      </c>
      <c r="H894" s="3"/>
      <c r="I894" s="2"/>
    </row>
    <row r="895" spans="1:11" customFormat="1" ht="16" x14ac:dyDescent="0.2">
      <c r="A895" t="s">
        <v>59</v>
      </c>
      <c r="B895" s="3">
        <v>4.3348801467702544E-7</v>
      </c>
      <c r="D895" t="s">
        <v>14</v>
      </c>
      <c r="E895" t="s">
        <v>9</v>
      </c>
      <c r="F895" t="s">
        <v>15</v>
      </c>
      <c r="H895" s="3"/>
      <c r="I895" s="2"/>
    </row>
    <row r="896" spans="1:11" customFormat="1" ht="16" x14ac:dyDescent="0.2">
      <c r="A896" t="s">
        <v>73</v>
      </c>
      <c r="B896" s="3">
        <v>8.8328278852685434E-8</v>
      </c>
      <c r="D896" t="s">
        <v>14</v>
      </c>
      <c r="E896" t="s">
        <v>9</v>
      </c>
      <c r="F896" t="s">
        <v>15</v>
      </c>
      <c r="H896" s="3"/>
      <c r="I896" s="2"/>
    </row>
    <row r="897" spans="1:9" customFormat="1" ht="16" x14ac:dyDescent="0.2">
      <c r="A897" t="s">
        <v>51</v>
      </c>
      <c r="B897" s="3">
        <v>7.1206181721241788E-7</v>
      </c>
      <c r="D897" t="s">
        <v>14</v>
      </c>
      <c r="E897" t="s">
        <v>9</v>
      </c>
      <c r="F897" t="s">
        <v>15</v>
      </c>
      <c r="H897" s="3"/>
      <c r="I897" s="2"/>
    </row>
    <row r="898" spans="1:9" customFormat="1" ht="16" x14ac:dyDescent="0.2">
      <c r="A898" t="s">
        <v>72</v>
      </c>
      <c r="B898" s="3">
        <v>2.9216276851272876E-7</v>
      </c>
      <c r="D898" t="s">
        <v>14</v>
      </c>
      <c r="E898" t="s">
        <v>9</v>
      </c>
      <c r="F898" t="s">
        <v>15</v>
      </c>
      <c r="H898" s="3"/>
      <c r="I898" s="2"/>
    </row>
    <row r="899" spans="1:9" customFormat="1" ht="16" x14ac:dyDescent="0.2">
      <c r="A899" t="s">
        <v>85</v>
      </c>
      <c r="B899" s="3">
        <v>2.1878235223511317E-7</v>
      </c>
      <c r="D899" t="s">
        <v>14</v>
      </c>
      <c r="E899" t="s">
        <v>9</v>
      </c>
      <c r="F899" t="s">
        <v>15</v>
      </c>
      <c r="H899" s="3"/>
      <c r="I899" s="2"/>
    </row>
    <row r="900" spans="1:9" customFormat="1" ht="16" x14ac:dyDescent="0.2">
      <c r="A900" t="s">
        <v>236</v>
      </c>
      <c r="B900" s="3">
        <v>1.5491421214163292E-7</v>
      </c>
      <c r="D900" t="s">
        <v>14</v>
      </c>
      <c r="E900" t="s">
        <v>9</v>
      </c>
      <c r="F900" t="s">
        <v>15</v>
      </c>
      <c r="H900" s="3"/>
      <c r="I900" s="2"/>
    </row>
    <row r="901" spans="1:9" customFormat="1" ht="16" x14ac:dyDescent="0.2">
      <c r="A901" t="s">
        <v>62</v>
      </c>
      <c r="B901" s="3">
        <v>1.0055834823228804E-7</v>
      </c>
      <c r="D901" t="s">
        <v>14</v>
      </c>
      <c r="E901" t="s">
        <v>9</v>
      </c>
      <c r="F901" t="s">
        <v>15</v>
      </c>
      <c r="H901" s="3"/>
      <c r="I901" s="2"/>
    </row>
    <row r="902" spans="1:9" customFormat="1" ht="16" x14ac:dyDescent="0.2">
      <c r="A902" t="s">
        <v>237</v>
      </c>
      <c r="B902" s="3">
        <v>9.9199451634554413E-7</v>
      </c>
      <c r="D902" t="s">
        <v>14</v>
      </c>
      <c r="E902" t="s">
        <v>9</v>
      </c>
      <c r="F902" t="s">
        <v>15</v>
      </c>
      <c r="H902" s="3"/>
      <c r="I902" s="2"/>
    </row>
    <row r="903" spans="1:9" customFormat="1" ht="16" x14ac:dyDescent="0.2">
      <c r="A903" t="s">
        <v>86</v>
      </c>
      <c r="B903" s="3">
        <v>5.1909850033424364E-7</v>
      </c>
      <c r="D903" t="s">
        <v>14</v>
      </c>
      <c r="E903" t="s">
        <v>9</v>
      </c>
      <c r="F903" t="s">
        <v>15</v>
      </c>
      <c r="H903" s="3"/>
      <c r="I903" s="2"/>
    </row>
    <row r="904" spans="1:9" customFormat="1" ht="16" x14ac:dyDescent="0.2">
      <c r="A904" t="s">
        <v>83</v>
      </c>
      <c r="B904" s="3">
        <v>1.4947862575069847E-8</v>
      </c>
      <c r="D904" t="s">
        <v>14</v>
      </c>
      <c r="E904" t="s">
        <v>9</v>
      </c>
      <c r="F904" t="s">
        <v>15</v>
      </c>
      <c r="H904" s="3"/>
      <c r="I904" s="2"/>
    </row>
    <row r="905" spans="1:9" customFormat="1" ht="16" x14ac:dyDescent="0.2">
      <c r="A905" t="s">
        <v>78</v>
      </c>
      <c r="B905" s="3">
        <v>1.4920684643115172E-6</v>
      </c>
      <c r="D905" t="s">
        <v>14</v>
      </c>
      <c r="E905" t="s">
        <v>9</v>
      </c>
      <c r="F905" t="s">
        <v>15</v>
      </c>
      <c r="H905" s="3"/>
      <c r="I905" s="2"/>
    </row>
    <row r="906" spans="1:9" customFormat="1" ht="16" x14ac:dyDescent="0.2">
      <c r="A906" t="s">
        <v>80</v>
      </c>
      <c r="B906" s="3">
        <v>7.3788085256935697E-7</v>
      </c>
      <c r="D906" t="s">
        <v>14</v>
      </c>
      <c r="E906" t="s">
        <v>9</v>
      </c>
      <c r="F906" t="s">
        <v>15</v>
      </c>
      <c r="H906" s="3"/>
      <c r="I906" s="2"/>
    </row>
    <row r="907" spans="1:9" customFormat="1" ht="16" x14ac:dyDescent="0.2">
      <c r="A907" t="s">
        <v>81</v>
      </c>
      <c r="B907" s="3">
        <v>3.0711063108779858E-7</v>
      </c>
      <c r="D907" t="s">
        <v>14</v>
      </c>
      <c r="E907" t="s">
        <v>9</v>
      </c>
      <c r="F907" t="s">
        <v>15</v>
      </c>
      <c r="H907" s="3"/>
      <c r="I907" s="2"/>
    </row>
    <row r="908" spans="1:9" customFormat="1" ht="16" x14ac:dyDescent="0.2">
      <c r="A908" t="s">
        <v>61</v>
      </c>
      <c r="B908" s="3">
        <v>2.3101242161471579E-7</v>
      </c>
      <c r="D908" t="s">
        <v>14</v>
      </c>
      <c r="E908" t="s">
        <v>9</v>
      </c>
      <c r="F908" t="s">
        <v>15</v>
      </c>
      <c r="H908" s="3"/>
      <c r="I908" s="2"/>
    </row>
    <row r="909" spans="1:9" customFormat="1" ht="16" x14ac:dyDescent="0.2">
      <c r="A909" t="s">
        <v>45</v>
      </c>
      <c r="B909" s="3">
        <v>1.0191724483002165E-7</v>
      </c>
      <c r="D909" t="s">
        <v>14</v>
      </c>
      <c r="E909" t="s">
        <v>9</v>
      </c>
      <c r="F909" t="s">
        <v>15</v>
      </c>
      <c r="H909" s="3"/>
      <c r="I909" s="2"/>
    </row>
    <row r="910" spans="1:9" customFormat="1" ht="16" x14ac:dyDescent="0.2">
      <c r="A910" t="s">
        <v>49</v>
      </c>
      <c r="B910" s="3">
        <v>2.9895725150139694E-8</v>
      </c>
      <c r="D910" t="s">
        <v>14</v>
      </c>
      <c r="E910" t="s">
        <v>9</v>
      </c>
      <c r="F910" t="s">
        <v>15</v>
      </c>
      <c r="H910" s="3"/>
      <c r="I910" s="2"/>
    </row>
    <row r="911" spans="1:9" customFormat="1" ht="16" x14ac:dyDescent="0.2">
      <c r="A911" t="s">
        <v>46</v>
      </c>
      <c r="B911" s="3">
        <v>8.2892692461750966E-8</v>
      </c>
      <c r="D911" t="s">
        <v>14</v>
      </c>
      <c r="E911" t="s">
        <v>9</v>
      </c>
      <c r="F911" t="s">
        <v>15</v>
      </c>
      <c r="H911" s="3"/>
      <c r="I911" s="2"/>
    </row>
    <row r="912" spans="1:9" customFormat="1" ht="16" x14ac:dyDescent="0.2">
      <c r="A912" t="s">
        <v>66</v>
      </c>
      <c r="B912" s="3">
        <v>0</v>
      </c>
      <c r="D912" t="s">
        <v>14</v>
      </c>
      <c r="E912" t="s">
        <v>9</v>
      </c>
      <c r="F912" t="s">
        <v>15</v>
      </c>
      <c r="H912" s="3"/>
      <c r="I912" s="2"/>
    </row>
    <row r="913" spans="1:12" customFormat="1" ht="16" x14ac:dyDescent="0.2">
      <c r="A913" t="s">
        <v>47</v>
      </c>
      <c r="B913" s="3">
        <v>2.5819035356938819E-8</v>
      </c>
      <c r="D913" t="s">
        <v>14</v>
      </c>
      <c r="E913" t="s">
        <v>9</v>
      </c>
      <c r="F913" t="s">
        <v>15</v>
      </c>
      <c r="H913" s="3"/>
      <c r="I913" s="2"/>
    </row>
    <row r="914" spans="1:12" customFormat="1" ht="16" x14ac:dyDescent="0.2">
      <c r="A914" t="s">
        <v>76</v>
      </c>
      <c r="B914" s="3">
        <v>1.3724855637109585E-7</v>
      </c>
      <c r="D914" t="s">
        <v>14</v>
      </c>
      <c r="E914" t="s">
        <v>9</v>
      </c>
      <c r="F914" t="s">
        <v>15</v>
      </c>
      <c r="H914" s="3"/>
      <c r="I914" s="2"/>
    </row>
    <row r="915" spans="1:12" customFormat="1" ht="16" x14ac:dyDescent="0.2">
      <c r="A915" t="s">
        <v>70</v>
      </c>
      <c r="B915" s="3">
        <v>8.1882352941176476E-10</v>
      </c>
      <c r="D915" t="s">
        <v>14</v>
      </c>
      <c r="E915" t="s">
        <v>9</v>
      </c>
      <c r="F915" t="s">
        <v>15</v>
      </c>
      <c r="H915" s="3"/>
      <c r="I915" s="2"/>
    </row>
    <row r="916" spans="1:12" customFormat="1" ht="16" x14ac:dyDescent="0.2">
      <c r="A916" t="s">
        <v>238</v>
      </c>
      <c r="B916" s="3">
        <v>7.0588235294117658E-12</v>
      </c>
      <c r="D916" t="s">
        <v>14</v>
      </c>
      <c r="E916" t="s">
        <v>9</v>
      </c>
      <c r="F916" t="s">
        <v>15</v>
      </c>
      <c r="H916" s="3"/>
      <c r="I916" s="2"/>
    </row>
    <row r="917" spans="1:12" customFormat="1" ht="16" x14ac:dyDescent="0.2">
      <c r="A917" t="s">
        <v>239</v>
      </c>
      <c r="B917" s="3">
        <v>4.7058823529411767E-12</v>
      </c>
      <c r="D917" t="s">
        <v>14</v>
      </c>
      <c r="E917" t="s">
        <v>9</v>
      </c>
      <c r="F917" t="s">
        <v>15</v>
      </c>
      <c r="H917" s="3"/>
      <c r="I917" s="2"/>
    </row>
    <row r="918" spans="1:12" customFormat="1" ht="16" x14ac:dyDescent="0.2">
      <c r="A918" t="s">
        <v>240</v>
      </c>
      <c r="B918" s="3">
        <v>5.082352941176471E-8</v>
      </c>
      <c r="D918" t="s">
        <v>14</v>
      </c>
      <c r="E918" t="s">
        <v>9</v>
      </c>
      <c r="F918" t="s">
        <v>15</v>
      </c>
      <c r="H918" s="3"/>
      <c r="I918" s="2"/>
    </row>
    <row r="919" spans="1:12" customFormat="1" ht="16" x14ac:dyDescent="0.2">
      <c r="A919" t="s">
        <v>241</v>
      </c>
      <c r="B919" s="3">
        <v>9.8823529411764698E-10</v>
      </c>
      <c r="D919" t="s">
        <v>14</v>
      </c>
      <c r="E919" t="s">
        <v>9</v>
      </c>
      <c r="F919" t="s">
        <v>15</v>
      </c>
      <c r="H919" s="3"/>
      <c r="I919" s="2"/>
    </row>
    <row r="920" spans="1:12" customFormat="1" ht="16" x14ac:dyDescent="0.2">
      <c r="A920" t="s">
        <v>242</v>
      </c>
      <c r="B920" s="3">
        <v>3.0588235294117649E-10</v>
      </c>
      <c r="D920" t="s">
        <v>14</v>
      </c>
      <c r="E920" t="s">
        <v>9</v>
      </c>
      <c r="F920" t="s">
        <v>15</v>
      </c>
      <c r="H920" s="3"/>
      <c r="I920" s="2"/>
    </row>
    <row r="921" spans="1:12" customFormat="1" ht="16" x14ac:dyDescent="0.2">
      <c r="A921" t="s">
        <v>243</v>
      </c>
      <c r="B921" s="3">
        <v>3.7647058823529416E-10</v>
      </c>
      <c r="D921" t="s">
        <v>14</v>
      </c>
      <c r="E921" t="s">
        <v>9</v>
      </c>
      <c r="F921" t="s">
        <v>15</v>
      </c>
      <c r="H921" s="3"/>
      <c r="I921" s="2"/>
    </row>
    <row r="922" spans="1:12" customFormat="1" ht="16" x14ac:dyDescent="0.2">
      <c r="A922" t="s">
        <v>56</v>
      </c>
      <c r="B922" s="3">
        <v>7.5294117647058818E-13</v>
      </c>
      <c r="D922" t="s">
        <v>14</v>
      </c>
      <c r="E922" t="s">
        <v>9</v>
      </c>
      <c r="F922" t="s">
        <v>15</v>
      </c>
      <c r="H922" s="3"/>
      <c r="I922" s="2"/>
    </row>
    <row r="923" spans="1:12" customFormat="1" ht="16" x14ac:dyDescent="0.2">
      <c r="A923" t="s">
        <v>244</v>
      </c>
      <c r="B923" s="3">
        <v>2.0470588235294119E-10</v>
      </c>
      <c r="D923" t="s">
        <v>14</v>
      </c>
      <c r="E923" t="s">
        <v>9</v>
      </c>
      <c r="F923" t="s">
        <v>15</v>
      </c>
      <c r="H923" s="3"/>
      <c r="I923" s="2"/>
    </row>
    <row r="924" spans="1:12" customFormat="1" ht="16" x14ac:dyDescent="0.2">
      <c r="A924" t="s">
        <v>245</v>
      </c>
      <c r="B924" s="3">
        <v>2.5411764705882359E-10</v>
      </c>
      <c r="D924" t="s">
        <v>14</v>
      </c>
      <c r="E924" t="s">
        <v>9</v>
      </c>
      <c r="F924" t="s">
        <v>15</v>
      </c>
      <c r="H924" s="3"/>
      <c r="I924" s="2"/>
    </row>
    <row r="925" spans="1:12" customFormat="1" ht="16" x14ac:dyDescent="0.2">
      <c r="B925" s="3"/>
    </row>
    <row r="926" spans="1:12" x14ac:dyDescent="0.2">
      <c r="A926" s="17" t="s">
        <v>2</v>
      </c>
      <c r="B926" s="17" t="s">
        <v>281</v>
      </c>
    </row>
    <row r="927" spans="1:12" customFormat="1" ht="16" x14ac:dyDescent="0.2">
      <c r="A927" s="2" t="s">
        <v>3</v>
      </c>
      <c r="B927" s="2" t="s">
        <v>18</v>
      </c>
      <c r="C927" s="2"/>
      <c r="D927" s="2"/>
      <c r="E927" s="2"/>
      <c r="F927" s="2"/>
      <c r="G927" s="2"/>
      <c r="H927" s="2"/>
      <c r="I927" s="2"/>
      <c r="J927" s="2"/>
      <c r="K927" s="2"/>
      <c r="L927" s="2"/>
    </row>
    <row r="928" spans="1:12" customFormat="1" ht="16" x14ac:dyDescent="0.2">
      <c r="A928" s="2" t="s">
        <v>4</v>
      </c>
      <c r="B928" s="2">
        <v>1</v>
      </c>
      <c r="C928" s="2"/>
      <c r="D928" s="2"/>
      <c r="E928" s="2"/>
      <c r="F928" s="2"/>
      <c r="G928" s="2"/>
      <c r="H928" s="2"/>
      <c r="I928" s="2"/>
      <c r="J928" s="2"/>
      <c r="K928" s="2"/>
      <c r="L928" s="2"/>
    </row>
    <row r="929" spans="1:12" customFormat="1" ht="16" x14ac:dyDescent="0.2">
      <c r="A929" s="2" t="s">
        <v>5</v>
      </c>
      <c r="B929" s="2" t="s">
        <v>1</v>
      </c>
      <c r="C929" s="2"/>
      <c r="D929" s="2"/>
      <c r="E929" s="2"/>
      <c r="F929" s="2"/>
      <c r="G929" s="2"/>
      <c r="H929" s="2"/>
      <c r="I929" s="2"/>
      <c r="J929" s="2"/>
    </row>
    <row r="930" spans="1:12" customFormat="1" ht="16" x14ac:dyDescent="0.2">
      <c r="A930" s="2" t="s">
        <v>6</v>
      </c>
      <c r="B930" s="2" t="s">
        <v>7</v>
      </c>
      <c r="C930" s="2"/>
      <c r="D930" s="2"/>
      <c r="E930" s="2"/>
      <c r="F930" s="2"/>
      <c r="G930" s="2"/>
      <c r="H930" s="2"/>
      <c r="I930" s="2"/>
      <c r="J930" s="2"/>
      <c r="K930" s="2"/>
      <c r="L930" s="2"/>
    </row>
    <row r="931" spans="1:12" customFormat="1" ht="16" x14ac:dyDescent="0.2">
      <c r="A931" s="2" t="s">
        <v>8</v>
      </c>
      <c r="B931" s="2" t="s">
        <v>17</v>
      </c>
      <c r="C931" s="2"/>
      <c r="D931" s="2"/>
      <c r="E931" s="2"/>
      <c r="F931" s="2"/>
      <c r="G931" s="2"/>
      <c r="H931" s="2"/>
      <c r="I931" s="2"/>
      <c r="J931" s="2"/>
      <c r="K931" s="2"/>
      <c r="L931" s="2"/>
    </row>
    <row r="932" spans="1:12" customFormat="1" ht="16" x14ac:dyDescent="0.2">
      <c r="A932" t="s">
        <v>355</v>
      </c>
      <c r="B932" s="2">
        <f>INDEX(Parameters!$B$6:$AL$54,MATCH(Inventories!$B$926,Parameters!$A$6:$A$54,0),MATCH(Inventories!$A932,Parameters!$B$4:$AL$4,0))</f>
        <v>20</v>
      </c>
      <c r="C932" t="s">
        <v>315</v>
      </c>
      <c r="D932" s="2"/>
      <c r="E932" s="2"/>
      <c r="F932" s="2"/>
      <c r="G932" s="2"/>
      <c r="H932" s="2"/>
      <c r="I932" s="2"/>
      <c r="J932" s="2"/>
      <c r="K932" s="2"/>
      <c r="L932" s="2"/>
    </row>
    <row r="933" spans="1:12" customFormat="1" ht="16" x14ac:dyDescent="0.2">
      <c r="A933" t="s">
        <v>356</v>
      </c>
      <c r="B933" s="2">
        <f>INDEX(Parameters!$B$6:$AL$54,MATCH(Inventories!$B$926,Parameters!$A$6:$A$54,0),MATCH(Inventories!$A933,Parameters!$B$4:$AL$4,0))</f>
        <v>9</v>
      </c>
      <c r="C933" t="s">
        <v>315</v>
      </c>
      <c r="D933" s="2"/>
      <c r="E933" s="2"/>
      <c r="F933" s="2"/>
      <c r="G933" s="2"/>
      <c r="H933" s="2"/>
      <c r="I933" s="2"/>
      <c r="J933" s="2"/>
      <c r="K933" s="2"/>
      <c r="L933" s="2"/>
    </row>
    <row r="934" spans="1:12" customFormat="1" ht="16" x14ac:dyDescent="0.2">
      <c r="A934" t="s">
        <v>357</v>
      </c>
      <c r="B934" s="2">
        <f>INDEX(Parameters!$B$6:$AL$54,MATCH(Inventories!$B$926,Parameters!$A$6:$A$54,0),MATCH(Inventories!$A934,Parameters!$B$4:$AL$4,0))</f>
        <v>92</v>
      </c>
      <c r="C934" t="s">
        <v>315</v>
      </c>
      <c r="D934" s="2"/>
      <c r="E934" s="2"/>
      <c r="F934" s="2"/>
      <c r="G934" s="2"/>
      <c r="H934" s="2"/>
      <c r="I934" s="2"/>
      <c r="J934" s="2"/>
      <c r="K934" s="2"/>
      <c r="L934" s="2"/>
    </row>
    <row r="935" spans="1:12" customFormat="1" ht="16" x14ac:dyDescent="0.2">
      <c r="A935" t="s">
        <v>319</v>
      </c>
      <c r="B935" s="24">
        <f>INDEX(Parameters!$B$6:$AL$54,MATCH(Inventories!$B$926,Parameters!$A$6:$A$54,0),MATCH(Inventories!$A935,Parameters!$B$4:$AL$4,0))</f>
        <v>100000</v>
      </c>
      <c r="C935" t="s">
        <v>316</v>
      </c>
      <c r="D935" s="2"/>
      <c r="E935" s="2"/>
      <c r="F935" s="2"/>
      <c r="G935" s="2"/>
      <c r="H935" s="2"/>
      <c r="I935" s="2"/>
      <c r="J935" s="2"/>
      <c r="K935" s="2"/>
      <c r="L935" s="2"/>
    </row>
    <row r="936" spans="1:12" customFormat="1" ht="16" x14ac:dyDescent="0.2">
      <c r="A936" t="s">
        <v>320</v>
      </c>
      <c r="B936" s="24">
        <f>INDEX(Parameters!$B$6:$AL$54,MATCH(Inventories!$B$926,Parameters!$A$6:$A$54,0),MATCH(Inventories!$A936,Parameters!$B$4:$AL$4,0))</f>
        <v>50000</v>
      </c>
      <c r="C936" t="s">
        <v>316</v>
      </c>
      <c r="D936" s="2"/>
      <c r="E936" s="2"/>
      <c r="F936" s="2"/>
      <c r="G936" s="2"/>
      <c r="H936" s="2"/>
      <c r="I936" s="2"/>
      <c r="J936" s="2"/>
      <c r="K936" s="2"/>
      <c r="L936" s="2"/>
    </row>
    <row r="937" spans="1:12" customFormat="1" ht="16" x14ac:dyDescent="0.2">
      <c r="A937" t="s">
        <v>321</v>
      </c>
      <c r="B937" s="24">
        <f>INDEX(Parameters!$B$6:$AL$54,MATCH(Inventories!$B$926,Parameters!$A$6:$A$54,0),MATCH(Inventories!$A937,Parameters!$B$4:$AL$4,0))</f>
        <v>200000</v>
      </c>
      <c r="C937" t="s">
        <v>316</v>
      </c>
      <c r="D937" s="2"/>
      <c r="E937" s="2"/>
      <c r="F937" s="2"/>
      <c r="G937" s="2"/>
      <c r="H937" s="2"/>
      <c r="I937" s="2"/>
      <c r="J937" s="2"/>
      <c r="K937" s="2"/>
      <c r="L937" s="2"/>
    </row>
    <row r="938" spans="1:12" customFormat="1" ht="16" x14ac:dyDescent="0.2">
      <c r="A938" t="s">
        <v>322</v>
      </c>
      <c r="B938" s="2">
        <f>INDEX(Parameters!$B$6:$AL$54,MATCH(Inventories!$B$926,Parameters!$A$6:$A$54,0),MATCH(Inventories!$A938,Parameters!$B$4:$AL$4,0))</f>
        <v>1300</v>
      </c>
      <c r="C938" t="s">
        <v>317</v>
      </c>
      <c r="D938" s="2"/>
      <c r="E938" s="2"/>
      <c r="F938" s="2"/>
      <c r="G938" s="2"/>
      <c r="H938" s="2"/>
      <c r="I938" s="2"/>
      <c r="J938" s="2"/>
      <c r="K938" s="2"/>
      <c r="L938" s="2"/>
    </row>
    <row r="939" spans="1:12" customFormat="1" ht="16" x14ac:dyDescent="0.2">
      <c r="A939" t="s">
        <v>323</v>
      </c>
      <c r="B939" s="2">
        <f>INDEX(Parameters!$B$6:$AL$54,MATCH(Inventories!$B$926,Parameters!$A$6:$A$54,0),MATCH(Inventories!$A939,Parameters!$B$4:$AL$4,0))</f>
        <v>800</v>
      </c>
      <c r="C939" t="s">
        <v>317</v>
      </c>
      <c r="D939" s="2"/>
      <c r="E939" s="2"/>
      <c r="F939" s="2"/>
      <c r="G939" s="2"/>
      <c r="H939" s="2"/>
      <c r="I939" s="2"/>
      <c r="J939" s="2"/>
      <c r="K939" s="2"/>
      <c r="L939" s="2"/>
    </row>
    <row r="940" spans="1:12" customFormat="1" ht="16" x14ac:dyDescent="0.2">
      <c r="A940" t="s">
        <v>324</v>
      </c>
      <c r="B940" s="2">
        <f>INDEX(Parameters!$B$6:$AL$54,MATCH(Inventories!$B$926,Parameters!$A$6:$A$54,0),MATCH(Inventories!$A940,Parameters!$B$4:$AL$4,0))</f>
        <v>1530</v>
      </c>
      <c r="C940" t="s">
        <v>317</v>
      </c>
      <c r="D940" s="2"/>
      <c r="E940" s="2"/>
      <c r="F940" s="2"/>
      <c r="G940" s="2"/>
      <c r="H940" s="2"/>
      <c r="I940" s="2"/>
      <c r="J940" s="2"/>
      <c r="K940" s="2"/>
      <c r="L940" s="2"/>
    </row>
    <row r="941" spans="1:12" customFormat="1" ht="16" x14ac:dyDescent="0.2">
      <c r="A941" t="s">
        <v>343</v>
      </c>
      <c r="B941" s="2">
        <f>INDEX(Parameters!$B$6:$AL$54,MATCH(Inventories!$B$926,Parameters!$A$6:$A$54,0),MATCH(Inventories!$A941,Parameters!$B$4:$AL$4,0))</f>
        <v>14</v>
      </c>
      <c r="C941" t="s">
        <v>339</v>
      </c>
      <c r="D941" s="2"/>
      <c r="E941" s="2"/>
      <c r="F941" s="2"/>
      <c r="G941" s="2"/>
      <c r="H941" s="2"/>
      <c r="I941" s="2"/>
      <c r="J941" s="2"/>
      <c r="K941" s="2"/>
      <c r="L941" s="2"/>
    </row>
    <row r="942" spans="1:12" customFormat="1" ht="16" x14ac:dyDescent="0.2">
      <c r="A942" t="s">
        <v>344</v>
      </c>
      <c r="B942" s="2">
        <f>INDEX(Parameters!$B$6:$AL$54,MATCH(Inventories!$B$926,Parameters!$A$6:$A$54,0),MATCH(Inventories!$A942,Parameters!$B$4:$AL$4,0))</f>
        <v>6</v>
      </c>
      <c r="C942" t="s">
        <v>339</v>
      </c>
      <c r="D942" s="2"/>
      <c r="E942" s="2"/>
      <c r="F942" s="2"/>
      <c r="G942" s="2"/>
      <c r="H942" s="2"/>
      <c r="I942" s="2"/>
      <c r="J942" s="2"/>
      <c r="K942" s="2"/>
      <c r="L942" s="2"/>
    </row>
    <row r="943" spans="1:12" customFormat="1" ht="16" x14ac:dyDescent="0.2">
      <c r="A943" t="s">
        <v>345</v>
      </c>
      <c r="B943" s="2">
        <f>INDEX(Parameters!$B$6:$AL$54,MATCH(Inventories!$B$926,Parameters!$A$6:$A$54,0),MATCH(Inventories!$A943,Parameters!$B$4:$AL$4,0))</f>
        <v>65</v>
      </c>
      <c r="C943" t="s">
        <v>339</v>
      </c>
      <c r="D943" s="2"/>
      <c r="E943" s="2"/>
      <c r="F943" s="2"/>
      <c r="G943" s="2"/>
      <c r="H943" s="2"/>
      <c r="I943" s="2"/>
      <c r="J943" s="2"/>
      <c r="K943" s="2"/>
      <c r="L943" s="2"/>
    </row>
    <row r="944" spans="1:12" customFormat="1" ht="16" x14ac:dyDescent="0.2">
      <c r="A944" t="s">
        <v>336</v>
      </c>
      <c r="B944" s="2">
        <f>INDEX(Parameters!$B$6:$AL$54,MATCH(Inventories!$B$926,Parameters!$A$6:$A$54,0),MATCH(Inventories!$A944,Parameters!$B$4:$AL$4,0))</f>
        <v>10</v>
      </c>
      <c r="C944" t="s">
        <v>339</v>
      </c>
      <c r="D944" s="2"/>
      <c r="E944" s="2"/>
      <c r="F944" s="2"/>
      <c r="G944" s="2"/>
      <c r="H944" s="2"/>
      <c r="I944" s="2"/>
      <c r="J944" s="2"/>
      <c r="K944" s="2"/>
      <c r="L944" s="2"/>
    </row>
    <row r="945" spans="1:13" customFormat="1" ht="16" x14ac:dyDescent="0.2">
      <c r="A945" t="s">
        <v>337</v>
      </c>
      <c r="B945" s="2">
        <f>INDEX(Parameters!$B$6:$AL$54,MATCH(Inventories!$B$926,Parameters!$A$6:$A$54,0),MATCH(Inventories!$A945,Parameters!$B$4:$AL$4,0))</f>
        <v>6</v>
      </c>
      <c r="C945" t="s">
        <v>339</v>
      </c>
      <c r="D945" s="2"/>
      <c r="E945" s="2"/>
      <c r="F945" s="2"/>
      <c r="G945" s="2"/>
      <c r="H945" s="2"/>
      <c r="I945" s="2"/>
      <c r="J945" s="2"/>
      <c r="K945" s="2"/>
      <c r="L945" s="2"/>
    </row>
    <row r="946" spans="1:13" customFormat="1" ht="16" x14ac:dyDescent="0.2">
      <c r="A946" t="s">
        <v>338</v>
      </c>
      <c r="B946" s="2">
        <f>INDEX(Parameters!$B$6:$AL$54,MATCH(Inventories!$B$926,Parameters!$A$6:$A$54,0),MATCH(Inventories!$A946,Parameters!$B$4:$AL$4,0))</f>
        <v>12</v>
      </c>
      <c r="C946" t="s">
        <v>339</v>
      </c>
      <c r="D946" s="2"/>
      <c r="E946" s="2"/>
      <c r="F946" s="2"/>
      <c r="G946" s="2"/>
      <c r="H946" s="2"/>
      <c r="I946" s="2"/>
      <c r="J946" s="2"/>
      <c r="K946" s="2"/>
      <c r="L946" s="2"/>
    </row>
    <row r="947" spans="1:13" customFormat="1" ht="16" x14ac:dyDescent="0.2">
      <c r="A947" t="s">
        <v>347</v>
      </c>
      <c r="B947" s="26">
        <f>INDEX(Parameters!$B$6:$AL$54,MATCH(Inventories!$B$926,Parameters!$A$6:$A$54,0),MATCH(Inventories!$A947,Parameters!$B$4:$AL$4,0))</f>
        <v>7.5811450000000001E-3</v>
      </c>
      <c r="C947" t="s">
        <v>348</v>
      </c>
      <c r="D947" s="2"/>
      <c r="E947" s="2"/>
      <c r="F947" s="2"/>
      <c r="G947" s="2"/>
      <c r="H947" s="2"/>
      <c r="I947" s="2"/>
      <c r="J947" s="2"/>
      <c r="K947" s="2"/>
      <c r="L947" s="2"/>
    </row>
    <row r="948" spans="1:13" customFormat="1" ht="16" x14ac:dyDescent="0.2">
      <c r="A948" t="s">
        <v>346</v>
      </c>
      <c r="B948" s="2">
        <f>INDEX(Parameters!$B$6:$AL$54,MATCH(Inventories!$B$926,Parameters!$A$6:$A$54,0),MATCH(Inventories!$A948,Parameters!$B$4:$AL$4,0))</f>
        <v>5.65099E-4</v>
      </c>
      <c r="C948" t="s">
        <v>348</v>
      </c>
      <c r="D948" s="2"/>
      <c r="E948" s="2"/>
      <c r="F948" s="2"/>
      <c r="G948" s="2"/>
      <c r="H948" s="2"/>
      <c r="I948" s="2"/>
      <c r="J948" s="2"/>
      <c r="K948" s="2"/>
      <c r="L948" s="2"/>
    </row>
    <row r="949" spans="1:13" customFormat="1" ht="16" x14ac:dyDescent="0.2">
      <c r="A949" s="1" t="s">
        <v>10</v>
      </c>
      <c r="B949" s="2"/>
      <c r="C949" s="2"/>
      <c r="D949" s="2"/>
      <c r="E949" s="2"/>
      <c r="F949" s="2"/>
      <c r="G949" s="2"/>
      <c r="H949" s="2"/>
      <c r="I949" s="2"/>
      <c r="J949" s="2"/>
      <c r="K949" s="2"/>
      <c r="L949" s="2"/>
    </row>
    <row r="950" spans="1:13" x14ac:dyDescent="0.2">
      <c r="A950" s="17" t="s">
        <v>11</v>
      </c>
      <c r="B950" s="17" t="s">
        <v>12</v>
      </c>
      <c r="C950" s="17" t="s">
        <v>3</v>
      </c>
      <c r="D950" s="17" t="s">
        <v>13</v>
      </c>
      <c r="E950" s="17" t="s">
        <v>8</v>
      </c>
      <c r="F950" s="17" t="s">
        <v>6</v>
      </c>
      <c r="G950" s="17" t="s">
        <v>5</v>
      </c>
      <c r="H950" s="17" t="s">
        <v>153</v>
      </c>
      <c r="I950" s="17" t="s">
        <v>182</v>
      </c>
      <c r="J950" s="17" t="s">
        <v>184</v>
      </c>
      <c r="K950" s="17" t="s">
        <v>185</v>
      </c>
    </row>
    <row r="951" spans="1:13" customFormat="1" ht="16" x14ac:dyDescent="0.2">
      <c r="A951" s="2" t="str">
        <f>B926</f>
        <v>petrol, synthetic, burned in motorcycle</v>
      </c>
      <c r="B951" s="2">
        <v>1</v>
      </c>
      <c r="C951" s="2" t="s">
        <v>18</v>
      </c>
      <c r="D951" s="2"/>
      <c r="E951" s="2" t="str">
        <f>B931</f>
        <v>megajoule</v>
      </c>
      <c r="F951" s="2" t="s">
        <v>19</v>
      </c>
      <c r="G951" s="2" t="str">
        <f>B929</f>
        <v>heat</v>
      </c>
      <c r="H951" s="2"/>
      <c r="I951" s="2"/>
      <c r="J951" s="2"/>
      <c r="K951" s="2"/>
      <c r="L951" s="2"/>
      <c r="M951" s="2"/>
    </row>
    <row r="952" spans="1:13" customFormat="1" ht="16" x14ac:dyDescent="0.2">
      <c r="A952" t="s">
        <v>282</v>
      </c>
      <c r="B952">
        <f>1/43</f>
        <v>2.3255813953488372E-2</v>
      </c>
      <c r="C952" t="s">
        <v>18</v>
      </c>
      <c r="E952" t="s">
        <v>9</v>
      </c>
      <c r="F952" t="s">
        <v>23</v>
      </c>
      <c r="G952" t="s">
        <v>283</v>
      </c>
      <c r="I952" s="2"/>
      <c r="J952" s="2"/>
      <c r="K952" s="2"/>
      <c r="L952" s="2"/>
      <c r="M952" s="2"/>
    </row>
    <row r="953" spans="1:13" customFormat="1" ht="16" x14ac:dyDescent="0.2">
      <c r="A953" s="2" t="s">
        <v>144</v>
      </c>
      <c r="B953" s="3">
        <f>(B941/B935)/(B938/1000)</f>
        <v>1.0769230769230768E-4</v>
      </c>
      <c r="C953" t="s">
        <v>114</v>
      </c>
      <c r="E953" t="s">
        <v>9</v>
      </c>
      <c r="F953" t="s">
        <v>23</v>
      </c>
      <c r="G953" t="s">
        <v>145</v>
      </c>
      <c r="H953" s="2"/>
      <c r="I953">
        <v>5</v>
      </c>
      <c r="J953" s="12">
        <f>(B942/B937)/(B940/1000)</f>
        <v>1.9607843137254903E-5</v>
      </c>
      <c r="K953" s="3">
        <f>(B943/B936)/(B939/1000)</f>
        <v>1.6249999999999999E-3</v>
      </c>
    </row>
    <row r="954" spans="1:13" customFormat="1" ht="16" x14ac:dyDescent="0.2">
      <c r="A954" s="2" t="s">
        <v>361</v>
      </c>
      <c r="B954" s="3">
        <f>(B944/B935)/(B938/1000)</f>
        <v>7.6923076923076926E-5</v>
      </c>
      <c r="C954" t="s">
        <v>114</v>
      </c>
      <c r="E954" t="s">
        <v>9</v>
      </c>
      <c r="F954" t="s">
        <v>23</v>
      </c>
      <c r="G954" s="2" t="s">
        <v>360</v>
      </c>
      <c r="H954" s="2" t="s">
        <v>364</v>
      </c>
      <c r="I954">
        <v>5</v>
      </c>
      <c r="J954" s="12">
        <f>(B945/B937)/(B940/1000)</f>
        <v>1.9607843137254903E-5</v>
      </c>
      <c r="K954" s="3">
        <f>(B946/B936)/(B939/1000)</f>
        <v>2.9999999999999997E-4</v>
      </c>
    </row>
    <row r="955" spans="1:13" customFormat="1" ht="16" x14ac:dyDescent="0.2">
      <c r="A955" s="2" t="s">
        <v>362</v>
      </c>
      <c r="B955" s="3">
        <f>(B944/B935)/(B938/1000)</f>
        <v>7.6923076923076926E-5</v>
      </c>
      <c r="C955" t="s">
        <v>114</v>
      </c>
      <c r="E955" t="s">
        <v>9</v>
      </c>
      <c r="F955" t="s">
        <v>23</v>
      </c>
      <c r="G955" s="2" t="s">
        <v>363</v>
      </c>
      <c r="H955" s="2" t="s">
        <v>364</v>
      </c>
      <c r="I955">
        <v>5</v>
      </c>
      <c r="J955" s="12">
        <f>(B945/B937)/(B940/1000)</f>
        <v>1.9607843137254903E-5</v>
      </c>
      <c r="K955" s="3">
        <f>(B946/B936)/(B939/1000)</f>
        <v>2.9999999999999997E-4</v>
      </c>
    </row>
    <row r="956" spans="1:13" customFormat="1" ht="16" x14ac:dyDescent="0.2">
      <c r="A956" t="s">
        <v>123</v>
      </c>
      <c r="B956" s="3">
        <f>B952*3.15</f>
        <v>7.3255813953488375E-2</v>
      </c>
      <c r="D956" t="s">
        <v>14</v>
      </c>
      <c r="E956" t="s">
        <v>9</v>
      </c>
      <c r="F956" t="s">
        <v>15</v>
      </c>
      <c r="H956" s="3" t="s">
        <v>301</v>
      </c>
      <c r="I956" s="2"/>
      <c r="J956" s="2"/>
      <c r="K956" s="2"/>
      <c r="L956" s="2"/>
      <c r="M956" s="2"/>
    </row>
    <row r="957" spans="1:13" customFormat="1" ht="16" x14ac:dyDescent="0.2">
      <c r="A957" t="s">
        <v>233</v>
      </c>
      <c r="B957" s="3">
        <v>8.8450704225352119E-4</v>
      </c>
      <c r="D957" t="s">
        <v>14</v>
      </c>
      <c r="E957" t="s">
        <v>9</v>
      </c>
      <c r="F957" t="s">
        <v>15</v>
      </c>
      <c r="H957" s="3"/>
      <c r="I957" s="2"/>
      <c r="J957" s="2"/>
      <c r="K957" s="2"/>
      <c r="L957" s="2"/>
      <c r="M957" s="2"/>
    </row>
    <row r="958" spans="1:13" customFormat="1" ht="16" x14ac:dyDescent="0.2">
      <c r="A958" t="s">
        <v>77</v>
      </c>
      <c r="B958" s="3">
        <v>3.7558685446009391E-7</v>
      </c>
      <c r="D958" t="s">
        <v>14</v>
      </c>
      <c r="E958" t="s">
        <v>9</v>
      </c>
      <c r="F958" t="s">
        <v>15</v>
      </c>
      <c r="H958" s="3"/>
      <c r="I958" s="2"/>
      <c r="J958" s="2"/>
      <c r="K958" s="2"/>
      <c r="L958" s="2"/>
      <c r="M958" s="2"/>
    </row>
    <row r="959" spans="1:13" customFormat="1" ht="16" x14ac:dyDescent="0.2">
      <c r="A959" t="s">
        <v>50</v>
      </c>
      <c r="B959" s="3">
        <v>7.6234099132856199E-7</v>
      </c>
      <c r="D959" t="s">
        <v>14</v>
      </c>
      <c r="E959" t="s">
        <v>9</v>
      </c>
      <c r="F959" t="s">
        <v>15</v>
      </c>
      <c r="H959" s="3"/>
      <c r="I959" s="2"/>
      <c r="J959" s="2"/>
      <c r="K959" s="2"/>
      <c r="L959" s="2"/>
      <c r="M959" s="2"/>
    </row>
    <row r="960" spans="1:13" customFormat="1" ht="16" x14ac:dyDescent="0.2">
      <c r="A960" t="s">
        <v>180</v>
      </c>
      <c r="B960" s="3">
        <v>1.8797075715851682E-5</v>
      </c>
      <c r="D960" t="s">
        <v>14</v>
      </c>
      <c r="E960" t="s">
        <v>9</v>
      </c>
      <c r="F960" t="s">
        <v>15</v>
      </c>
      <c r="H960" s="3"/>
      <c r="I960" s="2"/>
      <c r="J960" s="2"/>
      <c r="K960" s="2"/>
      <c r="L960" s="2"/>
      <c r="M960" s="2"/>
    </row>
    <row r="961" spans="1:13" customFormat="1" ht="16" x14ac:dyDescent="0.2">
      <c r="A961" t="s">
        <v>124</v>
      </c>
      <c r="B961" s="3">
        <v>8.3455151885463482E-5</v>
      </c>
      <c r="D961" t="s">
        <v>14</v>
      </c>
      <c r="E961" t="s">
        <v>9</v>
      </c>
      <c r="F961" t="s">
        <v>15</v>
      </c>
      <c r="H961" s="3"/>
      <c r="I961" s="2"/>
      <c r="J961" s="2"/>
      <c r="K961" s="2"/>
      <c r="L961" s="2"/>
      <c r="M961" s="2"/>
    </row>
    <row r="962" spans="1:13" customFormat="1" ht="16" x14ac:dyDescent="0.2">
      <c r="A962" t="s">
        <v>58</v>
      </c>
      <c r="B962" s="3">
        <v>5.6532558543914833E-7</v>
      </c>
      <c r="D962" t="s">
        <v>14</v>
      </c>
      <c r="E962" t="s">
        <v>9</v>
      </c>
      <c r="F962" t="s">
        <v>15</v>
      </c>
      <c r="H962" s="3"/>
      <c r="I962" s="2"/>
      <c r="J962" s="2"/>
      <c r="K962" s="2"/>
      <c r="L962" s="2"/>
      <c r="M962" s="2"/>
    </row>
    <row r="963" spans="1:13" customFormat="1" ht="16" x14ac:dyDescent="0.2">
      <c r="A963" t="s">
        <v>48</v>
      </c>
      <c r="B963" s="3">
        <v>5.6532558543914833E-7</v>
      </c>
      <c r="D963" t="s">
        <v>14</v>
      </c>
      <c r="E963" t="s">
        <v>9</v>
      </c>
      <c r="F963" t="s">
        <v>15</v>
      </c>
      <c r="H963" s="3"/>
      <c r="I963" s="2"/>
      <c r="J963" s="2"/>
      <c r="K963" s="2"/>
      <c r="L963" s="2"/>
      <c r="M963" s="2"/>
    </row>
    <row r="964" spans="1:13" customFormat="1" ht="16" x14ac:dyDescent="0.2">
      <c r="A964" t="s">
        <v>69</v>
      </c>
      <c r="B964" s="3">
        <f>B947/1000</f>
        <v>7.5811449999999999E-6</v>
      </c>
      <c r="D964" t="s">
        <v>14</v>
      </c>
      <c r="E964" t="s">
        <v>9</v>
      </c>
      <c r="F964" t="s">
        <v>15</v>
      </c>
      <c r="H964" s="3"/>
      <c r="I964" s="2"/>
      <c r="J964" s="2"/>
      <c r="K964" s="2"/>
      <c r="L964" s="2"/>
      <c r="M964" s="2"/>
    </row>
    <row r="965" spans="1:13" customFormat="1" ht="16" x14ac:dyDescent="0.2">
      <c r="A965" t="s">
        <v>234</v>
      </c>
      <c r="B965" s="3">
        <f>B948/1000</f>
        <v>5.6509899999999997E-7</v>
      </c>
      <c r="D965" t="s">
        <v>14</v>
      </c>
      <c r="E965" t="s">
        <v>9</v>
      </c>
      <c r="F965" t="s">
        <v>15</v>
      </c>
      <c r="H965" s="3"/>
      <c r="I965" s="2"/>
      <c r="J965" s="2"/>
      <c r="K965" s="2"/>
      <c r="L965" s="2"/>
      <c r="M965" s="2"/>
    </row>
    <row r="966" spans="1:13" customFormat="1" ht="16" x14ac:dyDescent="0.2">
      <c r="A966" t="s">
        <v>235</v>
      </c>
      <c r="B966" s="3">
        <v>6.1476482081469075E-6</v>
      </c>
      <c r="D966" t="s">
        <v>14</v>
      </c>
      <c r="E966" t="s">
        <v>9</v>
      </c>
      <c r="F966" t="s">
        <v>15</v>
      </c>
      <c r="H966" s="3"/>
      <c r="I966" s="2"/>
      <c r="J966" s="2"/>
      <c r="K966" s="2"/>
      <c r="L966" s="2"/>
      <c r="M966" s="2"/>
    </row>
    <row r="967" spans="1:13" customFormat="1" ht="16" x14ac:dyDescent="0.2">
      <c r="A967" t="s">
        <v>59</v>
      </c>
      <c r="B967" s="3">
        <v>4.3348801467702544E-7</v>
      </c>
      <c r="D967" t="s">
        <v>14</v>
      </c>
      <c r="E967" t="s">
        <v>9</v>
      </c>
      <c r="F967" t="s">
        <v>15</v>
      </c>
      <c r="H967" s="3"/>
      <c r="I967" s="2"/>
      <c r="J967" s="2"/>
      <c r="K967" s="2"/>
      <c r="L967" s="2"/>
      <c r="M967" s="2"/>
    </row>
    <row r="968" spans="1:13" customFormat="1" ht="16" x14ac:dyDescent="0.2">
      <c r="A968" t="s">
        <v>73</v>
      </c>
      <c r="B968" s="3">
        <v>8.8328278852685434E-8</v>
      </c>
      <c r="D968" t="s">
        <v>14</v>
      </c>
      <c r="E968" t="s">
        <v>9</v>
      </c>
      <c r="F968" t="s">
        <v>15</v>
      </c>
      <c r="H968" s="3"/>
      <c r="I968" s="2"/>
      <c r="J968" s="2"/>
      <c r="K968" s="2"/>
      <c r="L968" s="2"/>
      <c r="M968" s="2"/>
    </row>
    <row r="969" spans="1:13" customFormat="1" ht="16" x14ac:dyDescent="0.2">
      <c r="A969" t="s">
        <v>51</v>
      </c>
      <c r="B969" s="3">
        <v>7.1206181721241788E-7</v>
      </c>
      <c r="D969" t="s">
        <v>14</v>
      </c>
      <c r="E969" t="s">
        <v>9</v>
      </c>
      <c r="F969" t="s">
        <v>15</v>
      </c>
      <c r="H969" s="3"/>
      <c r="I969" s="2"/>
      <c r="J969" s="2"/>
      <c r="K969" s="2"/>
      <c r="L969" s="2"/>
      <c r="M969" s="2"/>
    </row>
    <row r="970" spans="1:13" customFormat="1" ht="16" x14ac:dyDescent="0.2">
      <c r="A970" t="s">
        <v>72</v>
      </c>
      <c r="B970" s="3">
        <v>2.9216276851272876E-7</v>
      </c>
      <c r="D970" t="s">
        <v>14</v>
      </c>
      <c r="E970" t="s">
        <v>9</v>
      </c>
      <c r="F970" t="s">
        <v>15</v>
      </c>
      <c r="H970" s="3"/>
      <c r="I970" s="2"/>
      <c r="J970" s="2"/>
      <c r="K970" s="2"/>
      <c r="L970" s="2"/>
      <c r="M970" s="2"/>
    </row>
    <row r="971" spans="1:13" customFormat="1" ht="16" x14ac:dyDescent="0.2">
      <c r="A971" t="s">
        <v>85</v>
      </c>
      <c r="B971" s="3">
        <v>2.1878235223511317E-7</v>
      </c>
      <c r="D971" t="s">
        <v>14</v>
      </c>
      <c r="E971" t="s">
        <v>9</v>
      </c>
      <c r="F971" t="s">
        <v>15</v>
      </c>
      <c r="H971" s="3"/>
      <c r="I971" s="2"/>
      <c r="J971" s="2"/>
      <c r="K971" s="2"/>
      <c r="L971" s="2"/>
      <c r="M971" s="2"/>
    </row>
    <row r="972" spans="1:13" customFormat="1" ht="16" x14ac:dyDescent="0.2">
      <c r="A972" t="s">
        <v>236</v>
      </c>
      <c r="B972" s="3">
        <v>1.5491421214163292E-7</v>
      </c>
      <c r="D972" t="s">
        <v>14</v>
      </c>
      <c r="E972" t="s">
        <v>9</v>
      </c>
      <c r="F972" t="s">
        <v>15</v>
      </c>
      <c r="H972" s="3"/>
      <c r="I972" s="2"/>
      <c r="J972" s="2"/>
      <c r="K972" s="2"/>
      <c r="L972" s="2"/>
      <c r="M972" s="2"/>
    </row>
    <row r="973" spans="1:13" customFormat="1" ht="16" x14ac:dyDescent="0.2">
      <c r="A973" t="s">
        <v>62</v>
      </c>
      <c r="B973" s="3">
        <v>1.0055834823228804E-7</v>
      </c>
      <c r="D973" t="s">
        <v>14</v>
      </c>
      <c r="E973" t="s">
        <v>9</v>
      </c>
      <c r="F973" t="s">
        <v>15</v>
      </c>
      <c r="H973" s="3"/>
      <c r="I973" s="2"/>
      <c r="J973" s="2"/>
      <c r="K973" s="2"/>
      <c r="L973" s="2"/>
      <c r="M973" s="2"/>
    </row>
    <row r="974" spans="1:13" customFormat="1" ht="16" x14ac:dyDescent="0.2">
      <c r="A974" t="s">
        <v>237</v>
      </c>
      <c r="B974" s="3">
        <v>9.9199451634554413E-7</v>
      </c>
      <c r="D974" t="s">
        <v>14</v>
      </c>
      <c r="E974" t="s">
        <v>9</v>
      </c>
      <c r="F974" t="s">
        <v>15</v>
      </c>
      <c r="H974" s="3"/>
      <c r="I974" s="2"/>
      <c r="J974" s="2"/>
      <c r="K974" s="2"/>
      <c r="L974" s="2"/>
      <c r="M974" s="2"/>
    </row>
    <row r="975" spans="1:13" customFormat="1" ht="16" x14ac:dyDescent="0.2">
      <c r="A975" t="s">
        <v>86</v>
      </c>
      <c r="B975" s="3">
        <v>5.1909850033424364E-7</v>
      </c>
      <c r="D975" t="s">
        <v>14</v>
      </c>
      <c r="E975" t="s">
        <v>9</v>
      </c>
      <c r="F975" t="s">
        <v>15</v>
      </c>
      <c r="H975" s="3"/>
      <c r="I975" s="2"/>
      <c r="J975" s="2"/>
      <c r="K975" s="2"/>
      <c r="L975" s="2"/>
      <c r="M975" s="2"/>
    </row>
    <row r="976" spans="1:13" customFormat="1" ht="16" x14ac:dyDescent="0.2">
      <c r="A976" t="s">
        <v>83</v>
      </c>
      <c r="B976" s="3">
        <v>1.4947862575069847E-8</v>
      </c>
      <c r="D976" t="s">
        <v>14</v>
      </c>
      <c r="E976" t="s">
        <v>9</v>
      </c>
      <c r="F976" t="s">
        <v>15</v>
      </c>
      <c r="H976" s="3"/>
      <c r="I976" s="2"/>
      <c r="J976" s="2"/>
      <c r="K976" s="2"/>
      <c r="L976" s="2"/>
      <c r="M976" s="2"/>
    </row>
    <row r="977" spans="1:13" customFormat="1" ht="16" x14ac:dyDescent="0.2">
      <c r="A977" t="s">
        <v>78</v>
      </c>
      <c r="B977" s="3">
        <v>1.4920684643115172E-6</v>
      </c>
      <c r="D977" t="s">
        <v>14</v>
      </c>
      <c r="E977" t="s">
        <v>9</v>
      </c>
      <c r="F977" t="s">
        <v>15</v>
      </c>
      <c r="H977" s="3"/>
      <c r="I977" s="2"/>
      <c r="J977" s="2"/>
      <c r="K977" s="2"/>
      <c r="L977" s="2"/>
      <c r="M977" s="2"/>
    </row>
    <row r="978" spans="1:13" customFormat="1" ht="16" x14ac:dyDescent="0.2">
      <c r="A978" t="s">
        <v>80</v>
      </c>
      <c r="B978" s="3">
        <v>7.3788085256935697E-7</v>
      </c>
      <c r="D978" t="s">
        <v>14</v>
      </c>
      <c r="E978" t="s">
        <v>9</v>
      </c>
      <c r="F978" t="s">
        <v>15</v>
      </c>
      <c r="H978" s="3"/>
      <c r="I978" s="2"/>
      <c r="J978" s="2"/>
      <c r="K978" s="2"/>
      <c r="L978" s="2"/>
      <c r="M978" s="2"/>
    </row>
    <row r="979" spans="1:13" customFormat="1" ht="16" x14ac:dyDescent="0.2">
      <c r="A979" t="s">
        <v>81</v>
      </c>
      <c r="B979" s="3">
        <v>3.0711063108779858E-7</v>
      </c>
      <c r="D979" t="s">
        <v>14</v>
      </c>
      <c r="E979" t="s">
        <v>9</v>
      </c>
      <c r="F979" t="s">
        <v>15</v>
      </c>
      <c r="H979" s="3"/>
      <c r="I979" s="2"/>
      <c r="J979" s="2"/>
      <c r="K979" s="2"/>
      <c r="L979" s="2"/>
      <c r="M979" s="2"/>
    </row>
    <row r="980" spans="1:13" customFormat="1" ht="16" x14ac:dyDescent="0.2">
      <c r="A980" t="s">
        <v>61</v>
      </c>
      <c r="B980" s="3">
        <v>2.3101242161471579E-7</v>
      </c>
      <c r="D980" t="s">
        <v>14</v>
      </c>
      <c r="E980" t="s">
        <v>9</v>
      </c>
      <c r="F980" t="s">
        <v>15</v>
      </c>
      <c r="H980" s="3"/>
      <c r="I980" s="2"/>
      <c r="J980" s="2"/>
      <c r="K980" s="2"/>
      <c r="L980" s="2"/>
      <c r="M980" s="2"/>
    </row>
    <row r="981" spans="1:13" customFormat="1" ht="16" x14ac:dyDescent="0.2">
      <c r="A981" t="s">
        <v>45</v>
      </c>
      <c r="B981" s="3">
        <v>1.0191724483002165E-7</v>
      </c>
      <c r="D981" t="s">
        <v>14</v>
      </c>
      <c r="E981" t="s">
        <v>9</v>
      </c>
      <c r="F981" t="s">
        <v>15</v>
      </c>
      <c r="H981" s="3"/>
      <c r="I981" s="2"/>
      <c r="J981" s="2"/>
      <c r="K981" s="2"/>
      <c r="L981" s="2"/>
      <c r="M981" s="2"/>
    </row>
    <row r="982" spans="1:13" customFormat="1" ht="16" x14ac:dyDescent="0.2">
      <c r="A982" t="s">
        <v>49</v>
      </c>
      <c r="B982" s="3">
        <v>2.9895725150139694E-8</v>
      </c>
      <c r="D982" t="s">
        <v>14</v>
      </c>
      <c r="E982" t="s">
        <v>9</v>
      </c>
      <c r="F982" t="s">
        <v>15</v>
      </c>
      <c r="H982" s="3"/>
      <c r="I982" s="2"/>
      <c r="J982" s="2"/>
      <c r="K982" s="2"/>
      <c r="L982" s="2"/>
      <c r="M982" s="2"/>
    </row>
    <row r="983" spans="1:13" customFormat="1" ht="16" x14ac:dyDescent="0.2">
      <c r="A983" t="s">
        <v>46</v>
      </c>
      <c r="B983" s="3">
        <v>8.2892692461750966E-8</v>
      </c>
      <c r="D983" t="s">
        <v>14</v>
      </c>
      <c r="E983" t="s">
        <v>9</v>
      </c>
      <c r="F983" t="s">
        <v>15</v>
      </c>
      <c r="H983" s="3"/>
      <c r="I983" s="2"/>
      <c r="J983" s="2"/>
      <c r="K983" s="2"/>
      <c r="L983" s="2"/>
      <c r="M983" s="2"/>
    </row>
    <row r="984" spans="1:13" customFormat="1" ht="16" x14ac:dyDescent="0.2">
      <c r="A984" t="s">
        <v>66</v>
      </c>
      <c r="B984" s="3">
        <v>0</v>
      </c>
      <c r="D984" t="s">
        <v>14</v>
      </c>
      <c r="E984" t="s">
        <v>9</v>
      </c>
      <c r="F984" t="s">
        <v>15</v>
      </c>
      <c r="H984" s="3"/>
      <c r="I984" s="2"/>
      <c r="J984" s="2"/>
      <c r="K984" s="2"/>
      <c r="L984" s="2"/>
      <c r="M984" s="2"/>
    </row>
    <row r="985" spans="1:13" customFormat="1" ht="16" x14ac:dyDescent="0.2">
      <c r="A985" t="s">
        <v>47</v>
      </c>
      <c r="B985" s="3">
        <v>2.5819035356938819E-8</v>
      </c>
      <c r="D985" t="s">
        <v>14</v>
      </c>
      <c r="E985" t="s">
        <v>9</v>
      </c>
      <c r="F985" t="s">
        <v>15</v>
      </c>
      <c r="H985" s="3"/>
      <c r="I985" s="2"/>
      <c r="J985" s="2"/>
      <c r="K985" s="2"/>
      <c r="L985" s="2"/>
      <c r="M985" s="2"/>
    </row>
    <row r="986" spans="1:13" customFormat="1" ht="16" x14ac:dyDescent="0.2">
      <c r="A986" t="s">
        <v>76</v>
      </c>
      <c r="B986" s="3">
        <v>1.3724855637109585E-7</v>
      </c>
      <c r="D986" t="s">
        <v>14</v>
      </c>
      <c r="E986" t="s">
        <v>9</v>
      </c>
      <c r="F986" t="s">
        <v>15</v>
      </c>
      <c r="H986" s="3"/>
      <c r="I986" s="2"/>
      <c r="J986" s="2"/>
      <c r="K986" s="2"/>
      <c r="L986" s="2"/>
      <c r="M986" s="2"/>
    </row>
    <row r="987" spans="1:13" customFormat="1" ht="16" x14ac:dyDescent="0.2">
      <c r="A987" t="s">
        <v>70</v>
      </c>
      <c r="B987" s="3">
        <v>8.1882352941176476E-10</v>
      </c>
      <c r="D987" t="s">
        <v>14</v>
      </c>
      <c r="E987" t="s">
        <v>9</v>
      </c>
      <c r="F987" t="s">
        <v>15</v>
      </c>
      <c r="H987" s="3"/>
      <c r="I987" s="2"/>
      <c r="J987" s="2"/>
      <c r="K987" s="2"/>
      <c r="L987" s="2"/>
      <c r="M987" s="2"/>
    </row>
    <row r="988" spans="1:13" customFormat="1" ht="16" x14ac:dyDescent="0.2">
      <c r="A988" t="s">
        <v>238</v>
      </c>
      <c r="B988" s="3">
        <v>7.0588235294117658E-12</v>
      </c>
      <c r="D988" t="s">
        <v>14</v>
      </c>
      <c r="E988" t="s">
        <v>9</v>
      </c>
      <c r="F988" t="s">
        <v>15</v>
      </c>
      <c r="H988" s="3"/>
      <c r="I988" s="2"/>
      <c r="J988" s="2"/>
      <c r="K988" s="2"/>
      <c r="L988" s="2"/>
      <c r="M988" s="2"/>
    </row>
    <row r="989" spans="1:13" customFormat="1" ht="16" x14ac:dyDescent="0.2">
      <c r="A989" t="s">
        <v>239</v>
      </c>
      <c r="B989" s="3">
        <v>4.7058823529411767E-12</v>
      </c>
      <c r="D989" t="s">
        <v>14</v>
      </c>
      <c r="E989" t="s">
        <v>9</v>
      </c>
      <c r="F989" t="s">
        <v>15</v>
      </c>
      <c r="H989" s="3"/>
      <c r="I989" s="2"/>
      <c r="J989" s="2"/>
      <c r="K989" s="2"/>
      <c r="L989" s="2"/>
      <c r="M989" s="2"/>
    </row>
    <row r="990" spans="1:13" customFormat="1" ht="16" x14ac:dyDescent="0.2">
      <c r="A990" t="s">
        <v>240</v>
      </c>
      <c r="B990" s="3">
        <v>5.082352941176471E-8</v>
      </c>
      <c r="D990" t="s">
        <v>14</v>
      </c>
      <c r="E990" t="s">
        <v>9</v>
      </c>
      <c r="F990" t="s">
        <v>15</v>
      </c>
      <c r="H990" s="3"/>
      <c r="I990" s="2"/>
      <c r="J990" s="2"/>
      <c r="K990" s="2"/>
      <c r="L990" s="2"/>
      <c r="M990" s="2"/>
    </row>
    <row r="991" spans="1:13" customFormat="1" ht="16" x14ac:dyDescent="0.2">
      <c r="A991" t="s">
        <v>241</v>
      </c>
      <c r="B991" s="3">
        <v>9.8823529411764698E-10</v>
      </c>
      <c r="D991" t="s">
        <v>14</v>
      </c>
      <c r="E991" t="s">
        <v>9</v>
      </c>
      <c r="F991" t="s">
        <v>15</v>
      </c>
      <c r="H991" s="3"/>
      <c r="I991" s="2"/>
      <c r="J991" s="2"/>
      <c r="K991" s="2"/>
      <c r="L991" s="2"/>
      <c r="M991" s="2"/>
    </row>
    <row r="992" spans="1:13" customFormat="1" ht="16" x14ac:dyDescent="0.2">
      <c r="A992" t="s">
        <v>242</v>
      </c>
      <c r="B992" s="3">
        <v>3.0588235294117649E-10</v>
      </c>
      <c r="D992" t="s">
        <v>14</v>
      </c>
      <c r="E992" t="s">
        <v>9</v>
      </c>
      <c r="F992" t="s">
        <v>15</v>
      </c>
      <c r="H992" s="3"/>
      <c r="I992" s="2"/>
      <c r="J992" s="2"/>
      <c r="K992" s="2"/>
      <c r="L992" s="2"/>
      <c r="M992" s="2"/>
    </row>
    <row r="993" spans="1:13" customFormat="1" ht="16" x14ac:dyDescent="0.2">
      <c r="A993" t="s">
        <v>243</v>
      </c>
      <c r="B993" s="3">
        <v>3.7647058823529416E-10</v>
      </c>
      <c r="D993" t="s">
        <v>14</v>
      </c>
      <c r="E993" t="s">
        <v>9</v>
      </c>
      <c r="F993" t="s">
        <v>15</v>
      </c>
      <c r="H993" s="3"/>
      <c r="I993" s="2"/>
      <c r="J993" s="2"/>
      <c r="K993" s="2"/>
      <c r="L993" s="2"/>
      <c r="M993" s="2"/>
    </row>
    <row r="994" spans="1:13" customFormat="1" ht="16" x14ac:dyDescent="0.2">
      <c r="A994" t="s">
        <v>56</v>
      </c>
      <c r="B994" s="3">
        <v>7.5294117647058818E-13</v>
      </c>
      <c r="D994" t="s">
        <v>14</v>
      </c>
      <c r="E994" t="s">
        <v>9</v>
      </c>
      <c r="F994" t="s">
        <v>15</v>
      </c>
      <c r="H994" s="3"/>
      <c r="I994" s="2"/>
      <c r="J994" s="2"/>
      <c r="K994" s="2"/>
      <c r="L994" s="2"/>
      <c r="M994" s="2"/>
    </row>
    <row r="995" spans="1:13" customFormat="1" ht="16" x14ac:dyDescent="0.2">
      <c r="A995" t="s">
        <v>244</v>
      </c>
      <c r="B995" s="3">
        <v>2.0470588235294119E-10</v>
      </c>
      <c r="D995" t="s">
        <v>14</v>
      </c>
      <c r="E995" t="s">
        <v>9</v>
      </c>
      <c r="F995" t="s">
        <v>15</v>
      </c>
      <c r="H995" s="3"/>
      <c r="I995" s="2"/>
      <c r="J995" s="2"/>
      <c r="K995" s="2"/>
      <c r="L995" s="2"/>
      <c r="M995" s="2"/>
    </row>
    <row r="996" spans="1:13" customFormat="1" ht="16" x14ac:dyDescent="0.2">
      <c r="A996" t="s">
        <v>245</v>
      </c>
      <c r="B996" s="3">
        <v>2.5411764705882359E-10</v>
      </c>
      <c r="D996" t="s">
        <v>14</v>
      </c>
      <c r="E996" t="s">
        <v>9</v>
      </c>
      <c r="F996" t="s">
        <v>15</v>
      </c>
      <c r="H996" s="3"/>
      <c r="I996" s="2"/>
      <c r="J996" s="2"/>
      <c r="K996" s="2"/>
      <c r="L996" s="2"/>
      <c r="M996" s="2"/>
    </row>
    <row r="997" spans="1:13" customFormat="1" ht="16" x14ac:dyDescent="0.2">
      <c r="B997" s="3"/>
    </row>
    <row r="998" spans="1:13" x14ac:dyDescent="0.2">
      <c r="A998" s="17" t="s">
        <v>2</v>
      </c>
      <c r="B998" s="17" t="s">
        <v>89</v>
      </c>
    </row>
    <row r="999" spans="1:13" customFormat="1" ht="16" x14ac:dyDescent="0.2">
      <c r="A999" t="s">
        <v>3</v>
      </c>
      <c r="B999" t="s">
        <v>18</v>
      </c>
    </row>
    <row r="1000" spans="1:13" customFormat="1" ht="16" x14ac:dyDescent="0.2">
      <c r="A1000" t="s">
        <v>4</v>
      </c>
      <c r="B1000">
        <v>1</v>
      </c>
    </row>
    <row r="1001" spans="1:13" customFormat="1" ht="16" x14ac:dyDescent="0.2">
      <c r="A1001" t="s">
        <v>5</v>
      </c>
      <c r="B1001" t="s">
        <v>1</v>
      </c>
    </row>
    <row r="1002" spans="1:13" customFormat="1" ht="16" x14ac:dyDescent="0.2">
      <c r="A1002" t="s">
        <v>6</v>
      </c>
      <c r="B1002" t="s">
        <v>7</v>
      </c>
    </row>
    <row r="1003" spans="1:13" customFormat="1" ht="16" x14ac:dyDescent="0.2">
      <c r="A1003" t="s">
        <v>8</v>
      </c>
      <c r="B1003" t="s">
        <v>17</v>
      </c>
    </row>
    <row r="1004" spans="1:13" customFormat="1" ht="16" x14ac:dyDescent="0.2">
      <c r="A1004" t="s">
        <v>207</v>
      </c>
      <c r="B1004" t="s">
        <v>208</v>
      </c>
    </row>
    <row r="1005" spans="1:13" customFormat="1" ht="16" x14ac:dyDescent="0.2">
      <c r="A1005" t="s">
        <v>201</v>
      </c>
      <c r="B1005" t="s">
        <v>246</v>
      </c>
    </row>
    <row r="1006" spans="1:13" customFormat="1" ht="16" x14ac:dyDescent="0.2">
      <c r="A1006" t="s">
        <v>153</v>
      </c>
      <c r="B1006" t="s">
        <v>247</v>
      </c>
    </row>
    <row r="1007" spans="1:13" customFormat="1" ht="16" x14ac:dyDescent="0.2">
      <c r="A1007" s="1" t="s">
        <v>10</v>
      </c>
    </row>
    <row r="1008" spans="1:13" x14ac:dyDescent="0.2">
      <c r="A1008" s="17" t="s">
        <v>11</v>
      </c>
      <c r="B1008" s="17" t="s">
        <v>12</v>
      </c>
      <c r="C1008" s="17" t="s">
        <v>3</v>
      </c>
      <c r="D1008" s="17" t="s">
        <v>13</v>
      </c>
      <c r="E1008" s="17" t="s">
        <v>8</v>
      </c>
      <c r="F1008" s="17" t="s">
        <v>6</v>
      </c>
      <c r="G1008" s="17" t="s">
        <v>5</v>
      </c>
      <c r="H1008" s="17" t="s">
        <v>153</v>
      </c>
      <c r="I1008" s="17" t="s">
        <v>182</v>
      </c>
      <c r="J1008" s="17" t="s">
        <v>183</v>
      </c>
      <c r="K1008" s="17" t="s">
        <v>184</v>
      </c>
      <c r="L1008" s="17" t="s">
        <v>185</v>
      </c>
    </row>
    <row r="1009" spans="1:12" customFormat="1" ht="16" x14ac:dyDescent="0.2">
      <c r="A1009" s="22" t="s">
        <v>89</v>
      </c>
      <c r="B1009">
        <v>1</v>
      </c>
      <c r="C1009" t="s">
        <v>18</v>
      </c>
      <c r="D1009" t="s">
        <v>214</v>
      </c>
      <c r="E1009" t="s">
        <v>17</v>
      </c>
      <c r="F1009" t="s">
        <v>19</v>
      </c>
      <c r="G1009" t="s">
        <v>1</v>
      </c>
      <c r="H1009" s="2"/>
    </row>
    <row r="1010" spans="1:12" customFormat="1" ht="16" x14ac:dyDescent="0.2">
      <c r="A1010" t="s">
        <v>146</v>
      </c>
      <c r="B1010">
        <v>1.1278940455009136E-4</v>
      </c>
      <c r="C1010" t="s">
        <v>18</v>
      </c>
      <c r="D1010" t="s">
        <v>214</v>
      </c>
      <c r="E1010" t="s">
        <v>9</v>
      </c>
      <c r="F1010" t="s">
        <v>23</v>
      </c>
      <c r="G1010" t="s">
        <v>146</v>
      </c>
      <c r="H1010" s="2"/>
      <c r="I1010">
        <v>5</v>
      </c>
      <c r="J1010">
        <f>B1010</f>
        <v>1.1278940455009136E-4</v>
      </c>
      <c r="K1010">
        <f>(1000000/1250000)*B1010</f>
        <v>9.0231523640073099E-5</v>
      </c>
      <c r="L1010">
        <f>(1000000/750000)*B1010</f>
        <v>1.5038587273345514E-4</v>
      </c>
    </row>
    <row r="1011" spans="1:12" customFormat="1" ht="16" x14ac:dyDescent="0.2">
      <c r="A1011" t="s">
        <v>203</v>
      </c>
      <c r="B1011">
        <v>3.8539996192328446E-6</v>
      </c>
      <c r="C1011" t="s">
        <v>18</v>
      </c>
      <c r="D1011" t="s">
        <v>214</v>
      </c>
      <c r="E1011" t="s">
        <v>9</v>
      </c>
      <c r="F1011" t="s">
        <v>23</v>
      </c>
      <c r="G1011" t="s">
        <v>204</v>
      </c>
      <c r="H1011" s="2"/>
    </row>
    <row r="1012" spans="1:12" customFormat="1" ht="16" x14ac:dyDescent="0.2">
      <c r="A1012" s="2" t="s">
        <v>120</v>
      </c>
      <c r="B1012">
        <f>1/43</f>
        <v>2.3255813953488372E-2</v>
      </c>
      <c r="C1012" t="s">
        <v>27</v>
      </c>
      <c r="E1012" t="s">
        <v>9</v>
      </c>
      <c r="F1012" t="s">
        <v>23</v>
      </c>
      <c r="G1012" t="s">
        <v>44</v>
      </c>
      <c r="H1012" s="2"/>
    </row>
    <row r="1013" spans="1:12" customFormat="1" ht="16" x14ac:dyDescent="0.2">
      <c r="A1013" t="s">
        <v>59</v>
      </c>
      <c r="B1013">
        <v>1.1906151495612746E-9</v>
      </c>
      <c r="D1013" t="s">
        <v>14</v>
      </c>
      <c r="E1013" t="s">
        <v>9</v>
      </c>
      <c r="F1013" t="s">
        <v>15</v>
      </c>
      <c r="H1013" s="2"/>
    </row>
    <row r="1014" spans="1:12" customFormat="1" ht="16" x14ac:dyDescent="0.2">
      <c r="A1014" t="s">
        <v>248</v>
      </c>
      <c r="B1014">
        <v>8.8352086295850824E-8</v>
      </c>
      <c r="D1014" t="s">
        <v>117</v>
      </c>
      <c r="E1014" t="s">
        <v>9</v>
      </c>
      <c r="F1014" t="s">
        <v>15</v>
      </c>
      <c r="H1014" s="2"/>
    </row>
    <row r="1015" spans="1:12" customFormat="1" ht="16" x14ac:dyDescent="0.2">
      <c r="A1015" t="s">
        <v>80</v>
      </c>
      <c r="B1015">
        <v>3.8893428219001639E-8</v>
      </c>
      <c r="D1015" t="s">
        <v>14</v>
      </c>
      <c r="E1015" t="s">
        <v>9</v>
      </c>
      <c r="F1015" t="s">
        <v>15</v>
      </c>
      <c r="H1015" s="2"/>
    </row>
    <row r="1016" spans="1:12" customFormat="1" ht="16" x14ac:dyDescent="0.2">
      <c r="A1016" t="s">
        <v>49</v>
      </c>
      <c r="B1016">
        <v>5.4371425163298209E-8</v>
      </c>
      <c r="D1016" t="s">
        <v>14</v>
      </c>
      <c r="E1016" t="s">
        <v>9</v>
      </c>
      <c r="F1016" t="s">
        <v>15</v>
      </c>
      <c r="H1016" s="2"/>
    </row>
    <row r="1017" spans="1:12" customFormat="1" ht="16" x14ac:dyDescent="0.2">
      <c r="A1017" t="s">
        <v>48</v>
      </c>
      <c r="B1017">
        <v>1.240062968043404E-6</v>
      </c>
      <c r="D1017" t="s">
        <v>14</v>
      </c>
      <c r="E1017" t="s">
        <v>9</v>
      </c>
      <c r="F1017" t="s">
        <v>15</v>
      </c>
      <c r="H1017" s="2"/>
    </row>
    <row r="1018" spans="1:12" customFormat="1" ht="16" x14ac:dyDescent="0.2">
      <c r="A1018" t="s">
        <v>47</v>
      </c>
      <c r="B1018">
        <v>7.024629382411521E-8</v>
      </c>
      <c r="D1018" t="s">
        <v>14</v>
      </c>
      <c r="E1018" t="s">
        <v>9</v>
      </c>
      <c r="F1018" t="s">
        <v>15</v>
      </c>
      <c r="H1018" s="2"/>
    </row>
    <row r="1019" spans="1:12" customFormat="1" ht="16" x14ac:dyDescent="0.2">
      <c r="A1019" t="s">
        <v>77</v>
      </c>
      <c r="B1019">
        <v>4.6511627906976743E-7</v>
      </c>
      <c r="D1019" t="s">
        <v>117</v>
      </c>
      <c r="E1019" t="s">
        <v>9</v>
      </c>
      <c r="F1019" t="s">
        <v>15</v>
      </c>
      <c r="H1019" s="2"/>
    </row>
    <row r="1020" spans="1:12" customFormat="1" ht="16" x14ac:dyDescent="0.2">
      <c r="A1020" t="s">
        <v>65</v>
      </c>
      <c r="B1020">
        <v>7.9664689206792323E-8</v>
      </c>
      <c r="D1020" t="s">
        <v>14</v>
      </c>
      <c r="E1020" t="s">
        <v>9</v>
      </c>
      <c r="F1020" t="s">
        <v>15</v>
      </c>
      <c r="H1020" s="2"/>
    </row>
    <row r="1021" spans="1:12" customFormat="1" ht="16" x14ac:dyDescent="0.2">
      <c r="A1021" t="s">
        <v>76</v>
      </c>
      <c r="B1021">
        <v>2.2224816125143791E-8</v>
      </c>
      <c r="D1021" t="s">
        <v>14</v>
      </c>
      <c r="E1021" t="s">
        <v>9</v>
      </c>
      <c r="F1021" t="s">
        <v>15</v>
      </c>
      <c r="H1021" s="2"/>
    </row>
    <row r="1022" spans="1:12" customFormat="1" ht="16" x14ac:dyDescent="0.2">
      <c r="A1022" t="s">
        <v>58</v>
      </c>
      <c r="B1022">
        <v>3.9687171652042503E-6</v>
      </c>
      <c r="D1022" t="s">
        <v>14</v>
      </c>
      <c r="E1022" t="s">
        <v>9</v>
      </c>
      <c r="F1022" t="s">
        <v>15</v>
      </c>
      <c r="H1022" s="2"/>
    </row>
    <row r="1023" spans="1:12" customFormat="1" ht="16" x14ac:dyDescent="0.2">
      <c r="A1023" t="s">
        <v>235</v>
      </c>
      <c r="B1023">
        <v>2.6338739709305827E-6</v>
      </c>
      <c r="D1023" t="s">
        <v>14</v>
      </c>
      <c r="E1023" t="s">
        <v>9</v>
      </c>
      <c r="F1023" t="s">
        <v>15</v>
      </c>
      <c r="H1023" s="2"/>
    </row>
    <row r="1024" spans="1:12" customFormat="1" ht="16" x14ac:dyDescent="0.2">
      <c r="A1024" t="s">
        <v>61</v>
      </c>
      <c r="B1024">
        <v>3.3337224187715699E-7</v>
      </c>
      <c r="D1024" t="s">
        <v>14</v>
      </c>
      <c r="E1024" t="s">
        <v>9</v>
      </c>
      <c r="F1024" t="s">
        <v>15</v>
      </c>
      <c r="H1024" s="2"/>
    </row>
    <row r="1025" spans="1:8" customFormat="1" ht="16" x14ac:dyDescent="0.2">
      <c r="A1025" t="s">
        <v>244</v>
      </c>
      <c r="B1025">
        <v>1.229967209887436E-10</v>
      </c>
      <c r="D1025" t="s">
        <v>14</v>
      </c>
      <c r="E1025" t="s">
        <v>9</v>
      </c>
      <c r="F1025" t="s">
        <v>15</v>
      </c>
      <c r="H1025" s="2"/>
    </row>
    <row r="1026" spans="1:8" customFormat="1" ht="16" x14ac:dyDescent="0.2">
      <c r="A1026" t="s">
        <v>242</v>
      </c>
      <c r="B1026">
        <v>2.0499453498123931E-10</v>
      </c>
      <c r="D1026" t="s">
        <v>14</v>
      </c>
      <c r="E1026" t="s">
        <v>9</v>
      </c>
      <c r="F1026" t="s">
        <v>15</v>
      </c>
      <c r="H1026" s="2"/>
    </row>
    <row r="1027" spans="1:8" customFormat="1" ht="16" x14ac:dyDescent="0.2">
      <c r="A1027" t="s">
        <v>234</v>
      </c>
      <c r="B1027">
        <v>1.9486966093412831E-6</v>
      </c>
      <c r="D1027" t="s">
        <v>14</v>
      </c>
      <c r="E1027" t="s">
        <v>9</v>
      </c>
      <c r="F1027" t="s">
        <v>15</v>
      </c>
      <c r="H1027" s="2"/>
    </row>
    <row r="1028" spans="1:8" customFormat="1" ht="16" x14ac:dyDescent="0.2">
      <c r="A1028" t="s">
        <v>53</v>
      </c>
      <c r="B1028">
        <f>B1012*3.15</f>
        <v>7.3255813953488375E-2</v>
      </c>
      <c r="D1028" t="s">
        <v>117</v>
      </c>
      <c r="E1028" t="s">
        <v>9</v>
      </c>
      <c r="F1028" t="s">
        <v>15</v>
      </c>
      <c r="H1028" s="2"/>
    </row>
    <row r="1029" spans="1:8" customFormat="1" ht="16" x14ac:dyDescent="0.2">
      <c r="A1029" t="s">
        <v>238</v>
      </c>
      <c r="B1029">
        <v>2.3299378853965246E-12</v>
      </c>
      <c r="D1029" t="s">
        <v>14</v>
      </c>
      <c r="E1029" t="s">
        <v>9</v>
      </c>
      <c r="F1029" t="s">
        <v>15</v>
      </c>
      <c r="H1029" s="2"/>
    </row>
    <row r="1030" spans="1:8" customFormat="1" ht="16" x14ac:dyDescent="0.2">
      <c r="A1030" t="s">
        <v>69</v>
      </c>
      <c r="B1030">
        <v>2.0473256420043789E-4</v>
      </c>
      <c r="D1030" t="s">
        <v>14</v>
      </c>
      <c r="E1030" t="s">
        <v>9</v>
      </c>
      <c r="F1030" t="s">
        <v>15</v>
      </c>
      <c r="H1030" s="2"/>
    </row>
    <row r="1031" spans="1:8" customFormat="1" ht="16" x14ac:dyDescent="0.2">
      <c r="A1031" t="s">
        <v>245</v>
      </c>
      <c r="B1031">
        <v>2.0199461495712361E-10</v>
      </c>
      <c r="D1031" t="s">
        <v>14</v>
      </c>
      <c r="E1031" t="s">
        <v>9</v>
      </c>
      <c r="F1031" t="s">
        <v>15</v>
      </c>
      <c r="H1031" s="2"/>
    </row>
    <row r="1032" spans="1:8" customFormat="1" ht="16" x14ac:dyDescent="0.2">
      <c r="A1032" t="s">
        <v>81</v>
      </c>
      <c r="B1032">
        <v>1.5874868660816998E-8</v>
      </c>
      <c r="D1032" t="s">
        <v>14</v>
      </c>
      <c r="E1032" t="s">
        <v>9</v>
      </c>
      <c r="F1032" t="s">
        <v>15</v>
      </c>
      <c r="H1032" s="2"/>
    </row>
    <row r="1033" spans="1:8" customFormat="1" ht="16" x14ac:dyDescent="0.2">
      <c r="A1033" t="s">
        <v>56</v>
      </c>
      <c r="B1033">
        <v>1.3999626779206586E-12</v>
      </c>
      <c r="D1033" t="s">
        <v>14</v>
      </c>
      <c r="E1033" t="s">
        <v>9</v>
      </c>
      <c r="F1033" t="s">
        <v>15</v>
      </c>
      <c r="H1033" s="2"/>
    </row>
    <row r="1034" spans="1:8" customFormat="1" ht="16" x14ac:dyDescent="0.2">
      <c r="A1034" t="s">
        <v>249</v>
      </c>
      <c r="B1034">
        <v>3.3193620217056908E-6</v>
      </c>
      <c r="D1034" t="s">
        <v>14</v>
      </c>
      <c r="E1034" t="s">
        <v>9</v>
      </c>
      <c r="F1034" t="s">
        <v>15</v>
      </c>
      <c r="H1034" s="2"/>
    </row>
    <row r="1035" spans="1:8" customFormat="1" ht="16" x14ac:dyDescent="0.2">
      <c r="A1035" t="s">
        <v>72</v>
      </c>
      <c r="B1035">
        <v>2.3812302991225493E-9</v>
      </c>
      <c r="D1035" t="s">
        <v>14</v>
      </c>
      <c r="E1035" t="s">
        <v>9</v>
      </c>
      <c r="F1035" t="s">
        <v>15</v>
      </c>
      <c r="H1035" s="2"/>
    </row>
    <row r="1036" spans="1:8" customFormat="1" ht="16" x14ac:dyDescent="0.2">
      <c r="A1036" t="s">
        <v>239</v>
      </c>
      <c r="B1036">
        <v>2.3299378853965246E-12</v>
      </c>
      <c r="D1036" t="s">
        <v>14</v>
      </c>
      <c r="E1036" t="s">
        <v>9</v>
      </c>
      <c r="F1036" t="s">
        <v>15</v>
      </c>
      <c r="H1036" s="2"/>
    </row>
    <row r="1037" spans="1:8" customFormat="1" ht="16" x14ac:dyDescent="0.2">
      <c r="A1037" t="s">
        <v>78</v>
      </c>
      <c r="B1037">
        <v>3.968717165204249E-10</v>
      </c>
      <c r="D1037" t="s">
        <v>14</v>
      </c>
      <c r="E1037" t="s">
        <v>9</v>
      </c>
      <c r="F1037" t="s">
        <v>15</v>
      </c>
      <c r="H1037" s="2"/>
    </row>
    <row r="1038" spans="1:8" customFormat="1" ht="16" x14ac:dyDescent="0.2">
      <c r="A1038" t="s">
        <v>62</v>
      </c>
      <c r="B1038">
        <v>1.1906151495612748E-8</v>
      </c>
      <c r="D1038" t="s">
        <v>14</v>
      </c>
      <c r="E1038" t="s">
        <v>9</v>
      </c>
      <c r="F1038" t="s">
        <v>15</v>
      </c>
      <c r="H1038" s="2"/>
    </row>
    <row r="1039" spans="1:8" customFormat="1" ht="16" x14ac:dyDescent="0.2">
      <c r="A1039" t="s">
        <v>51</v>
      </c>
      <c r="B1039">
        <v>5.9530757478063763E-9</v>
      </c>
      <c r="D1039" t="s">
        <v>14</v>
      </c>
      <c r="E1039" t="s">
        <v>9</v>
      </c>
      <c r="F1039" t="s">
        <v>15</v>
      </c>
      <c r="H1039" s="2"/>
    </row>
    <row r="1040" spans="1:8" customFormat="1" ht="16" x14ac:dyDescent="0.2">
      <c r="A1040" t="s">
        <v>54</v>
      </c>
      <c r="B1040">
        <v>2.879508180308284E-5</v>
      </c>
      <c r="D1040" t="s">
        <v>14</v>
      </c>
      <c r="E1040" t="s">
        <v>9</v>
      </c>
      <c r="F1040" t="s">
        <v>15</v>
      </c>
      <c r="H1040" s="2"/>
    </row>
    <row r="1041" spans="1:8" customFormat="1" ht="16" x14ac:dyDescent="0.2">
      <c r="A1041" t="s">
        <v>240</v>
      </c>
      <c r="B1041">
        <v>4.0498920325561916E-8</v>
      </c>
      <c r="D1041" t="s">
        <v>14</v>
      </c>
      <c r="E1041" t="s">
        <v>9</v>
      </c>
      <c r="F1041" t="s">
        <v>15</v>
      </c>
      <c r="H1041" s="2"/>
    </row>
    <row r="1042" spans="1:8" customFormat="1" ht="16" x14ac:dyDescent="0.2">
      <c r="A1042" t="s">
        <v>50</v>
      </c>
      <c r="B1042">
        <v>5.543334554775583E-8</v>
      </c>
      <c r="D1042" t="s">
        <v>14</v>
      </c>
      <c r="E1042" t="s">
        <v>9</v>
      </c>
      <c r="F1042" t="s">
        <v>15</v>
      </c>
      <c r="H1042" s="2"/>
    </row>
    <row r="1043" spans="1:8" customFormat="1" ht="16" x14ac:dyDescent="0.2">
      <c r="A1043" t="s">
        <v>73</v>
      </c>
      <c r="B1043">
        <v>3.9687171652042487E-9</v>
      </c>
      <c r="D1043" t="s">
        <v>14</v>
      </c>
      <c r="E1043" t="s">
        <v>9</v>
      </c>
      <c r="F1043" t="s">
        <v>15</v>
      </c>
      <c r="H1043" s="2"/>
    </row>
    <row r="1044" spans="1:8" customFormat="1" ht="16" x14ac:dyDescent="0.2">
      <c r="A1044" t="s">
        <v>243</v>
      </c>
      <c r="B1044">
        <v>6.9798139227758525E-10</v>
      </c>
      <c r="D1044" t="s">
        <v>14</v>
      </c>
      <c r="E1044" t="s">
        <v>9</v>
      </c>
      <c r="F1044" t="s">
        <v>15</v>
      </c>
      <c r="H1044" s="2"/>
    </row>
    <row r="1045" spans="1:8" customFormat="1" ht="16" x14ac:dyDescent="0.2">
      <c r="A1045" t="s">
        <v>70</v>
      </c>
      <c r="B1045">
        <v>1.8199514812968563E-9</v>
      </c>
      <c r="D1045" t="s">
        <v>14</v>
      </c>
      <c r="E1045" t="s">
        <v>9</v>
      </c>
      <c r="F1045" t="s">
        <v>15</v>
      </c>
      <c r="H1045" s="2"/>
    </row>
    <row r="1046" spans="1:8" customFormat="1" ht="16" x14ac:dyDescent="0.2">
      <c r="A1046" t="s">
        <v>241</v>
      </c>
      <c r="B1046">
        <v>4.9298685729634615E-10</v>
      </c>
      <c r="D1046" t="s">
        <v>14</v>
      </c>
      <c r="E1046" t="s">
        <v>9</v>
      </c>
      <c r="F1046" t="s">
        <v>15</v>
      </c>
      <c r="H1046" s="2"/>
    </row>
    <row r="1047" spans="1:8" customFormat="1" ht="16" x14ac:dyDescent="0.2">
      <c r="A1047" t="s">
        <v>45</v>
      </c>
      <c r="B1047">
        <v>1.8137037444983413E-7</v>
      </c>
      <c r="D1047" t="s">
        <v>14</v>
      </c>
      <c r="E1047" t="s">
        <v>9</v>
      </c>
      <c r="F1047" t="s">
        <v>15</v>
      </c>
      <c r="H1047" s="2"/>
    </row>
    <row r="1048" spans="1:8" customFormat="1" ht="16" x14ac:dyDescent="0.2">
      <c r="B1048" s="3"/>
      <c r="H1048" s="2"/>
    </row>
    <row r="1049" spans="1:8" x14ac:dyDescent="0.2">
      <c r="A1049" s="17" t="s">
        <v>2</v>
      </c>
      <c r="B1049" s="17" t="s">
        <v>275</v>
      </c>
    </row>
    <row r="1050" spans="1:8" customFormat="1" ht="16" x14ac:dyDescent="0.2">
      <c r="A1050" t="s">
        <v>3</v>
      </c>
      <c r="B1050" t="s">
        <v>18</v>
      </c>
      <c r="H1050" s="2"/>
    </row>
    <row r="1051" spans="1:8" customFormat="1" ht="16" x14ac:dyDescent="0.2">
      <c r="A1051" t="s">
        <v>4</v>
      </c>
      <c r="B1051">
        <v>1</v>
      </c>
      <c r="H1051" s="2"/>
    </row>
    <row r="1052" spans="1:8" customFormat="1" ht="16" x14ac:dyDescent="0.2">
      <c r="A1052" t="s">
        <v>5</v>
      </c>
      <c r="B1052" t="s">
        <v>1</v>
      </c>
      <c r="H1052" s="2"/>
    </row>
    <row r="1053" spans="1:8" customFormat="1" ht="16" x14ac:dyDescent="0.2">
      <c r="A1053" t="s">
        <v>6</v>
      </c>
      <c r="B1053" t="s">
        <v>7</v>
      </c>
      <c r="H1053" s="2"/>
    </row>
    <row r="1054" spans="1:8" customFormat="1" ht="16" x14ac:dyDescent="0.2">
      <c r="A1054" t="s">
        <v>8</v>
      </c>
      <c r="B1054" t="s">
        <v>17</v>
      </c>
      <c r="H1054" s="2"/>
    </row>
    <row r="1055" spans="1:8" customFormat="1" ht="16" x14ac:dyDescent="0.2">
      <c r="A1055" t="s">
        <v>207</v>
      </c>
      <c r="B1055" t="s">
        <v>208</v>
      </c>
      <c r="H1055" s="2"/>
    </row>
    <row r="1056" spans="1:8" customFormat="1" ht="16" x14ac:dyDescent="0.2">
      <c r="A1056" t="s">
        <v>201</v>
      </c>
      <c r="B1056" t="s">
        <v>246</v>
      </c>
      <c r="H1056" s="2"/>
    </row>
    <row r="1057" spans="1:12" customFormat="1" ht="16" x14ac:dyDescent="0.2">
      <c r="A1057" t="s">
        <v>153</v>
      </c>
      <c r="B1057" t="s">
        <v>247</v>
      </c>
      <c r="H1057" s="2"/>
    </row>
    <row r="1058" spans="1:12" customFormat="1" ht="16" x14ac:dyDescent="0.2">
      <c r="A1058" s="1" t="s">
        <v>10</v>
      </c>
      <c r="H1058" s="2"/>
    </row>
    <row r="1059" spans="1:12" x14ac:dyDescent="0.2">
      <c r="A1059" s="17" t="s">
        <v>11</v>
      </c>
      <c r="B1059" s="17" t="s">
        <v>12</v>
      </c>
      <c r="C1059" s="17" t="s">
        <v>3</v>
      </c>
      <c r="D1059" s="17" t="s">
        <v>13</v>
      </c>
      <c r="E1059" s="17" t="s">
        <v>8</v>
      </c>
      <c r="F1059" s="17" t="s">
        <v>6</v>
      </c>
      <c r="G1059" s="17" t="s">
        <v>5</v>
      </c>
      <c r="H1059" s="17" t="s">
        <v>153</v>
      </c>
      <c r="I1059" s="17" t="s">
        <v>182</v>
      </c>
      <c r="J1059" s="17" t="s">
        <v>183</v>
      </c>
      <c r="K1059" s="17" t="s">
        <v>184</v>
      </c>
      <c r="L1059" s="17" t="s">
        <v>185</v>
      </c>
    </row>
    <row r="1060" spans="1:12" customFormat="1" ht="16" x14ac:dyDescent="0.2">
      <c r="A1060" s="22" t="s">
        <v>275</v>
      </c>
      <c r="B1060">
        <v>1</v>
      </c>
      <c r="C1060" t="s">
        <v>18</v>
      </c>
      <c r="D1060" t="s">
        <v>214</v>
      </c>
      <c r="E1060" t="s">
        <v>17</v>
      </c>
      <c r="F1060" t="s">
        <v>19</v>
      </c>
      <c r="G1060" t="s">
        <v>1</v>
      </c>
      <c r="H1060" s="2"/>
    </row>
    <row r="1061" spans="1:12" customFormat="1" ht="16" x14ac:dyDescent="0.2">
      <c r="A1061" t="s">
        <v>146</v>
      </c>
      <c r="B1061">
        <v>1.1278940455009136E-4</v>
      </c>
      <c r="C1061" t="s">
        <v>18</v>
      </c>
      <c r="D1061" t="s">
        <v>214</v>
      </c>
      <c r="E1061" t="s">
        <v>9</v>
      </c>
      <c r="F1061" t="s">
        <v>23</v>
      </c>
      <c r="G1061" t="s">
        <v>146</v>
      </c>
      <c r="H1061" s="2"/>
      <c r="I1061">
        <v>5</v>
      </c>
      <c r="J1061">
        <f>B1061</f>
        <v>1.1278940455009136E-4</v>
      </c>
      <c r="K1061">
        <f>(1000000/1250000)*B1061</f>
        <v>9.0231523640073099E-5</v>
      </c>
      <c r="L1061">
        <f>(1000000/750000)*B1061</f>
        <v>1.5038587273345514E-4</v>
      </c>
    </row>
    <row r="1062" spans="1:12" customFormat="1" ht="16" x14ac:dyDescent="0.2">
      <c r="A1062" t="s">
        <v>203</v>
      </c>
      <c r="B1062">
        <v>3.8539996192328446E-6</v>
      </c>
      <c r="C1062" t="s">
        <v>18</v>
      </c>
      <c r="D1062" t="s">
        <v>214</v>
      </c>
      <c r="E1062" t="s">
        <v>9</v>
      </c>
      <c r="F1062" t="s">
        <v>23</v>
      </c>
      <c r="G1062" t="s">
        <v>204</v>
      </c>
      <c r="H1062" s="2"/>
    </row>
    <row r="1063" spans="1:12" customFormat="1" ht="16" x14ac:dyDescent="0.2">
      <c r="A1063" t="s">
        <v>276</v>
      </c>
      <c r="B1063">
        <f>1/43</f>
        <v>2.3255813953488372E-2</v>
      </c>
      <c r="C1063" t="s">
        <v>18</v>
      </c>
      <c r="E1063" t="s">
        <v>9</v>
      </c>
      <c r="F1063" t="s">
        <v>23</v>
      </c>
      <c r="G1063" t="s">
        <v>277</v>
      </c>
      <c r="H1063" s="2"/>
    </row>
    <row r="1064" spans="1:12" customFormat="1" ht="16" x14ac:dyDescent="0.2">
      <c r="A1064" t="s">
        <v>59</v>
      </c>
      <c r="B1064">
        <v>1.1906151495612746E-9</v>
      </c>
      <c r="D1064" t="s">
        <v>14</v>
      </c>
      <c r="E1064" t="s">
        <v>9</v>
      </c>
      <c r="F1064" t="s">
        <v>15</v>
      </c>
      <c r="H1064" s="2"/>
    </row>
    <row r="1065" spans="1:12" customFormat="1" ht="16" x14ac:dyDescent="0.2">
      <c r="A1065" t="s">
        <v>248</v>
      </c>
      <c r="B1065">
        <v>8.8352086295850824E-8</v>
      </c>
      <c r="D1065" t="s">
        <v>117</v>
      </c>
      <c r="E1065" t="s">
        <v>9</v>
      </c>
      <c r="F1065" t="s">
        <v>15</v>
      </c>
      <c r="H1065" s="2"/>
    </row>
    <row r="1066" spans="1:12" customFormat="1" ht="16" x14ac:dyDescent="0.2">
      <c r="A1066" t="s">
        <v>80</v>
      </c>
      <c r="B1066">
        <v>3.8893428219001639E-8</v>
      </c>
      <c r="D1066" t="s">
        <v>14</v>
      </c>
      <c r="E1066" t="s">
        <v>9</v>
      </c>
      <c r="F1066" t="s">
        <v>15</v>
      </c>
      <c r="H1066" s="2"/>
    </row>
    <row r="1067" spans="1:12" customFormat="1" ht="16" x14ac:dyDescent="0.2">
      <c r="A1067" t="s">
        <v>49</v>
      </c>
      <c r="B1067">
        <v>5.4371425163298209E-8</v>
      </c>
      <c r="D1067" t="s">
        <v>14</v>
      </c>
      <c r="E1067" t="s">
        <v>9</v>
      </c>
      <c r="F1067" t="s">
        <v>15</v>
      </c>
      <c r="H1067" s="2"/>
    </row>
    <row r="1068" spans="1:12" customFormat="1" ht="16" x14ac:dyDescent="0.2">
      <c r="A1068" t="s">
        <v>48</v>
      </c>
      <c r="B1068">
        <v>1.240062968043404E-6</v>
      </c>
      <c r="D1068" t="s">
        <v>14</v>
      </c>
      <c r="E1068" t="s">
        <v>9</v>
      </c>
      <c r="F1068" t="s">
        <v>15</v>
      </c>
      <c r="H1068" s="2"/>
    </row>
    <row r="1069" spans="1:12" customFormat="1" ht="16" x14ac:dyDescent="0.2">
      <c r="A1069" t="s">
        <v>47</v>
      </c>
      <c r="B1069">
        <v>7.024629382411521E-8</v>
      </c>
      <c r="D1069" t="s">
        <v>14</v>
      </c>
      <c r="E1069" t="s">
        <v>9</v>
      </c>
      <c r="F1069" t="s">
        <v>15</v>
      </c>
      <c r="H1069" s="2"/>
    </row>
    <row r="1070" spans="1:12" customFormat="1" ht="16" x14ac:dyDescent="0.2">
      <c r="A1070" t="s">
        <v>77</v>
      </c>
      <c r="B1070">
        <v>4.6511627906976743E-7</v>
      </c>
      <c r="D1070" t="s">
        <v>117</v>
      </c>
      <c r="E1070" t="s">
        <v>9</v>
      </c>
      <c r="F1070" t="s">
        <v>15</v>
      </c>
      <c r="H1070" s="2"/>
    </row>
    <row r="1071" spans="1:12" customFormat="1" ht="16" x14ac:dyDescent="0.2">
      <c r="A1071" t="s">
        <v>180</v>
      </c>
      <c r="B1071">
        <v>7.9664689206792323E-8</v>
      </c>
      <c r="D1071" t="s">
        <v>14</v>
      </c>
      <c r="E1071" t="s">
        <v>9</v>
      </c>
      <c r="F1071" t="s">
        <v>15</v>
      </c>
      <c r="H1071" s="2"/>
    </row>
    <row r="1072" spans="1:12" customFormat="1" ht="16" x14ac:dyDescent="0.2">
      <c r="A1072" t="s">
        <v>76</v>
      </c>
      <c r="B1072">
        <v>2.2224816125143791E-8</v>
      </c>
      <c r="D1072" t="s">
        <v>14</v>
      </c>
      <c r="E1072" t="s">
        <v>9</v>
      </c>
      <c r="F1072" t="s">
        <v>15</v>
      </c>
      <c r="H1072" s="2"/>
    </row>
    <row r="1073" spans="1:8" customFormat="1" ht="16" x14ac:dyDescent="0.2">
      <c r="A1073" t="s">
        <v>58</v>
      </c>
      <c r="B1073">
        <v>3.9687171652042503E-6</v>
      </c>
      <c r="D1073" t="s">
        <v>14</v>
      </c>
      <c r="E1073" t="s">
        <v>9</v>
      </c>
      <c r="F1073" t="s">
        <v>15</v>
      </c>
      <c r="H1073" s="2"/>
    </row>
    <row r="1074" spans="1:8" customFormat="1" ht="16" x14ac:dyDescent="0.2">
      <c r="A1074" t="s">
        <v>235</v>
      </c>
      <c r="B1074">
        <v>2.6338739709305827E-6</v>
      </c>
      <c r="D1074" t="s">
        <v>14</v>
      </c>
      <c r="E1074" t="s">
        <v>9</v>
      </c>
      <c r="F1074" t="s">
        <v>15</v>
      </c>
      <c r="H1074" s="2"/>
    </row>
    <row r="1075" spans="1:8" customFormat="1" ht="16" x14ac:dyDescent="0.2">
      <c r="A1075" t="s">
        <v>61</v>
      </c>
      <c r="B1075">
        <v>3.3337224187715699E-7</v>
      </c>
      <c r="D1075" t="s">
        <v>14</v>
      </c>
      <c r="E1075" t="s">
        <v>9</v>
      </c>
      <c r="F1075" t="s">
        <v>15</v>
      </c>
      <c r="H1075" s="2"/>
    </row>
    <row r="1076" spans="1:8" customFormat="1" ht="16" x14ac:dyDescent="0.2">
      <c r="A1076" t="s">
        <v>244</v>
      </c>
      <c r="B1076">
        <v>1.229967209887436E-10</v>
      </c>
      <c r="D1076" t="s">
        <v>14</v>
      </c>
      <c r="E1076" t="s">
        <v>9</v>
      </c>
      <c r="F1076" t="s">
        <v>15</v>
      </c>
      <c r="H1076" s="2"/>
    </row>
    <row r="1077" spans="1:8" customFormat="1" ht="16" x14ac:dyDescent="0.2">
      <c r="A1077" t="s">
        <v>242</v>
      </c>
      <c r="B1077">
        <v>2.0499453498123931E-10</v>
      </c>
      <c r="D1077" t="s">
        <v>14</v>
      </c>
      <c r="E1077" t="s">
        <v>9</v>
      </c>
      <c r="F1077" t="s">
        <v>15</v>
      </c>
      <c r="H1077" s="2"/>
    </row>
    <row r="1078" spans="1:8" customFormat="1" ht="16" x14ac:dyDescent="0.2">
      <c r="A1078" t="s">
        <v>234</v>
      </c>
      <c r="B1078">
        <v>1.9486966093412831E-6</v>
      </c>
      <c r="D1078" t="s">
        <v>14</v>
      </c>
      <c r="E1078" t="s">
        <v>9</v>
      </c>
      <c r="F1078" t="s">
        <v>15</v>
      </c>
      <c r="H1078" s="2"/>
    </row>
    <row r="1079" spans="1:8" customFormat="1" ht="16" x14ac:dyDescent="0.2">
      <c r="A1079" t="s">
        <v>123</v>
      </c>
      <c r="B1079">
        <f>B1063*3.15</f>
        <v>7.3255813953488375E-2</v>
      </c>
      <c r="D1079" t="s">
        <v>117</v>
      </c>
      <c r="E1079" t="s">
        <v>9</v>
      </c>
      <c r="F1079" t="s">
        <v>15</v>
      </c>
      <c r="H1079" s="2"/>
    </row>
    <row r="1080" spans="1:8" customFormat="1" ht="16" x14ac:dyDescent="0.2">
      <c r="A1080" t="s">
        <v>238</v>
      </c>
      <c r="B1080">
        <v>2.3299378853965246E-12</v>
      </c>
      <c r="D1080" t="s">
        <v>14</v>
      </c>
      <c r="E1080" t="s">
        <v>9</v>
      </c>
      <c r="F1080" t="s">
        <v>15</v>
      </c>
      <c r="H1080" s="2"/>
    </row>
    <row r="1081" spans="1:8" customFormat="1" ht="16" x14ac:dyDescent="0.2">
      <c r="A1081" t="s">
        <v>69</v>
      </c>
      <c r="B1081">
        <v>2.0473256420043789E-4</v>
      </c>
      <c r="D1081" t="s">
        <v>14</v>
      </c>
      <c r="E1081" t="s">
        <v>9</v>
      </c>
      <c r="F1081" t="s">
        <v>15</v>
      </c>
      <c r="H1081" s="2"/>
    </row>
    <row r="1082" spans="1:8" customFormat="1" ht="16" x14ac:dyDescent="0.2">
      <c r="A1082" t="s">
        <v>245</v>
      </c>
      <c r="B1082">
        <v>2.0199461495712361E-10</v>
      </c>
      <c r="D1082" t="s">
        <v>14</v>
      </c>
      <c r="E1082" t="s">
        <v>9</v>
      </c>
      <c r="F1082" t="s">
        <v>15</v>
      </c>
      <c r="H1082" s="2"/>
    </row>
    <row r="1083" spans="1:8" customFormat="1" ht="16" x14ac:dyDescent="0.2">
      <c r="A1083" t="s">
        <v>81</v>
      </c>
      <c r="B1083">
        <v>1.5874868660816998E-8</v>
      </c>
      <c r="D1083" t="s">
        <v>14</v>
      </c>
      <c r="E1083" t="s">
        <v>9</v>
      </c>
      <c r="F1083" t="s">
        <v>15</v>
      </c>
      <c r="H1083" s="2"/>
    </row>
    <row r="1084" spans="1:8" customFormat="1" ht="16" x14ac:dyDescent="0.2">
      <c r="A1084" t="s">
        <v>56</v>
      </c>
      <c r="B1084">
        <v>1.3999626779206586E-12</v>
      </c>
      <c r="D1084" t="s">
        <v>14</v>
      </c>
      <c r="E1084" t="s">
        <v>9</v>
      </c>
      <c r="F1084" t="s">
        <v>15</v>
      </c>
      <c r="H1084" s="2"/>
    </row>
    <row r="1085" spans="1:8" customFormat="1" ht="16" x14ac:dyDescent="0.2">
      <c r="A1085" t="s">
        <v>249</v>
      </c>
      <c r="B1085">
        <v>3.3193620217056908E-6</v>
      </c>
      <c r="D1085" t="s">
        <v>14</v>
      </c>
      <c r="E1085" t="s">
        <v>9</v>
      </c>
      <c r="F1085" t="s">
        <v>15</v>
      </c>
      <c r="H1085" s="2"/>
    </row>
    <row r="1086" spans="1:8" customFormat="1" ht="16" x14ac:dyDescent="0.2">
      <c r="A1086" t="s">
        <v>72</v>
      </c>
      <c r="B1086">
        <v>2.3812302991225493E-9</v>
      </c>
      <c r="D1086" t="s">
        <v>14</v>
      </c>
      <c r="E1086" t="s">
        <v>9</v>
      </c>
      <c r="F1086" t="s">
        <v>15</v>
      </c>
      <c r="H1086" s="2"/>
    </row>
    <row r="1087" spans="1:8" customFormat="1" ht="16" x14ac:dyDescent="0.2">
      <c r="A1087" t="s">
        <v>239</v>
      </c>
      <c r="B1087">
        <v>2.3299378853965246E-12</v>
      </c>
      <c r="D1087" t="s">
        <v>14</v>
      </c>
      <c r="E1087" t="s">
        <v>9</v>
      </c>
      <c r="F1087" t="s">
        <v>15</v>
      </c>
      <c r="H1087" s="2"/>
    </row>
    <row r="1088" spans="1:8" customFormat="1" ht="16" x14ac:dyDescent="0.2">
      <c r="A1088" t="s">
        <v>78</v>
      </c>
      <c r="B1088">
        <v>3.968717165204249E-10</v>
      </c>
      <c r="D1088" t="s">
        <v>14</v>
      </c>
      <c r="E1088" t="s">
        <v>9</v>
      </c>
      <c r="F1088" t="s">
        <v>15</v>
      </c>
      <c r="H1088" s="2"/>
    </row>
    <row r="1089" spans="1:8" customFormat="1" ht="16" x14ac:dyDescent="0.2">
      <c r="A1089" t="s">
        <v>62</v>
      </c>
      <c r="B1089">
        <v>1.1906151495612748E-8</v>
      </c>
      <c r="D1089" t="s">
        <v>14</v>
      </c>
      <c r="E1089" t="s">
        <v>9</v>
      </c>
      <c r="F1089" t="s">
        <v>15</v>
      </c>
      <c r="H1089" s="2"/>
    </row>
    <row r="1090" spans="1:8" customFormat="1" ht="16" x14ac:dyDescent="0.2">
      <c r="A1090" t="s">
        <v>51</v>
      </c>
      <c r="B1090">
        <v>5.9530757478063763E-9</v>
      </c>
      <c r="D1090" t="s">
        <v>14</v>
      </c>
      <c r="E1090" t="s">
        <v>9</v>
      </c>
      <c r="F1090" t="s">
        <v>15</v>
      </c>
      <c r="H1090" s="2"/>
    </row>
    <row r="1091" spans="1:8" customFormat="1" ht="16" x14ac:dyDescent="0.2">
      <c r="A1091" t="s">
        <v>124</v>
      </c>
      <c r="B1091">
        <v>2.879508180308284E-5</v>
      </c>
      <c r="D1091" t="s">
        <v>14</v>
      </c>
      <c r="E1091" t="s">
        <v>9</v>
      </c>
      <c r="F1091" t="s">
        <v>15</v>
      </c>
      <c r="H1091" s="2"/>
    </row>
    <row r="1092" spans="1:8" customFormat="1" ht="16" x14ac:dyDescent="0.2">
      <c r="A1092" t="s">
        <v>240</v>
      </c>
      <c r="B1092">
        <v>4.0498920325561916E-8</v>
      </c>
      <c r="D1092" t="s">
        <v>14</v>
      </c>
      <c r="E1092" t="s">
        <v>9</v>
      </c>
      <c r="F1092" t="s">
        <v>15</v>
      </c>
      <c r="H1092" s="2"/>
    </row>
    <row r="1093" spans="1:8" customFormat="1" ht="16" x14ac:dyDescent="0.2">
      <c r="A1093" t="s">
        <v>50</v>
      </c>
      <c r="B1093">
        <v>5.543334554775583E-8</v>
      </c>
      <c r="D1093" t="s">
        <v>14</v>
      </c>
      <c r="E1093" t="s">
        <v>9</v>
      </c>
      <c r="F1093" t="s">
        <v>15</v>
      </c>
      <c r="H1093" s="2"/>
    </row>
    <row r="1094" spans="1:8" customFormat="1" ht="16" x14ac:dyDescent="0.2">
      <c r="A1094" t="s">
        <v>73</v>
      </c>
      <c r="B1094">
        <v>3.9687171652042487E-9</v>
      </c>
      <c r="D1094" t="s">
        <v>14</v>
      </c>
      <c r="E1094" t="s">
        <v>9</v>
      </c>
      <c r="F1094" t="s">
        <v>15</v>
      </c>
      <c r="H1094" s="2"/>
    </row>
    <row r="1095" spans="1:8" customFormat="1" ht="16" x14ac:dyDescent="0.2">
      <c r="A1095" t="s">
        <v>243</v>
      </c>
      <c r="B1095">
        <v>6.9798139227758525E-10</v>
      </c>
      <c r="D1095" t="s">
        <v>14</v>
      </c>
      <c r="E1095" t="s">
        <v>9</v>
      </c>
      <c r="F1095" t="s">
        <v>15</v>
      </c>
      <c r="H1095" s="2"/>
    </row>
    <row r="1096" spans="1:8" customFormat="1" ht="16" x14ac:dyDescent="0.2">
      <c r="A1096" t="s">
        <v>243</v>
      </c>
      <c r="B1096">
        <v>1.8199514812968563E-9</v>
      </c>
      <c r="D1096" t="s">
        <v>14</v>
      </c>
      <c r="E1096" t="s">
        <v>9</v>
      </c>
      <c r="F1096" t="s">
        <v>15</v>
      </c>
      <c r="H1096" s="2"/>
    </row>
    <row r="1097" spans="1:8" customFormat="1" ht="16" x14ac:dyDescent="0.2">
      <c r="A1097" t="s">
        <v>241</v>
      </c>
      <c r="B1097">
        <v>4.9298685729634615E-10</v>
      </c>
      <c r="D1097" t="s">
        <v>14</v>
      </c>
      <c r="E1097" t="s">
        <v>9</v>
      </c>
      <c r="F1097" t="s">
        <v>15</v>
      </c>
      <c r="H1097" s="2"/>
    </row>
    <row r="1098" spans="1:8" customFormat="1" ht="16" x14ac:dyDescent="0.2">
      <c r="A1098" t="s">
        <v>45</v>
      </c>
      <c r="B1098">
        <v>1.8137037444983413E-7</v>
      </c>
      <c r="D1098" t="s">
        <v>14</v>
      </c>
      <c r="E1098" t="s">
        <v>9</v>
      </c>
      <c r="F1098" t="s">
        <v>15</v>
      </c>
      <c r="H1098" s="2"/>
    </row>
    <row r="1099" spans="1:8" customFormat="1" ht="16" x14ac:dyDescent="0.2">
      <c r="B1099" s="3"/>
      <c r="H1099" s="2"/>
    </row>
    <row r="1100" spans="1:8" customFormat="1" ht="16" x14ac:dyDescent="0.2">
      <c r="B1100" s="3"/>
      <c r="H1100" s="2"/>
    </row>
    <row r="1101" spans="1:8" x14ac:dyDescent="0.2">
      <c r="A1101" s="17" t="s">
        <v>2</v>
      </c>
      <c r="B1101" s="17" t="s">
        <v>308</v>
      </c>
    </row>
    <row r="1102" spans="1:8" customFormat="1" ht="16" x14ac:dyDescent="0.2">
      <c r="A1102" t="s">
        <v>3</v>
      </c>
      <c r="B1102" t="s">
        <v>18</v>
      </c>
      <c r="H1102" s="2"/>
    </row>
    <row r="1103" spans="1:8" customFormat="1" ht="16" x14ac:dyDescent="0.2">
      <c r="A1103" t="s">
        <v>4</v>
      </c>
      <c r="B1103">
        <v>1</v>
      </c>
      <c r="H1103" s="2"/>
    </row>
    <row r="1104" spans="1:8" customFormat="1" ht="16" x14ac:dyDescent="0.2">
      <c r="A1104" t="s">
        <v>5</v>
      </c>
      <c r="B1104" t="s">
        <v>143</v>
      </c>
      <c r="H1104" s="2"/>
    </row>
    <row r="1105" spans="1:12" customFormat="1" ht="16" x14ac:dyDescent="0.2">
      <c r="A1105" t="s">
        <v>6</v>
      </c>
      <c r="B1105" t="s">
        <v>7</v>
      </c>
      <c r="H1105" s="2"/>
    </row>
    <row r="1106" spans="1:12" customFormat="1" ht="16" x14ac:dyDescent="0.2">
      <c r="A1106" t="s">
        <v>8</v>
      </c>
      <c r="B1106" t="s">
        <v>17</v>
      </c>
      <c r="H1106" s="2"/>
    </row>
    <row r="1107" spans="1:12" customFormat="1" ht="16" x14ac:dyDescent="0.2">
      <c r="A1107" t="s">
        <v>207</v>
      </c>
      <c r="B1107" t="s">
        <v>208</v>
      </c>
      <c r="H1107" s="2"/>
    </row>
    <row r="1108" spans="1:12" customFormat="1" ht="16" x14ac:dyDescent="0.2">
      <c r="A1108" t="s">
        <v>201</v>
      </c>
      <c r="B1108" t="s">
        <v>246</v>
      </c>
      <c r="H1108" s="2"/>
    </row>
    <row r="1109" spans="1:12" customFormat="1" ht="16" x14ac:dyDescent="0.2">
      <c r="A1109" t="s">
        <v>153</v>
      </c>
      <c r="B1109" t="s">
        <v>250</v>
      </c>
      <c r="H1109" s="2"/>
    </row>
    <row r="1110" spans="1:12" customFormat="1" ht="16" x14ac:dyDescent="0.2">
      <c r="A1110" s="1" t="s">
        <v>10</v>
      </c>
      <c r="H1110" s="2"/>
    </row>
    <row r="1111" spans="1:12" x14ac:dyDescent="0.2">
      <c r="A1111" s="17" t="s">
        <v>11</v>
      </c>
      <c r="B1111" s="17" t="s">
        <v>12</v>
      </c>
      <c r="C1111" s="17" t="s">
        <v>3</v>
      </c>
      <c r="D1111" s="17" t="s">
        <v>13</v>
      </c>
      <c r="E1111" s="17" t="s">
        <v>8</v>
      </c>
      <c r="F1111" s="17" t="s">
        <v>6</v>
      </c>
      <c r="G1111" s="17" t="s">
        <v>5</v>
      </c>
      <c r="H1111" s="17" t="s">
        <v>153</v>
      </c>
      <c r="I1111" s="17" t="s">
        <v>182</v>
      </c>
      <c r="J1111" s="17" t="s">
        <v>183</v>
      </c>
      <c r="K1111" s="17" t="s">
        <v>184</v>
      </c>
      <c r="L1111" s="17" t="s">
        <v>185</v>
      </c>
    </row>
    <row r="1112" spans="1:12" customFormat="1" ht="16" x14ac:dyDescent="0.2">
      <c r="A1112" s="22" t="s">
        <v>308</v>
      </c>
      <c r="B1112">
        <v>1</v>
      </c>
      <c r="C1112" t="s">
        <v>18</v>
      </c>
      <c r="D1112" t="s">
        <v>214</v>
      </c>
      <c r="E1112" t="s">
        <v>17</v>
      </c>
      <c r="F1112" t="s">
        <v>19</v>
      </c>
      <c r="G1112" t="s">
        <v>143</v>
      </c>
      <c r="H1112" s="2"/>
    </row>
    <row r="1113" spans="1:12" customFormat="1" ht="16" x14ac:dyDescent="0.2">
      <c r="A1113" t="s">
        <v>141</v>
      </c>
      <c r="B1113">
        <f>1/3.6</f>
        <v>0.27777777777777779</v>
      </c>
      <c r="C1113" t="s">
        <v>18</v>
      </c>
      <c r="E1113" t="s">
        <v>142</v>
      </c>
      <c r="F1113" t="s">
        <v>23</v>
      </c>
      <c r="G1113" t="s">
        <v>143</v>
      </c>
      <c r="H1113" s="2"/>
      <c r="I1113" s="2"/>
    </row>
    <row r="1114" spans="1:12" customFormat="1" ht="16" x14ac:dyDescent="0.2">
      <c r="A1114" t="s">
        <v>190</v>
      </c>
      <c r="B1114">
        <v>1.0342946239951181E-6</v>
      </c>
      <c r="C1114" t="s">
        <v>114</v>
      </c>
      <c r="D1114" t="s">
        <v>214</v>
      </c>
      <c r="E1114" t="s">
        <v>9</v>
      </c>
      <c r="F1114" t="s">
        <v>23</v>
      </c>
      <c r="G1114" t="s">
        <v>191</v>
      </c>
      <c r="H1114" s="2"/>
      <c r="I1114">
        <v>5</v>
      </c>
      <c r="J1114">
        <f>B1114</f>
        <v>1.0342946239951181E-6</v>
      </c>
      <c r="K1114">
        <f>(1000000/1250000)*B1114</f>
        <v>8.274356991960945E-7</v>
      </c>
      <c r="L1114">
        <f>(1000000/750000)*B1114</f>
        <v>1.3790594986601575E-6</v>
      </c>
    </row>
    <row r="1115" spans="1:12" customFormat="1" ht="16" x14ac:dyDescent="0.2">
      <c r="A1115" t="s">
        <v>186</v>
      </c>
      <c r="B1115">
        <v>6.4643413999694885E-6</v>
      </c>
      <c r="C1115" t="s">
        <v>114</v>
      </c>
      <c r="D1115" t="s">
        <v>214</v>
      </c>
      <c r="E1115" t="s">
        <v>9</v>
      </c>
      <c r="F1115" t="s">
        <v>23</v>
      </c>
      <c r="G1115" t="s">
        <v>187</v>
      </c>
      <c r="H1115" s="2"/>
      <c r="I1115">
        <v>5</v>
      </c>
      <c r="J1115">
        <f>B1115</f>
        <v>6.4643413999694885E-6</v>
      </c>
      <c r="K1115">
        <f>(1000000/1250000)*B1115</f>
        <v>5.1714731199755913E-6</v>
      </c>
      <c r="L1115">
        <f>(1000000/750000)*B1115</f>
        <v>8.6191218666259841E-6</v>
      </c>
    </row>
    <row r="1116" spans="1:12" customFormat="1" ht="16" x14ac:dyDescent="0.2">
      <c r="A1116" t="s">
        <v>188</v>
      </c>
      <c r="B1116">
        <v>7.7322091721143572E-6</v>
      </c>
      <c r="C1116" t="s">
        <v>114</v>
      </c>
      <c r="D1116" t="s">
        <v>214</v>
      </c>
      <c r="E1116" t="s">
        <v>9</v>
      </c>
      <c r="F1116" t="s">
        <v>23</v>
      </c>
      <c r="G1116" t="s">
        <v>189</v>
      </c>
      <c r="H1116" s="2"/>
      <c r="I1116">
        <v>5</v>
      </c>
      <c r="J1116">
        <f>B1116</f>
        <v>7.7322091721143572E-6</v>
      </c>
      <c r="K1116">
        <f>(1000000/1250000)*B1116</f>
        <v>6.1857673376914861E-6</v>
      </c>
      <c r="L1116">
        <f>(1000000/750000)*B1116</f>
        <v>1.030961222948581E-5</v>
      </c>
    </row>
    <row r="1117" spans="1:12" customFormat="1" ht="16" x14ac:dyDescent="0.2">
      <c r="A1117" t="s">
        <v>147</v>
      </c>
      <c r="B1117">
        <v>1.5514419359926774E-4</v>
      </c>
      <c r="C1117" t="s">
        <v>114</v>
      </c>
      <c r="D1117" t="s">
        <v>214</v>
      </c>
      <c r="E1117" t="s">
        <v>9</v>
      </c>
      <c r="F1117" t="s">
        <v>23</v>
      </c>
      <c r="G1117" t="s">
        <v>148</v>
      </c>
      <c r="H1117" s="2"/>
      <c r="I1117">
        <v>5</v>
      </c>
      <c r="J1117">
        <f>B1117</f>
        <v>1.5514419359926774E-4</v>
      </c>
      <c r="K1117">
        <f>(1000000/1250000)*B1117</f>
        <v>1.2411535487941419E-4</v>
      </c>
      <c r="L1117">
        <f>(1000000/750000)*B1117</f>
        <v>2.0685892479902363E-4</v>
      </c>
    </row>
    <row r="1118" spans="1:12" customFormat="1" ht="16" x14ac:dyDescent="0.2">
      <c r="A1118" t="s">
        <v>192</v>
      </c>
      <c r="B1118">
        <f>283/710000/5.45</f>
        <v>7.3136064090967829E-5</v>
      </c>
      <c r="C1118" s="2" t="s">
        <v>114</v>
      </c>
      <c r="E1118" t="s">
        <v>142</v>
      </c>
      <c r="F1118" t="s">
        <v>23</v>
      </c>
      <c r="G1118" t="s">
        <v>193</v>
      </c>
      <c r="H1118" s="2"/>
      <c r="I1118">
        <v>5</v>
      </c>
      <c r="J1118">
        <f>B1118</f>
        <v>7.3136064090967829E-5</v>
      </c>
      <c r="K1118">
        <f>160/710000/5.45</f>
        <v>4.1349011500193823E-5</v>
      </c>
      <c r="L1118">
        <f>450/710000/5.45</f>
        <v>1.1629409484429512E-4</v>
      </c>
    </row>
    <row r="1119" spans="1:12" customFormat="1" ht="16" x14ac:dyDescent="0.2">
      <c r="H1119" s="2"/>
    </row>
    <row r="1120" spans="1:12" x14ac:dyDescent="0.2">
      <c r="A1120" s="17" t="s">
        <v>2</v>
      </c>
      <c r="B1120" s="17" t="s">
        <v>304</v>
      </c>
    </row>
    <row r="1121" spans="1:12" customFormat="1" ht="16" x14ac:dyDescent="0.2">
      <c r="A1121" t="s">
        <v>3</v>
      </c>
      <c r="B1121" t="s">
        <v>18</v>
      </c>
      <c r="H1121" s="2"/>
    </row>
    <row r="1122" spans="1:12" customFormat="1" ht="16" x14ac:dyDescent="0.2">
      <c r="A1122" t="s">
        <v>4</v>
      </c>
      <c r="B1122">
        <v>1</v>
      </c>
      <c r="H1122" s="2"/>
    </row>
    <row r="1123" spans="1:12" customFormat="1" ht="16" x14ac:dyDescent="0.2">
      <c r="A1123" t="s">
        <v>5</v>
      </c>
      <c r="B1123" t="s">
        <v>1</v>
      </c>
      <c r="H1123" s="2"/>
    </row>
    <row r="1124" spans="1:12" customFormat="1" ht="16" x14ac:dyDescent="0.2">
      <c r="A1124" t="s">
        <v>6</v>
      </c>
      <c r="B1124" t="s">
        <v>7</v>
      </c>
      <c r="H1124" s="2"/>
    </row>
    <row r="1125" spans="1:12" customFormat="1" ht="16" x14ac:dyDescent="0.2">
      <c r="A1125" t="s">
        <v>8</v>
      </c>
      <c r="B1125" t="s">
        <v>17</v>
      </c>
      <c r="H1125" s="2"/>
    </row>
    <row r="1126" spans="1:12" customFormat="1" ht="16" x14ac:dyDescent="0.2">
      <c r="A1126" t="s">
        <v>207</v>
      </c>
      <c r="B1126" t="s">
        <v>208</v>
      </c>
      <c r="H1126" s="2"/>
    </row>
    <row r="1127" spans="1:12" customFormat="1" ht="16" x14ac:dyDescent="0.2">
      <c r="A1127" t="s">
        <v>201</v>
      </c>
      <c r="B1127" t="s">
        <v>246</v>
      </c>
      <c r="H1127" s="2"/>
    </row>
    <row r="1128" spans="1:12" customFormat="1" ht="16" x14ac:dyDescent="0.2">
      <c r="A1128" t="s">
        <v>153</v>
      </c>
      <c r="B1128" t="s">
        <v>251</v>
      </c>
      <c r="H1128" s="2"/>
    </row>
    <row r="1129" spans="1:12" customFormat="1" ht="16" x14ac:dyDescent="0.2">
      <c r="A1129" s="1" t="s">
        <v>10</v>
      </c>
      <c r="H1129" s="2"/>
    </row>
    <row r="1130" spans="1:12" x14ac:dyDescent="0.2">
      <c r="A1130" s="17" t="s">
        <v>11</v>
      </c>
      <c r="B1130" s="17" t="s">
        <v>12</v>
      </c>
      <c r="C1130" s="17" t="s">
        <v>3</v>
      </c>
      <c r="D1130" s="17" t="s">
        <v>13</v>
      </c>
      <c r="E1130" s="17" t="s">
        <v>8</v>
      </c>
      <c r="F1130" s="17" t="s">
        <v>6</v>
      </c>
      <c r="G1130" s="17" t="s">
        <v>5</v>
      </c>
      <c r="H1130" s="17" t="s">
        <v>153</v>
      </c>
      <c r="I1130" s="17" t="s">
        <v>182</v>
      </c>
      <c r="J1130" s="17" t="s">
        <v>183</v>
      </c>
      <c r="K1130" s="17" t="s">
        <v>184</v>
      </c>
      <c r="L1130" s="17" t="s">
        <v>185</v>
      </c>
    </row>
    <row r="1131" spans="1:12" customFormat="1" ht="16" x14ac:dyDescent="0.2">
      <c r="A1131" s="22" t="s">
        <v>304</v>
      </c>
      <c r="B1131">
        <v>1</v>
      </c>
      <c r="C1131" t="s">
        <v>18</v>
      </c>
      <c r="D1131" t="s">
        <v>214</v>
      </c>
      <c r="E1131" t="s">
        <v>17</v>
      </c>
      <c r="F1131" t="s">
        <v>19</v>
      </c>
      <c r="G1131" t="s">
        <v>1</v>
      </c>
      <c r="H1131" s="2"/>
    </row>
    <row r="1132" spans="1:12" customFormat="1" ht="16" x14ac:dyDescent="0.2">
      <c r="A1132" s="2" t="s">
        <v>160</v>
      </c>
      <c r="B1132" s="19">
        <f>1/120</f>
        <v>8.3333333333333332E-3</v>
      </c>
      <c r="C1132" s="4" t="s">
        <v>18</v>
      </c>
      <c r="E1132" s="4" t="s">
        <v>9</v>
      </c>
      <c r="F1132" s="4" t="s">
        <v>23</v>
      </c>
      <c r="G1132" s="2" t="s">
        <v>161</v>
      </c>
      <c r="H1132" s="2"/>
    </row>
    <row r="1133" spans="1:12" customFormat="1" ht="16" x14ac:dyDescent="0.2">
      <c r="A1133" t="s">
        <v>190</v>
      </c>
      <c r="B1133">
        <v>5.1450254035629309E-7</v>
      </c>
      <c r="C1133" t="s">
        <v>114</v>
      </c>
      <c r="E1133" t="s">
        <v>9</v>
      </c>
      <c r="F1133" t="s">
        <v>23</v>
      </c>
      <c r="G1133" t="s">
        <v>191</v>
      </c>
      <c r="H1133" s="2"/>
      <c r="I1133">
        <v>5</v>
      </c>
      <c r="J1133">
        <f>B1133</f>
        <v>5.1450254035629309E-7</v>
      </c>
      <c r="K1133">
        <f>(1000000/1250000)*B1133</f>
        <v>4.1160203228503449E-7</v>
      </c>
      <c r="L1133">
        <f>(1000000/750000)*B1133</f>
        <v>6.8600338714172405E-7</v>
      </c>
    </row>
    <row r="1134" spans="1:12" customFormat="1" ht="16" x14ac:dyDescent="0.2">
      <c r="A1134" t="s">
        <v>186</v>
      </c>
      <c r="B1134">
        <v>3.2156408772268317E-6</v>
      </c>
      <c r="C1134" t="s">
        <v>114</v>
      </c>
      <c r="E1134" t="s">
        <v>9</v>
      </c>
      <c r="F1134" t="s">
        <v>23</v>
      </c>
      <c r="G1134" t="s">
        <v>187</v>
      </c>
      <c r="H1134" s="2"/>
      <c r="I1134">
        <v>5</v>
      </c>
      <c r="J1134">
        <f>B1134</f>
        <v>3.2156408772268317E-6</v>
      </c>
      <c r="K1134">
        <f>(1000000/1250000)*B1134</f>
        <v>2.5725127017814656E-6</v>
      </c>
      <c r="L1134">
        <f>(1000000/750000)*B1134</f>
        <v>4.2875211696357754E-6</v>
      </c>
    </row>
    <row r="1135" spans="1:12" customFormat="1" ht="16" x14ac:dyDescent="0.2">
      <c r="A1135" t="s">
        <v>188</v>
      </c>
      <c r="B1135">
        <v>2.4884703939932923E-6</v>
      </c>
      <c r="C1135" t="s">
        <v>114</v>
      </c>
      <c r="E1135" t="s">
        <v>9</v>
      </c>
      <c r="F1135" t="s">
        <v>23</v>
      </c>
      <c r="G1135" t="s">
        <v>189</v>
      </c>
      <c r="H1135" s="2"/>
      <c r="I1135">
        <v>5</v>
      </c>
      <c r="J1135">
        <f>B1135</f>
        <v>2.4884703939932923E-6</v>
      </c>
      <c r="K1135">
        <f>(1000000/1250000)*B1135</f>
        <v>1.990776315194634E-6</v>
      </c>
      <c r="L1135">
        <f>(1000000/750000)*B1135</f>
        <v>3.3179605253243896E-6</v>
      </c>
    </row>
    <row r="1136" spans="1:12" customFormat="1" ht="16" x14ac:dyDescent="0.2">
      <c r="A1136" t="s">
        <v>197</v>
      </c>
      <c r="B1136">
        <f>802/1000000/10.95</f>
        <v>7.3242009132420095E-5</v>
      </c>
      <c r="C1136" t="s">
        <v>18</v>
      </c>
      <c r="E1136" t="s">
        <v>9</v>
      </c>
      <c r="F1136" t="s">
        <v>23</v>
      </c>
      <c r="G1136" t="s">
        <v>198</v>
      </c>
      <c r="H1136" s="2"/>
      <c r="I1136">
        <v>5</v>
      </c>
      <c r="J1136">
        <f>B1136</f>
        <v>7.3242009132420095E-5</v>
      </c>
      <c r="K1136">
        <f>362/1000000/10.95</f>
        <v>3.3059360730593613E-5</v>
      </c>
      <c r="L1136">
        <f>1268/1000000/10.95</f>
        <v>1.1579908675799088E-4</v>
      </c>
    </row>
    <row r="1137" spans="1:12" customFormat="1" ht="16" x14ac:dyDescent="0.2">
      <c r="A1137" t="s">
        <v>147</v>
      </c>
      <c r="B1137">
        <v>2.9788164985196983E-5</v>
      </c>
      <c r="C1137" t="s">
        <v>114</v>
      </c>
      <c r="E1137" t="s">
        <v>9</v>
      </c>
      <c r="F1137" t="s">
        <v>23</v>
      </c>
      <c r="G1137" t="s">
        <v>148</v>
      </c>
      <c r="H1137" s="2"/>
      <c r="I1137">
        <v>5</v>
      </c>
      <c r="J1137">
        <f>B1137</f>
        <v>2.9788164985196983E-5</v>
      </c>
      <c r="K1137">
        <f>(1000000/1250000)*B1137</f>
        <v>2.3830531988157587E-5</v>
      </c>
      <c r="L1137">
        <f>(1000000/750000)*B1137</f>
        <v>3.9717553313595977E-5</v>
      </c>
    </row>
    <row r="1138" spans="1:12" customFormat="1" ht="16" x14ac:dyDescent="0.2">
      <c r="A1138" t="s">
        <v>113</v>
      </c>
      <c r="B1138">
        <f>129/1000000/10.95</f>
        <v>1.178082191780822E-5</v>
      </c>
      <c r="C1138" t="s">
        <v>114</v>
      </c>
      <c r="E1138" t="s">
        <v>8</v>
      </c>
      <c r="F1138" t="s">
        <v>23</v>
      </c>
      <c r="G1138" t="s">
        <v>115</v>
      </c>
      <c r="H1138" s="2"/>
      <c r="I1138">
        <v>5</v>
      </c>
      <c r="J1138">
        <f>B1138</f>
        <v>1.178082191780822E-5</v>
      </c>
      <c r="K1138">
        <f>26/1250000/10.95</f>
        <v>1.899543378995434E-6</v>
      </c>
      <c r="L1138">
        <f>235/750000/10.95</f>
        <v>2.8614916286149163E-5</v>
      </c>
    </row>
    <row r="1139" spans="1:12" customFormat="1" ht="16" x14ac:dyDescent="0.2">
      <c r="A1139" t="s">
        <v>192</v>
      </c>
      <c r="B1139">
        <f>47/1000000/11</f>
        <v>4.2727272727272722E-6</v>
      </c>
      <c r="C1139" s="2" t="s">
        <v>114</v>
      </c>
      <c r="E1139" t="s">
        <v>142</v>
      </c>
      <c r="F1139" t="s">
        <v>23</v>
      </c>
      <c r="G1139" t="s">
        <v>193</v>
      </c>
      <c r="H1139" s="2"/>
      <c r="I1139">
        <v>5</v>
      </c>
      <c r="J1139">
        <f>B1139</f>
        <v>4.2727272727272722E-6</v>
      </c>
      <c r="K1139">
        <f>20.6/1250000/11</f>
        <v>1.4981818181818184E-6</v>
      </c>
      <c r="L1139">
        <f>80.4/750000/11</f>
        <v>9.7454545454545466E-6</v>
      </c>
    </row>
    <row r="1140" spans="1:12" customFormat="1" ht="16" x14ac:dyDescent="0.2">
      <c r="H1140" s="2"/>
    </row>
    <row r="1141" spans="1:12" x14ac:dyDescent="0.2">
      <c r="A1141" s="17" t="s">
        <v>2</v>
      </c>
      <c r="B1141" s="17" t="s">
        <v>274</v>
      </c>
    </row>
    <row r="1142" spans="1:12" customFormat="1" ht="16" x14ac:dyDescent="0.2">
      <c r="A1142" t="s">
        <v>153</v>
      </c>
      <c r="B1142" t="s">
        <v>253</v>
      </c>
      <c r="H1142" s="2"/>
    </row>
    <row r="1143" spans="1:12" customFormat="1" ht="16" x14ac:dyDescent="0.2">
      <c r="A1143" t="s">
        <v>201</v>
      </c>
      <c r="B1143" t="s">
        <v>202</v>
      </c>
      <c r="H1143" s="2"/>
    </row>
    <row r="1144" spans="1:12" customFormat="1" ht="16" x14ac:dyDescent="0.2">
      <c r="A1144" t="s">
        <v>3</v>
      </c>
      <c r="B1144" t="s">
        <v>18</v>
      </c>
      <c r="H1144" s="2"/>
    </row>
    <row r="1145" spans="1:12" customFormat="1" ht="16" x14ac:dyDescent="0.2">
      <c r="A1145" t="s">
        <v>4</v>
      </c>
      <c r="B1145">
        <v>1</v>
      </c>
      <c r="H1145" s="2"/>
    </row>
    <row r="1146" spans="1:12" customFormat="1" ht="16" x14ac:dyDescent="0.2">
      <c r="A1146" t="s">
        <v>5</v>
      </c>
      <c r="B1146" t="s">
        <v>1</v>
      </c>
      <c r="H1146" s="2"/>
    </row>
    <row r="1147" spans="1:12" customFormat="1" ht="16" x14ac:dyDescent="0.2">
      <c r="A1147" t="s">
        <v>207</v>
      </c>
      <c r="B1147" t="s">
        <v>208</v>
      </c>
      <c r="H1147" s="2"/>
    </row>
    <row r="1148" spans="1:12" customFormat="1" ht="16" x14ac:dyDescent="0.2">
      <c r="A1148" t="s">
        <v>6</v>
      </c>
      <c r="B1148" t="s">
        <v>7</v>
      </c>
      <c r="H1148" s="2"/>
    </row>
    <row r="1149" spans="1:12" customFormat="1" ht="16" x14ac:dyDescent="0.2">
      <c r="A1149" t="s">
        <v>8</v>
      </c>
      <c r="B1149" t="s">
        <v>17</v>
      </c>
      <c r="H1149" s="2"/>
    </row>
    <row r="1150" spans="1:12" customFormat="1" ht="16" x14ac:dyDescent="0.2">
      <c r="A1150" s="1" t="s">
        <v>10</v>
      </c>
      <c r="H1150" s="2"/>
    </row>
    <row r="1151" spans="1:12" x14ac:dyDescent="0.2">
      <c r="A1151" s="17" t="s">
        <v>11</v>
      </c>
      <c r="B1151" s="17" t="s">
        <v>12</v>
      </c>
      <c r="C1151" s="17" t="s">
        <v>3</v>
      </c>
      <c r="D1151" s="17" t="s">
        <v>13</v>
      </c>
      <c r="E1151" s="17" t="s">
        <v>8</v>
      </c>
      <c r="F1151" s="17" t="s">
        <v>6</v>
      </c>
      <c r="G1151" s="17" t="s">
        <v>5</v>
      </c>
      <c r="H1151" s="17" t="s">
        <v>153</v>
      </c>
      <c r="I1151" s="17" t="s">
        <v>182</v>
      </c>
      <c r="J1151" s="17" t="s">
        <v>183</v>
      </c>
      <c r="K1151" s="17" t="s">
        <v>184</v>
      </c>
      <c r="L1151" s="17" t="s">
        <v>185</v>
      </c>
    </row>
    <row r="1152" spans="1:12" customFormat="1" ht="16" x14ac:dyDescent="0.2">
      <c r="A1152" s="22" t="s">
        <v>274</v>
      </c>
      <c r="B1152">
        <v>1</v>
      </c>
      <c r="C1152" t="s">
        <v>18</v>
      </c>
      <c r="E1152" t="s">
        <v>17</v>
      </c>
      <c r="F1152" t="s">
        <v>19</v>
      </c>
      <c r="G1152" t="s">
        <v>1</v>
      </c>
      <c r="H1152" s="2"/>
    </row>
    <row r="1153" spans="1:12" customFormat="1" ht="16" x14ac:dyDescent="0.2">
      <c r="A1153" t="s">
        <v>257</v>
      </c>
      <c r="B1153">
        <f>1/47.5</f>
        <v>2.1052631578947368E-2</v>
      </c>
      <c r="C1153" t="s">
        <v>18</v>
      </c>
      <c r="E1153" t="s">
        <v>9</v>
      </c>
      <c r="F1153" t="s">
        <v>23</v>
      </c>
      <c r="G1153" t="s">
        <v>258</v>
      </c>
      <c r="H1153" s="2"/>
    </row>
    <row r="1154" spans="1:12" customFormat="1" ht="16" x14ac:dyDescent="0.2">
      <c r="A1154" t="s">
        <v>146</v>
      </c>
      <c r="B1154">
        <v>1.1510877524470435E-4</v>
      </c>
      <c r="C1154" t="s">
        <v>18</v>
      </c>
      <c r="E1154" t="s">
        <v>9</v>
      </c>
      <c r="F1154" t="s">
        <v>23</v>
      </c>
      <c r="G1154" t="s">
        <v>146</v>
      </c>
      <c r="H1154" s="2"/>
      <c r="I1154">
        <v>5</v>
      </c>
      <c r="J1154">
        <f>B1154</f>
        <v>1.1510877524470435E-4</v>
      </c>
      <c r="K1154">
        <f>(1000000/1250000)*B1154</f>
        <v>9.2087020195763493E-5</v>
      </c>
      <c r="L1154">
        <f>(1000000/750000)*B1154</f>
        <v>1.5347836699293913E-4</v>
      </c>
    </row>
    <row r="1155" spans="1:12" customFormat="1" ht="16" x14ac:dyDescent="0.2">
      <c r="A1155" t="s">
        <v>209</v>
      </c>
      <c r="B1155">
        <f>271/1000000/16.7</f>
        <v>1.622754491017964E-5</v>
      </c>
      <c r="C1155" t="s">
        <v>18</v>
      </c>
      <c r="E1155" t="s">
        <v>9</v>
      </c>
      <c r="F1155" t="s">
        <v>23</v>
      </c>
      <c r="G1155" t="s">
        <v>210</v>
      </c>
      <c r="H1155" s="2"/>
      <c r="I1155">
        <v>5</v>
      </c>
      <c r="J1155">
        <f>B1155</f>
        <v>1.622754491017964E-5</v>
      </c>
      <c r="K1155">
        <f>77/1250000/16.7</f>
        <v>3.6886227544910185E-6</v>
      </c>
      <c r="L1155">
        <f>387/750000/16.7</f>
        <v>3.0898203592814368E-5</v>
      </c>
    </row>
    <row r="1156" spans="1:12" customFormat="1" ht="16" x14ac:dyDescent="0.2">
      <c r="A1156" t="s">
        <v>59</v>
      </c>
      <c r="B1156">
        <v>8.6651209802368515E-11</v>
      </c>
      <c r="D1156" t="s">
        <v>14</v>
      </c>
      <c r="E1156" t="s">
        <v>9</v>
      </c>
      <c r="F1156" t="s">
        <v>15</v>
      </c>
      <c r="H1156" s="2"/>
    </row>
    <row r="1157" spans="1:12" customFormat="1" ht="16" x14ac:dyDescent="0.2">
      <c r="A1157" t="s">
        <v>248</v>
      </c>
      <c r="B1157">
        <v>7.891795688303974E-8</v>
      </c>
      <c r="D1157" t="s">
        <v>117</v>
      </c>
      <c r="E1157" t="s">
        <v>9</v>
      </c>
      <c r="F1157" t="s">
        <v>15</v>
      </c>
      <c r="H1157" s="2"/>
    </row>
    <row r="1158" spans="1:12" customFormat="1" ht="16" x14ac:dyDescent="0.2">
      <c r="A1158" t="s">
        <v>80</v>
      </c>
      <c r="B1158">
        <v>2.8306061868773727E-9</v>
      </c>
      <c r="D1158" t="s">
        <v>14</v>
      </c>
      <c r="E1158" t="s">
        <v>9</v>
      </c>
      <c r="F1158" t="s">
        <v>15</v>
      </c>
      <c r="H1158" s="2"/>
    </row>
    <row r="1159" spans="1:12" customFormat="1" ht="16" x14ac:dyDescent="0.2">
      <c r="A1159" t="s">
        <v>49</v>
      </c>
      <c r="B1159">
        <v>3.9570719143081625E-9</v>
      </c>
      <c r="D1159" t="s">
        <v>14</v>
      </c>
      <c r="E1159" t="s">
        <v>9</v>
      </c>
      <c r="F1159" t="s">
        <v>15</v>
      </c>
      <c r="H1159" s="2"/>
    </row>
    <row r="1160" spans="1:12" customFormat="1" ht="16" x14ac:dyDescent="0.2">
      <c r="A1160" t="s">
        <v>48</v>
      </c>
      <c r="B1160">
        <v>7.9273222551331606E-6</v>
      </c>
      <c r="D1160" t="s">
        <v>14</v>
      </c>
      <c r="E1160" t="s">
        <v>9</v>
      </c>
      <c r="F1160" t="s">
        <v>15</v>
      </c>
      <c r="H1160" s="2"/>
    </row>
    <row r="1161" spans="1:12" customFormat="1" ht="16" x14ac:dyDescent="0.2">
      <c r="A1161" t="s">
        <v>47</v>
      </c>
      <c r="B1161">
        <v>5.1124213783397438E-9</v>
      </c>
      <c r="D1161" t="s">
        <v>14</v>
      </c>
      <c r="E1161" t="s">
        <v>9</v>
      </c>
      <c r="F1161" t="s">
        <v>15</v>
      </c>
      <c r="H1161" s="2"/>
    </row>
    <row r="1162" spans="1:12" customFormat="1" ht="16" x14ac:dyDescent="0.2">
      <c r="A1162" t="s">
        <v>180</v>
      </c>
      <c r="B1162">
        <v>8.3875030178923751E-5</v>
      </c>
      <c r="D1162" t="s">
        <v>117</v>
      </c>
      <c r="E1162" t="s">
        <v>9</v>
      </c>
      <c r="F1162" t="s">
        <v>15</v>
      </c>
      <c r="H1162" s="2"/>
    </row>
    <row r="1163" spans="1:12" customFormat="1" ht="16" x14ac:dyDescent="0.2">
      <c r="A1163" t="s">
        <v>180</v>
      </c>
      <c r="B1163">
        <v>1.0801510989610235E-5</v>
      </c>
      <c r="D1163" t="s">
        <v>14</v>
      </c>
      <c r="E1163" t="s">
        <v>9</v>
      </c>
      <c r="F1163" t="s">
        <v>15</v>
      </c>
      <c r="H1163" s="2"/>
    </row>
    <row r="1164" spans="1:12" customFormat="1" ht="16" x14ac:dyDescent="0.2">
      <c r="A1164" t="s">
        <v>76</v>
      </c>
      <c r="B1164">
        <v>1.6174892496442126E-9</v>
      </c>
      <c r="D1164" t="s">
        <v>14</v>
      </c>
      <c r="E1164" t="s">
        <v>9</v>
      </c>
      <c r="F1164" t="s">
        <v>15</v>
      </c>
      <c r="H1164" s="2"/>
    </row>
    <row r="1165" spans="1:12" customFormat="1" ht="16" x14ac:dyDescent="0.2">
      <c r="A1165" t="s">
        <v>58</v>
      </c>
      <c r="B1165">
        <v>2.888373660078951E-7</v>
      </c>
      <c r="D1165" t="s">
        <v>14</v>
      </c>
      <c r="E1165" t="s">
        <v>9</v>
      </c>
      <c r="F1165" t="s">
        <v>15</v>
      </c>
      <c r="H1165" s="2"/>
    </row>
    <row r="1166" spans="1:12" customFormat="1" ht="16" x14ac:dyDescent="0.2">
      <c r="A1166" t="s">
        <v>235</v>
      </c>
      <c r="B1166">
        <v>7.63619826432997E-7</v>
      </c>
      <c r="D1166" t="s">
        <v>14</v>
      </c>
      <c r="E1166" t="s">
        <v>9</v>
      </c>
      <c r="F1166" t="s">
        <v>15</v>
      </c>
      <c r="H1166" s="2"/>
    </row>
    <row r="1167" spans="1:12" customFormat="1" ht="16" x14ac:dyDescent="0.2">
      <c r="A1167" t="s">
        <v>61</v>
      </c>
      <c r="B1167">
        <v>2.4262338744663193E-8</v>
      </c>
      <c r="D1167" t="s">
        <v>14</v>
      </c>
      <c r="E1167" t="s">
        <v>9</v>
      </c>
      <c r="F1167" t="s">
        <v>15</v>
      </c>
      <c r="H1167" s="2"/>
    </row>
    <row r="1168" spans="1:12" customFormat="1" ht="16" x14ac:dyDescent="0.2">
      <c r="A1168" t="s">
        <v>234</v>
      </c>
      <c r="B1168">
        <v>3.9657281817228329E-7</v>
      </c>
      <c r="D1168" t="s">
        <v>14</v>
      </c>
      <c r="E1168" t="s">
        <v>9</v>
      </c>
      <c r="F1168" t="s">
        <v>15</v>
      </c>
      <c r="H1168" s="2"/>
    </row>
    <row r="1169" spans="1:8" customFormat="1" ht="16" x14ac:dyDescent="0.2">
      <c r="A1169" t="s">
        <v>123</v>
      </c>
      <c r="B1169">
        <f>2.74*B1153</f>
        <v>5.7684210526315789E-2</v>
      </c>
      <c r="D1169" t="s">
        <v>117</v>
      </c>
      <c r="E1169" t="s">
        <v>9</v>
      </c>
      <c r="F1169" t="s">
        <v>15</v>
      </c>
      <c r="H1169" s="2"/>
    </row>
    <row r="1170" spans="1:8" customFormat="1" ht="16" x14ac:dyDescent="0.2">
      <c r="A1170" t="s">
        <v>69</v>
      </c>
      <c r="B1170">
        <v>2.9407627408218493E-5</v>
      </c>
      <c r="D1170" t="s">
        <v>14</v>
      </c>
      <c r="E1170" t="s">
        <v>9</v>
      </c>
      <c r="F1170" t="s">
        <v>15</v>
      </c>
      <c r="H1170" s="2"/>
    </row>
    <row r="1171" spans="1:8" customFormat="1" ht="16" x14ac:dyDescent="0.2">
      <c r="A1171" t="s">
        <v>81</v>
      </c>
      <c r="B1171">
        <v>1.1553494640315805E-9</v>
      </c>
      <c r="D1171" t="s">
        <v>14</v>
      </c>
      <c r="E1171" t="s">
        <v>9</v>
      </c>
      <c r="F1171" t="s">
        <v>15</v>
      </c>
      <c r="H1171" s="2"/>
    </row>
    <row r="1172" spans="1:8" customFormat="1" ht="16" x14ac:dyDescent="0.2">
      <c r="A1172" t="s">
        <v>249</v>
      </c>
      <c r="B1172">
        <v>1.1740772587352886E-5</v>
      </c>
      <c r="D1172" t="s">
        <v>14</v>
      </c>
      <c r="E1172" t="s">
        <v>9</v>
      </c>
      <c r="F1172" t="s">
        <v>15</v>
      </c>
      <c r="H1172" s="2"/>
    </row>
    <row r="1173" spans="1:8" customFormat="1" ht="16" x14ac:dyDescent="0.2">
      <c r="A1173" t="s">
        <v>72</v>
      </c>
      <c r="B1173">
        <v>1.7330241960473703E-10</v>
      </c>
      <c r="D1173" t="s">
        <v>14</v>
      </c>
      <c r="E1173" t="s">
        <v>9</v>
      </c>
      <c r="F1173" t="s">
        <v>15</v>
      </c>
      <c r="H1173" s="2"/>
    </row>
    <row r="1174" spans="1:8" customFormat="1" ht="16" x14ac:dyDescent="0.2">
      <c r="A1174" t="s">
        <v>78</v>
      </c>
      <c r="B1174">
        <v>2.8883736600789512E-11</v>
      </c>
      <c r="D1174" t="s">
        <v>14</v>
      </c>
      <c r="E1174" t="s">
        <v>9</v>
      </c>
      <c r="F1174" t="s">
        <v>15</v>
      </c>
      <c r="H1174" s="2"/>
    </row>
    <row r="1175" spans="1:8" customFormat="1" ht="16" x14ac:dyDescent="0.2">
      <c r="A1175" t="s">
        <v>62</v>
      </c>
      <c r="B1175">
        <v>8.6651209802368528E-10</v>
      </c>
      <c r="D1175" t="s">
        <v>14</v>
      </c>
      <c r="E1175" t="s">
        <v>9</v>
      </c>
      <c r="F1175" t="s">
        <v>15</v>
      </c>
      <c r="H1175" s="2"/>
    </row>
    <row r="1176" spans="1:8" customFormat="1" ht="16" x14ac:dyDescent="0.2">
      <c r="A1176" t="s">
        <v>51</v>
      </c>
      <c r="B1176">
        <v>4.3325604901184269E-10</v>
      </c>
      <c r="D1176" t="s">
        <v>14</v>
      </c>
      <c r="E1176" t="s">
        <v>9</v>
      </c>
      <c r="F1176" t="s">
        <v>15</v>
      </c>
      <c r="H1176" s="2"/>
    </row>
    <row r="1177" spans="1:8" customFormat="1" ht="16" x14ac:dyDescent="0.2">
      <c r="A1177" t="s">
        <v>124</v>
      </c>
      <c r="B1177">
        <v>4.4309095397735818E-5</v>
      </c>
      <c r="D1177" t="s">
        <v>14</v>
      </c>
      <c r="E1177" t="s">
        <v>9</v>
      </c>
      <c r="F1177" t="s">
        <v>15</v>
      </c>
      <c r="H1177" s="2"/>
    </row>
    <row r="1178" spans="1:8" customFormat="1" ht="16" x14ac:dyDescent="0.2">
      <c r="A1178" t="s">
        <v>73</v>
      </c>
      <c r="B1178">
        <v>2.8883736600789513E-10</v>
      </c>
      <c r="D1178" t="s">
        <v>14</v>
      </c>
      <c r="E1178" t="s">
        <v>9</v>
      </c>
      <c r="F1178" t="s">
        <v>15</v>
      </c>
      <c r="H1178" s="2"/>
    </row>
    <row r="1179" spans="1:8" customFormat="1" ht="16" x14ac:dyDescent="0.2">
      <c r="A1179" t="s">
        <v>45</v>
      </c>
      <c r="B1179">
        <v>1.3199867626560807E-8</v>
      </c>
      <c r="D1179" t="s">
        <v>14</v>
      </c>
      <c r="E1179" t="s">
        <v>9</v>
      </c>
      <c r="F1179" t="s">
        <v>15</v>
      </c>
      <c r="H1179" s="2"/>
    </row>
    <row r="1180" spans="1:8" customFormat="1" ht="16" x14ac:dyDescent="0.2">
      <c r="B1180" s="3"/>
      <c r="H1180" s="2"/>
    </row>
    <row r="1181" spans="1:8" customFormat="1" ht="16" x14ac:dyDescent="0.2">
      <c r="B1181" s="3"/>
      <c r="H1181" s="2"/>
    </row>
    <row r="1182" spans="1:8" x14ac:dyDescent="0.2">
      <c r="A1182" s="17" t="s">
        <v>2</v>
      </c>
      <c r="B1182" s="17" t="s">
        <v>252</v>
      </c>
    </row>
    <row r="1183" spans="1:8" customFormat="1" ht="16" x14ac:dyDescent="0.2">
      <c r="A1183" t="s">
        <v>153</v>
      </c>
      <c r="B1183" t="s">
        <v>253</v>
      </c>
      <c r="H1183" s="2"/>
    </row>
    <row r="1184" spans="1:8" customFormat="1" ht="16" x14ac:dyDescent="0.2">
      <c r="A1184" t="s">
        <v>201</v>
      </c>
      <c r="B1184" t="s">
        <v>202</v>
      </c>
      <c r="H1184" s="2"/>
    </row>
    <row r="1185" spans="1:12" customFormat="1" ht="16" x14ac:dyDescent="0.2">
      <c r="A1185" t="s">
        <v>3</v>
      </c>
      <c r="B1185" t="s">
        <v>18</v>
      </c>
      <c r="H1185" s="2"/>
    </row>
    <row r="1186" spans="1:12" customFormat="1" ht="16" x14ac:dyDescent="0.2">
      <c r="A1186" t="s">
        <v>4</v>
      </c>
      <c r="B1186">
        <v>1</v>
      </c>
      <c r="H1186" s="2"/>
    </row>
    <row r="1187" spans="1:12" customFormat="1" ht="16" x14ac:dyDescent="0.2">
      <c r="A1187" t="s">
        <v>5</v>
      </c>
      <c r="B1187" t="s">
        <v>1</v>
      </c>
      <c r="H1187" s="2"/>
    </row>
    <row r="1188" spans="1:12" customFormat="1" ht="16" x14ac:dyDescent="0.2">
      <c r="A1188" t="s">
        <v>207</v>
      </c>
      <c r="B1188" t="s">
        <v>208</v>
      </c>
      <c r="H1188" s="2"/>
    </row>
    <row r="1189" spans="1:12" customFormat="1" ht="16" x14ac:dyDescent="0.2">
      <c r="A1189" t="s">
        <v>6</v>
      </c>
      <c r="B1189" t="s">
        <v>7</v>
      </c>
      <c r="H1189" s="2"/>
    </row>
    <row r="1190" spans="1:12" customFormat="1" ht="16" x14ac:dyDescent="0.2">
      <c r="A1190" t="s">
        <v>8</v>
      </c>
      <c r="B1190" t="s">
        <v>17</v>
      </c>
      <c r="H1190" s="2"/>
    </row>
    <row r="1191" spans="1:12" customFormat="1" ht="16" x14ac:dyDescent="0.2">
      <c r="A1191" s="1" t="s">
        <v>10</v>
      </c>
      <c r="H1191" s="2"/>
    </row>
    <row r="1192" spans="1:12" x14ac:dyDescent="0.2">
      <c r="A1192" s="17" t="s">
        <v>11</v>
      </c>
      <c r="B1192" s="17" t="s">
        <v>12</v>
      </c>
      <c r="C1192" s="17" t="s">
        <v>3</v>
      </c>
      <c r="D1192" s="17" t="s">
        <v>13</v>
      </c>
      <c r="E1192" s="17" t="s">
        <v>8</v>
      </c>
      <c r="F1192" s="17" t="s">
        <v>6</v>
      </c>
      <c r="G1192" s="17" t="s">
        <v>5</v>
      </c>
      <c r="H1192" s="17" t="s">
        <v>153</v>
      </c>
      <c r="I1192" s="17" t="s">
        <v>182</v>
      </c>
      <c r="J1192" s="17" t="s">
        <v>183</v>
      </c>
      <c r="K1192" s="17" t="s">
        <v>184</v>
      </c>
      <c r="L1192" s="17" t="s">
        <v>185</v>
      </c>
    </row>
    <row r="1193" spans="1:12" customFormat="1" ht="16" x14ac:dyDescent="0.2">
      <c r="A1193" s="22" t="s">
        <v>252</v>
      </c>
      <c r="B1193">
        <v>1</v>
      </c>
      <c r="C1193" t="s">
        <v>18</v>
      </c>
      <c r="E1193" t="s">
        <v>17</v>
      </c>
      <c r="F1193" t="s">
        <v>19</v>
      </c>
      <c r="G1193" t="s">
        <v>1</v>
      </c>
      <c r="H1193" s="2"/>
    </row>
    <row r="1194" spans="1:12" customFormat="1" ht="16" x14ac:dyDescent="0.2">
      <c r="A1194" t="s">
        <v>92</v>
      </c>
      <c r="B1194">
        <f>1/36</f>
        <v>2.7777777777777776E-2</v>
      </c>
      <c r="C1194" t="s">
        <v>27</v>
      </c>
      <c r="E1194" t="s">
        <v>94</v>
      </c>
      <c r="F1194" t="s">
        <v>23</v>
      </c>
      <c r="G1194" t="s">
        <v>93</v>
      </c>
      <c r="H1194" s="2"/>
    </row>
    <row r="1195" spans="1:12" customFormat="1" ht="16" x14ac:dyDescent="0.2">
      <c r="A1195" t="s">
        <v>146</v>
      </c>
      <c r="B1195">
        <v>1.1510877524470435E-4</v>
      </c>
      <c r="C1195" t="s">
        <v>18</v>
      </c>
      <c r="E1195" t="s">
        <v>9</v>
      </c>
      <c r="F1195" t="s">
        <v>23</v>
      </c>
      <c r="G1195" t="s">
        <v>146</v>
      </c>
      <c r="H1195" s="2"/>
      <c r="I1195">
        <v>5</v>
      </c>
      <c r="J1195">
        <f>B1195</f>
        <v>1.1510877524470435E-4</v>
      </c>
      <c r="K1195">
        <f>(1000000/1250000)*B1195</f>
        <v>9.2087020195763493E-5</v>
      </c>
      <c r="L1195">
        <f>(1000000/750000)*B1195</f>
        <v>1.5347836699293913E-4</v>
      </c>
    </row>
    <row r="1196" spans="1:12" customFormat="1" ht="16" x14ac:dyDescent="0.2">
      <c r="A1196" t="s">
        <v>209</v>
      </c>
      <c r="B1196">
        <f>271/1000000/16.7</f>
        <v>1.622754491017964E-5</v>
      </c>
      <c r="C1196" t="s">
        <v>18</v>
      </c>
      <c r="E1196" t="s">
        <v>9</v>
      </c>
      <c r="F1196" t="s">
        <v>23</v>
      </c>
      <c r="G1196" t="s">
        <v>210</v>
      </c>
      <c r="H1196" s="2"/>
      <c r="I1196">
        <v>5</v>
      </c>
      <c r="J1196">
        <f>B1196</f>
        <v>1.622754491017964E-5</v>
      </c>
      <c r="K1196">
        <f>77/1250000/16.7</f>
        <v>3.6886227544910185E-6</v>
      </c>
      <c r="L1196">
        <f>387/750000/16.7</f>
        <v>3.0898203592814368E-5</v>
      </c>
    </row>
    <row r="1197" spans="1:12" customFormat="1" ht="16" x14ac:dyDescent="0.2">
      <c r="A1197" t="s">
        <v>59</v>
      </c>
      <c r="B1197">
        <v>8.6651209802368515E-11</v>
      </c>
      <c r="D1197" t="s">
        <v>14</v>
      </c>
      <c r="E1197" t="s">
        <v>9</v>
      </c>
      <c r="F1197" t="s">
        <v>15</v>
      </c>
      <c r="H1197" s="2"/>
    </row>
    <row r="1198" spans="1:12" customFormat="1" ht="16" x14ac:dyDescent="0.2">
      <c r="A1198" t="s">
        <v>248</v>
      </c>
      <c r="B1198">
        <v>7.891795688303974E-8</v>
      </c>
      <c r="D1198" t="s">
        <v>117</v>
      </c>
      <c r="E1198" t="s">
        <v>9</v>
      </c>
      <c r="F1198" t="s">
        <v>15</v>
      </c>
      <c r="H1198" s="2"/>
    </row>
    <row r="1199" spans="1:12" customFormat="1" ht="16" x14ac:dyDescent="0.2">
      <c r="A1199" t="s">
        <v>80</v>
      </c>
      <c r="B1199">
        <v>2.8306061868773727E-9</v>
      </c>
      <c r="D1199" t="s">
        <v>14</v>
      </c>
      <c r="E1199" t="s">
        <v>9</v>
      </c>
      <c r="F1199" t="s">
        <v>15</v>
      </c>
      <c r="H1199" s="2"/>
    </row>
    <row r="1200" spans="1:12" customFormat="1" ht="16" x14ac:dyDescent="0.2">
      <c r="A1200" t="s">
        <v>49</v>
      </c>
      <c r="B1200">
        <v>3.9570719143081625E-9</v>
      </c>
      <c r="D1200" t="s">
        <v>14</v>
      </c>
      <c r="E1200" t="s">
        <v>9</v>
      </c>
      <c r="F1200" t="s">
        <v>15</v>
      </c>
      <c r="H1200" s="2"/>
    </row>
    <row r="1201" spans="1:8" customFormat="1" ht="16" x14ac:dyDescent="0.2">
      <c r="A1201" t="s">
        <v>48</v>
      </c>
      <c r="B1201">
        <v>7.9273222551331606E-6</v>
      </c>
      <c r="D1201" t="s">
        <v>14</v>
      </c>
      <c r="E1201" t="s">
        <v>9</v>
      </c>
      <c r="F1201" t="s">
        <v>15</v>
      </c>
      <c r="H1201" s="2"/>
    </row>
    <row r="1202" spans="1:8" customFormat="1" ht="16" x14ac:dyDescent="0.2">
      <c r="A1202" t="s">
        <v>47</v>
      </c>
      <c r="B1202">
        <v>5.1124213783397438E-9</v>
      </c>
      <c r="D1202" t="s">
        <v>14</v>
      </c>
      <c r="E1202" t="s">
        <v>9</v>
      </c>
      <c r="F1202" t="s">
        <v>15</v>
      </c>
      <c r="H1202" s="2"/>
    </row>
    <row r="1203" spans="1:8" customFormat="1" ht="16" x14ac:dyDescent="0.2">
      <c r="A1203" t="s">
        <v>65</v>
      </c>
      <c r="B1203">
        <v>8.3875030178923751E-5</v>
      </c>
      <c r="D1203" t="s">
        <v>117</v>
      </c>
      <c r="E1203" t="s">
        <v>9</v>
      </c>
      <c r="F1203" t="s">
        <v>15</v>
      </c>
      <c r="H1203" s="2"/>
    </row>
    <row r="1204" spans="1:8" customFormat="1" ht="16" x14ac:dyDescent="0.2">
      <c r="A1204" t="s">
        <v>65</v>
      </c>
      <c r="B1204">
        <v>1.0801510989610235E-5</v>
      </c>
      <c r="D1204" t="s">
        <v>14</v>
      </c>
      <c r="E1204" t="s">
        <v>9</v>
      </c>
      <c r="F1204" t="s">
        <v>15</v>
      </c>
      <c r="H1204" s="2"/>
    </row>
    <row r="1205" spans="1:8" customFormat="1" ht="16" x14ac:dyDescent="0.2">
      <c r="A1205" t="s">
        <v>76</v>
      </c>
      <c r="B1205">
        <v>1.6174892496442126E-9</v>
      </c>
      <c r="D1205" t="s">
        <v>14</v>
      </c>
      <c r="E1205" t="s">
        <v>9</v>
      </c>
      <c r="F1205" t="s">
        <v>15</v>
      </c>
      <c r="H1205" s="2"/>
    </row>
    <row r="1206" spans="1:8" customFormat="1" ht="16" x14ac:dyDescent="0.2">
      <c r="A1206" t="s">
        <v>58</v>
      </c>
      <c r="B1206">
        <v>2.888373660078951E-7</v>
      </c>
      <c r="D1206" t="s">
        <v>14</v>
      </c>
      <c r="E1206" t="s">
        <v>9</v>
      </c>
      <c r="F1206" t="s">
        <v>15</v>
      </c>
      <c r="H1206" s="2"/>
    </row>
    <row r="1207" spans="1:8" customFormat="1" ht="16" x14ac:dyDescent="0.2">
      <c r="A1207" t="s">
        <v>235</v>
      </c>
      <c r="B1207">
        <v>7.63619826432997E-7</v>
      </c>
      <c r="D1207" t="s">
        <v>14</v>
      </c>
      <c r="E1207" t="s">
        <v>9</v>
      </c>
      <c r="F1207" t="s">
        <v>15</v>
      </c>
      <c r="H1207" s="2"/>
    </row>
    <row r="1208" spans="1:8" customFormat="1" ht="16" x14ac:dyDescent="0.2">
      <c r="A1208" t="s">
        <v>61</v>
      </c>
      <c r="B1208">
        <v>2.4262338744663193E-8</v>
      </c>
      <c r="D1208" t="s">
        <v>14</v>
      </c>
      <c r="E1208" t="s">
        <v>9</v>
      </c>
      <c r="F1208" t="s">
        <v>15</v>
      </c>
      <c r="H1208" s="2"/>
    </row>
    <row r="1209" spans="1:8" customFormat="1" ht="16" x14ac:dyDescent="0.2">
      <c r="A1209" t="s">
        <v>234</v>
      </c>
      <c r="B1209">
        <v>3.9657281817228329E-7</v>
      </c>
      <c r="D1209" t="s">
        <v>14</v>
      </c>
      <c r="E1209" t="s">
        <v>9</v>
      </c>
      <c r="F1209" t="s">
        <v>15</v>
      </c>
      <c r="H1209" s="2"/>
    </row>
    <row r="1210" spans="1:8" customFormat="1" ht="16" x14ac:dyDescent="0.2">
      <c r="A1210" t="s">
        <v>53</v>
      </c>
      <c r="B1210">
        <f>1.96*B1194</f>
        <v>5.4444444444444441E-2</v>
      </c>
      <c r="D1210" t="s">
        <v>117</v>
      </c>
      <c r="E1210" t="s">
        <v>9</v>
      </c>
      <c r="F1210" t="s">
        <v>15</v>
      </c>
      <c r="H1210" s="2"/>
    </row>
    <row r="1211" spans="1:8" customFormat="1" ht="16" x14ac:dyDescent="0.2">
      <c r="A1211" t="s">
        <v>69</v>
      </c>
      <c r="B1211">
        <v>2.9407627408218493E-5</v>
      </c>
      <c r="D1211" t="s">
        <v>14</v>
      </c>
      <c r="E1211" t="s">
        <v>9</v>
      </c>
      <c r="F1211" t="s">
        <v>15</v>
      </c>
      <c r="H1211" s="2"/>
    </row>
    <row r="1212" spans="1:8" customFormat="1" ht="16" x14ac:dyDescent="0.2">
      <c r="A1212" t="s">
        <v>81</v>
      </c>
      <c r="B1212">
        <v>1.1553494640315805E-9</v>
      </c>
      <c r="D1212" t="s">
        <v>14</v>
      </c>
      <c r="E1212" t="s">
        <v>9</v>
      </c>
      <c r="F1212" t="s">
        <v>15</v>
      </c>
      <c r="H1212" s="2"/>
    </row>
    <row r="1213" spans="1:8" customFormat="1" ht="16" x14ac:dyDescent="0.2">
      <c r="A1213" t="s">
        <v>249</v>
      </c>
      <c r="B1213">
        <v>1.1740772587352886E-5</v>
      </c>
      <c r="D1213" t="s">
        <v>14</v>
      </c>
      <c r="E1213" t="s">
        <v>9</v>
      </c>
      <c r="F1213" t="s">
        <v>15</v>
      </c>
      <c r="H1213" s="2"/>
    </row>
    <row r="1214" spans="1:8" customFormat="1" ht="16" x14ac:dyDescent="0.2">
      <c r="A1214" t="s">
        <v>72</v>
      </c>
      <c r="B1214">
        <v>1.7330241960473703E-10</v>
      </c>
      <c r="D1214" t="s">
        <v>14</v>
      </c>
      <c r="E1214" t="s">
        <v>9</v>
      </c>
      <c r="F1214" t="s">
        <v>15</v>
      </c>
      <c r="H1214" s="2"/>
    </row>
    <row r="1215" spans="1:8" customFormat="1" ht="16" x14ac:dyDescent="0.2">
      <c r="A1215" t="s">
        <v>78</v>
      </c>
      <c r="B1215">
        <v>2.8883736600789512E-11</v>
      </c>
      <c r="D1215" t="s">
        <v>14</v>
      </c>
      <c r="E1215" t="s">
        <v>9</v>
      </c>
      <c r="F1215" t="s">
        <v>15</v>
      </c>
      <c r="H1215" s="2"/>
    </row>
    <row r="1216" spans="1:8" customFormat="1" ht="16" x14ac:dyDescent="0.2">
      <c r="A1216" t="s">
        <v>62</v>
      </c>
      <c r="B1216">
        <v>8.6651209802368528E-10</v>
      </c>
      <c r="D1216" t="s">
        <v>14</v>
      </c>
      <c r="E1216" t="s">
        <v>9</v>
      </c>
      <c r="F1216" t="s">
        <v>15</v>
      </c>
      <c r="H1216" s="2"/>
    </row>
    <row r="1217" spans="1:12" customFormat="1" ht="16" x14ac:dyDescent="0.2">
      <c r="A1217" t="s">
        <v>51</v>
      </c>
      <c r="B1217">
        <v>4.3325604901184269E-10</v>
      </c>
      <c r="D1217" t="s">
        <v>14</v>
      </c>
      <c r="E1217" t="s">
        <v>9</v>
      </c>
      <c r="F1217" t="s">
        <v>15</v>
      </c>
      <c r="H1217" s="2"/>
    </row>
    <row r="1218" spans="1:12" customFormat="1" ht="16" x14ac:dyDescent="0.2">
      <c r="A1218" t="s">
        <v>54</v>
      </c>
      <c r="B1218">
        <v>4.4309095397735818E-5</v>
      </c>
      <c r="D1218" t="s">
        <v>14</v>
      </c>
      <c r="E1218" t="s">
        <v>9</v>
      </c>
      <c r="F1218" t="s">
        <v>15</v>
      </c>
      <c r="H1218" s="2"/>
    </row>
    <row r="1219" spans="1:12" customFormat="1" ht="16" x14ac:dyDescent="0.2">
      <c r="A1219" t="s">
        <v>73</v>
      </c>
      <c r="B1219">
        <v>2.8883736600789513E-10</v>
      </c>
      <c r="D1219" t="s">
        <v>14</v>
      </c>
      <c r="E1219" t="s">
        <v>9</v>
      </c>
      <c r="F1219" t="s">
        <v>15</v>
      </c>
      <c r="H1219" s="2"/>
    </row>
    <row r="1220" spans="1:12" customFormat="1" ht="16" x14ac:dyDescent="0.2">
      <c r="A1220" t="s">
        <v>45</v>
      </c>
      <c r="B1220">
        <v>1.3199867626560807E-8</v>
      </c>
      <c r="D1220" t="s">
        <v>14</v>
      </c>
      <c r="E1220" t="s">
        <v>9</v>
      </c>
      <c r="F1220" t="s">
        <v>15</v>
      </c>
      <c r="H1220" s="2"/>
    </row>
    <row r="1221" spans="1:12" customFormat="1" ht="16" x14ac:dyDescent="0.2">
      <c r="B1221" s="3"/>
      <c r="H1221" s="2"/>
    </row>
    <row r="1222" spans="1:12" x14ac:dyDescent="0.2">
      <c r="A1222" s="17" t="s">
        <v>2</v>
      </c>
      <c r="B1222" s="17" t="s">
        <v>273</v>
      </c>
    </row>
    <row r="1223" spans="1:12" customFormat="1" ht="16" x14ac:dyDescent="0.2">
      <c r="A1223" t="s">
        <v>153</v>
      </c>
      <c r="B1223" t="s">
        <v>253</v>
      </c>
      <c r="H1223" s="2"/>
    </row>
    <row r="1224" spans="1:12" customFormat="1" ht="16" x14ac:dyDescent="0.2">
      <c r="A1224" t="s">
        <v>201</v>
      </c>
      <c r="B1224" t="s">
        <v>202</v>
      </c>
      <c r="H1224" s="2"/>
    </row>
    <row r="1225" spans="1:12" customFormat="1" ht="16" x14ac:dyDescent="0.2">
      <c r="A1225" t="s">
        <v>3</v>
      </c>
      <c r="B1225" t="s">
        <v>18</v>
      </c>
      <c r="H1225" s="2"/>
    </row>
    <row r="1226" spans="1:12" customFormat="1" ht="16" x14ac:dyDescent="0.2">
      <c r="A1226" t="s">
        <v>4</v>
      </c>
      <c r="B1226">
        <v>1</v>
      </c>
      <c r="H1226" s="2"/>
    </row>
    <row r="1227" spans="1:12" customFormat="1" ht="16" x14ac:dyDescent="0.2">
      <c r="A1227" t="s">
        <v>5</v>
      </c>
      <c r="B1227" t="s">
        <v>1</v>
      </c>
      <c r="H1227" s="2"/>
    </row>
    <row r="1228" spans="1:12" customFormat="1" ht="16" x14ac:dyDescent="0.2">
      <c r="A1228" t="s">
        <v>207</v>
      </c>
      <c r="B1228" t="s">
        <v>208</v>
      </c>
      <c r="H1228" s="2"/>
    </row>
    <row r="1229" spans="1:12" customFormat="1" ht="16" x14ac:dyDescent="0.2">
      <c r="A1229" t="s">
        <v>6</v>
      </c>
      <c r="B1229" t="s">
        <v>7</v>
      </c>
      <c r="H1229" s="2"/>
    </row>
    <row r="1230" spans="1:12" customFormat="1" ht="16" x14ac:dyDescent="0.2">
      <c r="A1230" t="s">
        <v>8</v>
      </c>
      <c r="B1230" t="s">
        <v>17</v>
      </c>
      <c r="H1230" s="2"/>
    </row>
    <row r="1231" spans="1:12" customFormat="1" ht="16" x14ac:dyDescent="0.2">
      <c r="A1231" s="1" t="s">
        <v>10</v>
      </c>
      <c r="H1231" s="2"/>
    </row>
    <row r="1232" spans="1:12" x14ac:dyDescent="0.2">
      <c r="A1232" s="17" t="s">
        <v>11</v>
      </c>
      <c r="B1232" s="17" t="s">
        <v>12</v>
      </c>
      <c r="C1232" s="17" t="s">
        <v>3</v>
      </c>
      <c r="D1232" s="17" t="s">
        <v>13</v>
      </c>
      <c r="E1232" s="17" t="s">
        <v>8</v>
      </c>
      <c r="F1232" s="17" t="s">
        <v>6</v>
      </c>
      <c r="G1232" s="17" t="s">
        <v>5</v>
      </c>
      <c r="H1232" s="17" t="s">
        <v>153</v>
      </c>
      <c r="I1232" s="17" t="s">
        <v>182</v>
      </c>
      <c r="J1232" s="17" t="s">
        <v>183</v>
      </c>
      <c r="K1232" s="17" t="s">
        <v>184</v>
      </c>
      <c r="L1232" s="17" t="s">
        <v>185</v>
      </c>
    </row>
    <row r="1233" spans="1:12" customFormat="1" ht="16" x14ac:dyDescent="0.2">
      <c r="A1233" s="22" t="s">
        <v>273</v>
      </c>
      <c r="B1233">
        <v>1</v>
      </c>
      <c r="C1233" t="s">
        <v>18</v>
      </c>
      <c r="E1233" t="s">
        <v>17</v>
      </c>
      <c r="F1233" t="s">
        <v>19</v>
      </c>
      <c r="G1233" t="s">
        <v>1</v>
      </c>
      <c r="H1233" s="2"/>
    </row>
    <row r="1234" spans="1:12" customFormat="1" ht="16" x14ac:dyDescent="0.2">
      <c r="A1234" t="s">
        <v>311</v>
      </c>
      <c r="B1234">
        <f>1/47.5</f>
        <v>2.1052631578947368E-2</v>
      </c>
      <c r="C1234" t="s">
        <v>18</v>
      </c>
      <c r="E1234" t="s">
        <v>9</v>
      </c>
      <c r="F1234" t="s">
        <v>23</v>
      </c>
      <c r="G1234" t="s">
        <v>270</v>
      </c>
      <c r="H1234" s="2"/>
    </row>
    <row r="1235" spans="1:12" customFormat="1" ht="16" x14ac:dyDescent="0.2">
      <c r="A1235" t="s">
        <v>146</v>
      </c>
      <c r="B1235">
        <v>1.1510877524470435E-4</v>
      </c>
      <c r="C1235" t="s">
        <v>18</v>
      </c>
      <c r="E1235" t="s">
        <v>9</v>
      </c>
      <c r="F1235" t="s">
        <v>23</v>
      </c>
      <c r="G1235" t="s">
        <v>146</v>
      </c>
      <c r="H1235" s="2"/>
      <c r="I1235">
        <v>5</v>
      </c>
      <c r="J1235">
        <f>B1235</f>
        <v>1.1510877524470435E-4</v>
      </c>
      <c r="K1235">
        <f>(1000000/1250000)*B1235</f>
        <v>9.2087020195763493E-5</v>
      </c>
      <c r="L1235">
        <f>(1000000/750000)*B1235</f>
        <v>1.5347836699293913E-4</v>
      </c>
    </row>
    <row r="1236" spans="1:12" customFormat="1" ht="16" x14ac:dyDescent="0.2">
      <c r="A1236" t="s">
        <v>209</v>
      </c>
      <c r="B1236">
        <f>271/1000000/16.7</f>
        <v>1.622754491017964E-5</v>
      </c>
      <c r="C1236" t="s">
        <v>18</v>
      </c>
      <c r="E1236" t="s">
        <v>9</v>
      </c>
      <c r="F1236" t="s">
        <v>23</v>
      </c>
      <c r="G1236" t="s">
        <v>210</v>
      </c>
      <c r="H1236" s="2"/>
      <c r="I1236">
        <v>5</v>
      </c>
      <c r="J1236">
        <f>B1236</f>
        <v>1.622754491017964E-5</v>
      </c>
      <c r="K1236">
        <f>77/1250000/16.7</f>
        <v>3.6886227544910185E-6</v>
      </c>
      <c r="L1236">
        <f>387/750000/16.7</f>
        <v>3.0898203592814368E-5</v>
      </c>
    </row>
    <row r="1237" spans="1:12" customFormat="1" ht="16" x14ac:dyDescent="0.2">
      <c r="A1237" t="s">
        <v>59</v>
      </c>
      <c r="B1237">
        <v>8.6651209802368515E-11</v>
      </c>
      <c r="D1237" t="s">
        <v>14</v>
      </c>
      <c r="E1237" t="s">
        <v>9</v>
      </c>
      <c r="F1237" t="s">
        <v>15</v>
      </c>
      <c r="H1237" s="2"/>
    </row>
    <row r="1238" spans="1:12" customFormat="1" ht="16" x14ac:dyDescent="0.2">
      <c r="A1238" t="s">
        <v>248</v>
      </c>
      <c r="B1238">
        <v>7.891795688303974E-8</v>
      </c>
      <c r="D1238" t="s">
        <v>117</v>
      </c>
      <c r="E1238" t="s">
        <v>9</v>
      </c>
      <c r="F1238" t="s">
        <v>15</v>
      </c>
      <c r="H1238" s="2"/>
    </row>
    <row r="1239" spans="1:12" customFormat="1" ht="16" x14ac:dyDescent="0.2">
      <c r="A1239" t="s">
        <v>80</v>
      </c>
      <c r="B1239">
        <v>2.8306061868773727E-9</v>
      </c>
      <c r="D1239" t="s">
        <v>14</v>
      </c>
      <c r="E1239" t="s">
        <v>9</v>
      </c>
      <c r="F1239" t="s">
        <v>15</v>
      </c>
      <c r="H1239" s="2"/>
    </row>
    <row r="1240" spans="1:12" customFormat="1" ht="16" x14ac:dyDescent="0.2">
      <c r="A1240" t="s">
        <v>49</v>
      </c>
      <c r="B1240">
        <v>3.9570719143081625E-9</v>
      </c>
      <c r="D1240" t="s">
        <v>14</v>
      </c>
      <c r="E1240" t="s">
        <v>9</v>
      </c>
      <c r="F1240" t="s">
        <v>15</v>
      </c>
      <c r="H1240" s="2"/>
    </row>
    <row r="1241" spans="1:12" customFormat="1" ht="16" x14ac:dyDescent="0.2">
      <c r="A1241" t="s">
        <v>48</v>
      </c>
      <c r="B1241">
        <v>7.9273222551331606E-6</v>
      </c>
      <c r="D1241" t="s">
        <v>14</v>
      </c>
      <c r="E1241" t="s">
        <v>9</v>
      </c>
      <c r="F1241" t="s">
        <v>15</v>
      </c>
      <c r="H1241" s="2"/>
    </row>
    <row r="1242" spans="1:12" customFormat="1" ht="16" x14ac:dyDescent="0.2">
      <c r="A1242" t="s">
        <v>47</v>
      </c>
      <c r="B1242">
        <v>5.1124213783397438E-9</v>
      </c>
      <c r="D1242" t="s">
        <v>14</v>
      </c>
      <c r="E1242" t="s">
        <v>9</v>
      </c>
      <c r="F1242" t="s">
        <v>15</v>
      </c>
      <c r="H1242" s="2"/>
    </row>
    <row r="1243" spans="1:12" customFormat="1" ht="16" x14ac:dyDescent="0.2">
      <c r="A1243" t="s">
        <v>180</v>
      </c>
      <c r="B1243">
        <v>8.3875030178923751E-5</v>
      </c>
      <c r="D1243" t="s">
        <v>117</v>
      </c>
      <c r="E1243" t="s">
        <v>9</v>
      </c>
      <c r="F1243" t="s">
        <v>15</v>
      </c>
      <c r="H1243" s="2"/>
    </row>
    <row r="1244" spans="1:12" customFormat="1" ht="16" x14ac:dyDescent="0.2">
      <c r="A1244" t="s">
        <v>180</v>
      </c>
      <c r="B1244">
        <v>1.0801510989610235E-5</v>
      </c>
      <c r="D1244" t="s">
        <v>14</v>
      </c>
      <c r="E1244" t="s">
        <v>9</v>
      </c>
      <c r="F1244" t="s">
        <v>15</v>
      </c>
      <c r="H1244" s="2"/>
    </row>
    <row r="1245" spans="1:12" customFormat="1" ht="16" x14ac:dyDescent="0.2">
      <c r="A1245" t="s">
        <v>76</v>
      </c>
      <c r="B1245">
        <v>1.6174892496442126E-9</v>
      </c>
      <c r="D1245" t="s">
        <v>14</v>
      </c>
      <c r="E1245" t="s">
        <v>9</v>
      </c>
      <c r="F1245" t="s">
        <v>15</v>
      </c>
      <c r="H1245" s="2"/>
    </row>
    <row r="1246" spans="1:12" customFormat="1" ht="16" x14ac:dyDescent="0.2">
      <c r="A1246" t="s">
        <v>58</v>
      </c>
      <c r="B1246">
        <v>2.888373660078951E-7</v>
      </c>
      <c r="D1246" t="s">
        <v>14</v>
      </c>
      <c r="E1246" t="s">
        <v>9</v>
      </c>
      <c r="F1246" t="s">
        <v>15</v>
      </c>
      <c r="H1246" s="2"/>
    </row>
    <row r="1247" spans="1:12" customFormat="1" ht="16" x14ac:dyDescent="0.2">
      <c r="A1247" t="s">
        <v>235</v>
      </c>
      <c r="B1247">
        <v>7.63619826432997E-7</v>
      </c>
      <c r="D1247" t="s">
        <v>14</v>
      </c>
      <c r="E1247" t="s">
        <v>9</v>
      </c>
      <c r="F1247" t="s">
        <v>15</v>
      </c>
      <c r="H1247" s="2"/>
    </row>
    <row r="1248" spans="1:12" customFormat="1" ht="16" x14ac:dyDescent="0.2">
      <c r="A1248" t="s">
        <v>61</v>
      </c>
      <c r="B1248">
        <v>2.4262338744663193E-8</v>
      </c>
      <c r="D1248" t="s">
        <v>14</v>
      </c>
      <c r="E1248" t="s">
        <v>9</v>
      </c>
      <c r="F1248" t="s">
        <v>15</v>
      </c>
      <c r="H1248" s="2"/>
    </row>
    <row r="1249" spans="1:12" customFormat="1" ht="16" x14ac:dyDescent="0.2">
      <c r="A1249" t="s">
        <v>234</v>
      </c>
      <c r="B1249">
        <v>3.9657281817228329E-7</v>
      </c>
      <c r="D1249" t="s">
        <v>14</v>
      </c>
      <c r="E1249" t="s">
        <v>9</v>
      </c>
      <c r="F1249" t="s">
        <v>15</v>
      </c>
      <c r="H1249" s="2"/>
    </row>
    <row r="1250" spans="1:12" customFormat="1" ht="16" x14ac:dyDescent="0.2">
      <c r="A1250" t="s">
        <v>123</v>
      </c>
      <c r="B1250">
        <f>2.74*B1234</f>
        <v>5.7684210526315789E-2</v>
      </c>
      <c r="D1250" t="s">
        <v>117</v>
      </c>
      <c r="E1250" t="s">
        <v>9</v>
      </c>
      <c r="F1250" t="s">
        <v>15</v>
      </c>
      <c r="H1250" s="2"/>
    </row>
    <row r="1251" spans="1:12" customFormat="1" ht="16" x14ac:dyDescent="0.2">
      <c r="A1251" t="s">
        <v>69</v>
      </c>
      <c r="B1251">
        <v>2.9407627408218493E-5</v>
      </c>
      <c r="D1251" t="s">
        <v>14</v>
      </c>
      <c r="E1251" t="s">
        <v>9</v>
      </c>
      <c r="F1251" t="s">
        <v>15</v>
      </c>
      <c r="H1251" s="2"/>
    </row>
    <row r="1252" spans="1:12" customFormat="1" ht="16" x14ac:dyDescent="0.2">
      <c r="A1252" t="s">
        <v>81</v>
      </c>
      <c r="B1252">
        <v>1.1553494640315805E-9</v>
      </c>
      <c r="D1252" t="s">
        <v>14</v>
      </c>
      <c r="E1252" t="s">
        <v>9</v>
      </c>
      <c r="F1252" t="s">
        <v>15</v>
      </c>
      <c r="H1252" s="2"/>
    </row>
    <row r="1253" spans="1:12" customFormat="1" ht="16" x14ac:dyDescent="0.2">
      <c r="A1253" t="s">
        <v>249</v>
      </c>
      <c r="B1253">
        <v>1.1740772587352886E-5</v>
      </c>
      <c r="D1253" t="s">
        <v>14</v>
      </c>
      <c r="E1253" t="s">
        <v>9</v>
      </c>
      <c r="F1253" t="s">
        <v>15</v>
      </c>
      <c r="H1253" s="2"/>
    </row>
    <row r="1254" spans="1:12" customFormat="1" ht="16" x14ac:dyDescent="0.2">
      <c r="A1254" t="s">
        <v>72</v>
      </c>
      <c r="B1254">
        <v>1.7330241960473703E-10</v>
      </c>
      <c r="D1254" t="s">
        <v>14</v>
      </c>
      <c r="E1254" t="s">
        <v>9</v>
      </c>
      <c r="F1254" t="s">
        <v>15</v>
      </c>
      <c r="H1254" s="2"/>
    </row>
    <row r="1255" spans="1:12" customFormat="1" ht="16" x14ac:dyDescent="0.2">
      <c r="A1255" t="s">
        <v>78</v>
      </c>
      <c r="B1255">
        <v>2.8883736600789512E-11</v>
      </c>
      <c r="D1255" t="s">
        <v>14</v>
      </c>
      <c r="E1255" t="s">
        <v>9</v>
      </c>
      <c r="F1255" t="s">
        <v>15</v>
      </c>
      <c r="H1255" s="2"/>
    </row>
    <row r="1256" spans="1:12" customFormat="1" ht="16" x14ac:dyDescent="0.2">
      <c r="A1256" t="s">
        <v>62</v>
      </c>
      <c r="B1256">
        <v>8.6651209802368528E-10</v>
      </c>
      <c r="D1256" t="s">
        <v>14</v>
      </c>
      <c r="E1256" t="s">
        <v>9</v>
      </c>
      <c r="F1256" t="s">
        <v>15</v>
      </c>
      <c r="H1256" s="2"/>
    </row>
    <row r="1257" spans="1:12" customFormat="1" ht="16" x14ac:dyDescent="0.2">
      <c r="A1257" t="s">
        <v>51</v>
      </c>
      <c r="B1257">
        <v>4.3325604901184269E-10</v>
      </c>
      <c r="D1257" t="s">
        <v>14</v>
      </c>
      <c r="E1257" t="s">
        <v>9</v>
      </c>
      <c r="F1257" t="s">
        <v>15</v>
      </c>
      <c r="H1257" s="2"/>
    </row>
    <row r="1258" spans="1:12" customFormat="1" ht="16" x14ac:dyDescent="0.2">
      <c r="A1258" t="s">
        <v>124</v>
      </c>
      <c r="B1258">
        <v>4.4309095397735818E-5</v>
      </c>
      <c r="D1258" t="s">
        <v>14</v>
      </c>
      <c r="E1258" t="s">
        <v>9</v>
      </c>
      <c r="F1258" t="s">
        <v>15</v>
      </c>
      <c r="H1258" s="2"/>
    </row>
    <row r="1259" spans="1:12" customFormat="1" ht="16" x14ac:dyDescent="0.2">
      <c r="A1259" t="s">
        <v>73</v>
      </c>
      <c r="B1259">
        <v>2.8883736600789513E-10</v>
      </c>
      <c r="D1259" t="s">
        <v>14</v>
      </c>
      <c r="E1259" t="s">
        <v>9</v>
      </c>
      <c r="F1259" t="s">
        <v>15</v>
      </c>
      <c r="H1259" s="2"/>
    </row>
    <row r="1260" spans="1:12" customFormat="1" ht="16" x14ac:dyDescent="0.2">
      <c r="A1260" t="s">
        <v>45</v>
      </c>
      <c r="B1260">
        <v>1.3199867626560807E-8</v>
      </c>
      <c r="D1260" t="s">
        <v>14</v>
      </c>
      <c r="E1260" t="s">
        <v>9</v>
      </c>
      <c r="F1260" t="s">
        <v>15</v>
      </c>
      <c r="H1260" s="2"/>
    </row>
    <row r="1261" spans="1:12" customFormat="1" ht="16" x14ac:dyDescent="0.2"/>
    <row r="1262" spans="1:12" x14ac:dyDescent="0.2">
      <c r="A1262" s="17" t="s">
        <v>2</v>
      </c>
      <c r="B1262" s="17" t="s">
        <v>95</v>
      </c>
    </row>
    <row r="1263" spans="1:12" customFormat="1" ht="16" x14ac:dyDescent="0.2">
      <c r="A1263" s="2" t="s">
        <v>3</v>
      </c>
      <c r="B1263" s="2" t="s">
        <v>18</v>
      </c>
      <c r="C1263" s="2"/>
      <c r="D1263" s="2"/>
      <c r="E1263" s="2"/>
      <c r="F1263" s="2"/>
      <c r="G1263" s="2"/>
      <c r="H1263" s="2"/>
      <c r="I1263" s="2"/>
      <c r="J1263" s="2"/>
      <c r="K1263" s="2"/>
      <c r="L1263" s="2"/>
    </row>
    <row r="1264" spans="1:12" customFormat="1" ht="16" x14ac:dyDescent="0.2">
      <c r="A1264" s="2" t="s">
        <v>4</v>
      </c>
      <c r="B1264" s="2">
        <v>1</v>
      </c>
      <c r="C1264" s="2"/>
      <c r="D1264" s="2"/>
      <c r="E1264" s="2"/>
      <c r="F1264" s="2"/>
      <c r="G1264" s="2"/>
      <c r="H1264" s="2"/>
      <c r="I1264" s="2"/>
      <c r="J1264" s="2"/>
      <c r="K1264" s="2"/>
      <c r="L1264" s="2"/>
    </row>
    <row r="1265" spans="1:12" customFormat="1" ht="16" x14ac:dyDescent="0.2">
      <c r="A1265" s="2" t="s">
        <v>5</v>
      </c>
      <c r="B1265" s="2" t="s">
        <v>1</v>
      </c>
      <c r="C1265" s="2"/>
      <c r="D1265" s="2"/>
      <c r="E1265" s="2"/>
      <c r="F1265" s="2"/>
      <c r="G1265" s="2"/>
      <c r="H1265" s="2"/>
      <c r="I1265" s="2"/>
      <c r="J1265" s="2"/>
    </row>
    <row r="1266" spans="1:12" customFormat="1" ht="16" x14ac:dyDescent="0.2">
      <c r="A1266" s="2" t="s">
        <v>6</v>
      </c>
      <c r="B1266" s="2" t="s">
        <v>7</v>
      </c>
      <c r="C1266" s="2"/>
      <c r="D1266" s="2"/>
      <c r="E1266" s="2"/>
      <c r="F1266" s="2"/>
      <c r="G1266" s="2"/>
      <c r="H1266" s="2"/>
      <c r="I1266" s="2"/>
      <c r="J1266" s="2"/>
      <c r="K1266" s="2"/>
      <c r="L1266" s="2"/>
    </row>
    <row r="1267" spans="1:12" customFormat="1" ht="16" x14ac:dyDescent="0.2">
      <c r="A1267" s="2" t="s">
        <v>8</v>
      </c>
      <c r="B1267" s="2" t="s">
        <v>17</v>
      </c>
      <c r="C1267" s="2"/>
      <c r="D1267" s="2"/>
      <c r="E1267" s="2"/>
      <c r="F1267" s="2"/>
      <c r="G1267" s="2"/>
      <c r="H1267" s="2"/>
      <c r="I1267" s="2"/>
      <c r="J1267" s="2"/>
      <c r="K1267" s="2"/>
      <c r="L1267" s="2"/>
    </row>
    <row r="1268" spans="1:12" customFormat="1" ht="16" x14ac:dyDescent="0.2">
      <c r="A1268" s="1" t="s">
        <v>10</v>
      </c>
      <c r="B1268" s="2"/>
      <c r="C1268" s="2"/>
      <c r="D1268" s="2"/>
      <c r="E1268" s="2"/>
      <c r="F1268" s="2"/>
      <c r="G1268" s="2"/>
      <c r="H1268" s="2"/>
      <c r="I1268" s="2"/>
      <c r="J1268" s="2"/>
      <c r="K1268" s="2"/>
      <c r="L1268" s="2"/>
    </row>
    <row r="1269" spans="1:12" x14ac:dyDescent="0.2">
      <c r="A1269" s="17" t="s">
        <v>11</v>
      </c>
      <c r="B1269" s="17" t="s">
        <v>12</v>
      </c>
      <c r="C1269" s="17" t="s">
        <v>3</v>
      </c>
      <c r="D1269" s="17" t="s">
        <v>13</v>
      </c>
      <c r="E1269" s="17" t="s">
        <v>8</v>
      </c>
      <c r="F1269" s="17" t="s">
        <v>6</v>
      </c>
      <c r="G1269" s="17" t="s">
        <v>5</v>
      </c>
      <c r="H1269" s="17"/>
      <c r="J1269" s="17"/>
      <c r="K1269" s="17"/>
    </row>
    <row r="1270" spans="1:12" customFormat="1" ht="16" x14ac:dyDescent="0.2">
      <c r="A1270" s="2" t="str">
        <f>B1262</f>
        <v>kerosene, burned in aircraft</v>
      </c>
      <c r="B1270" s="2">
        <v>1</v>
      </c>
      <c r="C1270" s="2" t="str">
        <f>B1263</f>
        <v>RER</v>
      </c>
      <c r="D1270" s="2"/>
      <c r="E1270" s="2" t="str">
        <f>B1267</f>
        <v>megajoule</v>
      </c>
      <c r="F1270" s="2" t="s">
        <v>19</v>
      </c>
      <c r="G1270" s="2" t="str">
        <f>B1265</f>
        <v>heat</v>
      </c>
      <c r="H1270" s="2"/>
      <c r="I1270" s="2"/>
      <c r="J1270" s="2"/>
      <c r="K1270" s="2"/>
      <c r="L1270" s="2"/>
    </row>
    <row r="1271" spans="1:12" customFormat="1" ht="16" x14ac:dyDescent="0.2">
      <c r="A1271" t="s">
        <v>96</v>
      </c>
      <c r="B1271">
        <f>1/43</f>
        <v>2.3255813953488372E-2</v>
      </c>
      <c r="C1271" t="s">
        <v>27</v>
      </c>
      <c r="E1271" t="s">
        <v>9</v>
      </c>
      <c r="F1271" t="s">
        <v>23</v>
      </c>
      <c r="G1271" t="s">
        <v>97</v>
      </c>
      <c r="I1271" s="2"/>
    </row>
    <row r="1272" spans="1:12" customFormat="1" ht="16" x14ac:dyDescent="0.2">
      <c r="A1272" t="s">
        <v>52</v>
      </c>
      <c r="B1272" s="3">
        <v>2.1198518564846293E-10</v>
      </c>
      <c r="D1272" t="s">
        <v>99</v>
      </c>
      <c r="E1272" t="s">
        <v>9</v>
      </c>
      <c r="F1272" s="2" t="s">
        <v>15</v>
      </c>
      <c r="I1272" s="2"/>
    </row>
    <row r="1273" spans="1:12" customFormat="1" ht="16" x14ac:dyDescent="0.2">
      <c r="A1273" t="s">
        <v>52</v>
      </c>
      <c r="B1273" s="3">
        <v>2.0573376279857471E-11</v>
      </c>
      <c r="D1273" t="s">
        <v>100</v>
      </c>
      <c r="E1273" t="s">
        <v>9</v>
      </c>
      <c r="F1273" s="2" t="s">
        <v>15</v>
      </c>
      <c r="I1273" s="2"/>
    </row>
    <row r="1274" spans="1:12" customFormat="1" ht="16" x14ac:dyDescent="0.2">
      <c r="A1274" t="s">
        <v>53</v>
      </c>
      <c r="B1274">
        <v>6.6068583902493483E-2</v>
      </c>
      <c r="D1274" t="s">
        <v>99</v>
      </c>
      <c r="E1274" t="s">
        <v>9</v>
      </c>
      <c r="F1274" s="2" t="s">
        <v>15</v>
      </c>
      <c r="I1274" s="2"/>
    </row>
    <row r="1275" spans="1:12" customFormat="1" ht="16" x14ac:dyDescent="0.2">
      <c r="A1275" t="s">
        <v>53</v>
      </c>
      <c r="B1275">
        <v>6.4120361938797945E-3</v>
      </c>
      <c r="D1275" t="s">
        <v>100</v>
      </c>
      <c r="E1275" t="s">
        <v>9</v>
      </c>
      <c r="F1275" s="2" t="s">
        <v>15</v>
      </c>
      <c r="I1275" s="2"/>
    </row>
    <row r="1276" spans="1:12" customFormat="1" ht="16" x14ac:dyDescent="0.2">
      <c r="A1276" t="s">
        <v>54</v>
      </c>
      <c r="B1276" s="3">
        <v>4.9620580872355555E-5</v>
      </c>
      <c r="D1276" t="s">
        <v>99</v>
      </c>
      <c r="E1276" t="s">
        <v>9</v>
      </c>
      <c r="F1276" s="2" t="s">
        <v>15</v>
      </c>
      <c r="I1276" s="2"/>
    </row>
    <row r="1277" spans="1:12" customFormat="1" ht="16" x14ac:dyDescent="0.2">
      <c r="A1277" t="s">
        <v>54</v>
      </c>
      <c r="B1277" s="3">
        <v>4.8157339611827094E-6</v>
      </c>
      <c r="D1277" t="s">
        <v>100</v>
      </c>
      <c r="E1277" t="s">
        <v>9</v>
      </c>
      <c r="F1277" s="2" t="s">
        <v>15</v>
      </c>
      <c r="I1277" s="2"/>
    </row>
    <row r="1278" spans="1:12" customFormat="1" ht="16" x14ac:dyDescent="0.2">
      <c r="A1278" t="s">
        <v>55</v>
      </c>
      <c r="B1278" s="3">
        <v>1.0599259282423148E-9</v>
      </c>
      <c r="D1278" t="s">
        <v>99</v>
      </c>
      <c r="E1278" t="s">
        <v>9</v>
      </c>
      <c r="F1278" s="2" t="s">
        <v>15</v>
      </c>
      <c r="I1278" s="2"/>
    </row>
    <row r="1279" spans="1:12" customFormat="1" ht="16" x14ac:dyDescent="0.2">
      <c r="A1279" t="s">
        <v>55</v>
      </c>
      <c r="B1279" s="3">
        <v>1.0286688139928735E-10</v>
      </c>
      <c r="D1279" t="s">
        <v>100</v>
      </c>
      <c r="E1279" t="s">
        <v>9</v>
      </c>
      <c r="F1279" s="2" t="s">
        <v>15</v>
      </c>
      <c r="I1279" s="2"/>
    </row>
    <row r="1280" spans="1:12" customFormat="1" ht="16" x14ac:dyDescent="0.2">
      <c r="A1280" t="s">
        <v>57</v>
      </c>
      <c r="B1280" s="3">
        <v>3.6037375961879753E-8</v>
      </c>
      <c r="D1280" t="s">
        <v>99</v>
      </c>
      <c r="E1280" t="s">
        <v>9</v>
      </c>
      <c r="F1280" s="2" t="s">
        <v>15</v>
      </c>
      <c r="I1280" s="2"/>
    </row>
    <row r="1281" spans="1:9" customFormat="1" ht="16" x14ac:dyDescent="0.2">
      <c r="A1281" t="s">
        <v>57</v>
      </c>
      <c r="B1281" s="3">
        <v>3.4974704476304713E-9</v>
      </c>
      <c r="D1281" t="s">
        <v>100</v>
      </c>
      <c r="E1281" t="s">
        <v>9</v>
      </c>
      <c r="F1281" s="2" t="s">
        <v>15</v>
      </c>
      <c r="I1281" s="2"/>
    </row>
    <row r="1282" spans="1:9" customFormat="1" ht="16" x14ac:dyDescent="0.2">
      <c r="A1282" t="s">
        <v>63</v>
      </c>
      <c r="B1282" s="3">
        <v>4.2396949131060127E-7</v>
      </c>
      <c r="D1282" t="s">
        <v>99</v>
      </c>
      <c r="E1282" t="s">
        <v>9</v>
      </c>
      <c r="F1282" s="2" t="s">
        <v>15</v>
      </c>
      <c r="I1282" s="2"/>
    </row>
    <row r="1283" spans="1:9" customFormat="1" ht="16" x14ac:dyDescent="0.2">
      <c r="A1283" t="s">
        <v>63</v>
      </c>
      <c r="B1283" s="3">
        <v>4.1146752559714943E-8</v>
      </c>
      <c r="D1283" t="s">
        <v>100</v>
      </c>
      <c r="E1283" t="s">
        <v>9</v>
      </c>
      <c r="F1283" s="2" t="s">
        <v>15</v>
      </c>
      <c r="I1283" s="2"/>
    </row>
    <row r="1284" spans="1:9" customFormat="1" ht="16" x14ac:dyDescent="0.2">
      <c r="A1284" t="s">
        <v>64</v>
      </c>
      <c r="B1284" s="3">
        <v>1.4838945395665915E-12</v>
      </c>
      <c r="D1284" t="s">
        <v>99</v>
      </c>
      <c r="E1284" t="s">
        <v>9</v>
      </c>
      <c r="F1284" s="2" t="s">
        <v>15</v>
      </c>
      <c r="I1284" s="2"/>
    </row>
    <row r="1285" spans="1:9" customFormat="1" ht="16" x14ac:dyDescent="0.2">
      <c r="A1285" t="s">
        <v>64</v>
      </c>
      <c r="B1285" s="3">
        <v>1.4401328196447244E-13</v>
      </c>
      <c r="D1285" t="s">
        <v>100</v>
      </c>
      <c r="E1285" t="s">
        <v>9</v>
      </c>
      <c r="F1285" s="2" t="s">
        <v>15</v>
      </c>
      <c r="I1285" s="2"/>
    </row>
    <row r="1286" spans="1:9" customFormat="1" ht="16" x14ac:dyDescent="0.2">
      <c r="A1286" t="s">
        <v>67</v>
      </c>
      <c r="B1286" s="3">
        <v>4.9290146007471967E-6</v>
      </c>
      <c r="D1286" t="s">
        <v>99</v>
      </c>
      <c r="E1286" t="s">
        <v>9</v>
      </c>
      <c r="F1286" s="2" t="s">
        <v>15</v>
      </c>
      <c r="I1286" s="2"/>
    </row>
    <row r="1287" spans="1:9" customFormat="1" ht="16" x14ac:dyDescent="0.2">
      <c r="A1287" t="s">
        <v>67</v>
      </c>
      <c r="B1287" s="3">
        <v>4.7836672595146453E-7</v>
      </c>
      <c r="D1287" t="s">
        <v>100</v>
      </c>
      <c r="E1287" t="s">
        <v>9</v>
      </c>
      <c r="F1287" s="2" t="s">
        <v>15</v>
      </c>
      <c r="I1287" s="2"/>
    </row>
    <row r="1288" spans="1:9" customFormat="1" ht="16" x14ac:dyDescent="0.2">
      <c r="A1288" t="s">
        <v>68</v>
      </c>
      <c r="B1288" s="3">
        <v>1.4838945395665916E-9</v>
      </c>
      <c r="D1288" t="s">
        <v>99</v>
      </c>
      <c r="E1288" t="s">
        <v>9</v>
      </c>
      <c r="F1288" s="2" t="s">
        <v>15</v>
      </c>
      <c r="I1288" s="2"/>
    </row>
    <row r="1289" spans="1:9" customFormat="1" ht="16" x14ac:dyDescent="0.2">
      <c r="A1289" t="s">
        <v>68</v>
      </c>
      <c r="B1289" s="3">
        <v>1.4401328196447246E-10</v>
      </c>
      <c r="D1289" t="s">
        <v>100</v>
      </c>
      <c r="E1289" t="s">
        <v>9</v>
      </c>
      <c r="F1289" s="2" t="s">
        <v>15</v>
      </c>
      <c r="I1289" s="2"/>
    </row>
    <row r="1290" spans="1:9" customFormat="1" ht="16" x14ac:dyDescent="0.2">
      <c r="A1290" t="s">
        <v>69</v>
      </c>
      <c r="B1290">
        <v>3.0006653682198702E-4</v>
      </c>
      <c r="D1290" t="s">
        <v>99</v>
      </c>
      <c r="E1290" t="s">
        <v>9</v>
      </c>
      <c r="F1290" s="2" t="s">
        <v>15</v>
      </c>
      <c r="I1290" s="2"/>
    </row>
    <row r="1291" spans="1:9" customFormat="1" ht="16" x14ac:dyDescent="0.2">
      <c r="A1291" t="s">
        <v>69</v>
      </c>
      <c r="B1291" s="3">
        <v>2.9121827432823326E-5</v>
      </c>
      <c r="D1291" t="s">
        <v>100</v>
      </c>
      <c r="E1291" t="s">
        <v>9</v>
      </c>
      <c r="F1291" s="2" t="s">
        <v>15</v>
      </c>
      <c r="I1291" s="2"/>
    </row>
    <row r="1292" spans="1:9" customFormat="1" ht="16" x14ac:dyDescent="0.2">
      <c r="A1292" t="s">
        <v>71</v>
      </c>
      <c r="B1292" s="3">
        <v>3.8963858482936672E-6</v>
      </c>
      <c r="D1292" t="s">
        <v>99</v>
      </c>
      <c r="E1292" t="s">
        <v>9</v>
      </c>
      <c r="F1292" s="2" t="s">
        <v>15</v>
      </c>
      <c r="I1292" s="2"/>
    </row>
    <row r="1293" spans="1:9" customFormat="1" ht="16" x14ac:dyDescent="0.2">
      <c r="A1293" t="s">
        <v>71</v>
      </c>
      <c r="B1293" s="3">
        <v>3.7814860338919342E-7</v>
      </c>
      <c r="D1293" t="s">
        <v>100</v>
      </c>
      <c r="E1293" t="s">
        <v>9</v>
      </c>
      <c r="F1293" s="2" t="s">
        <v>15</v>
      </c>
      <c r="I1293" s="2"/>
    </row>
    <row r="1294" spans="1:9" customFormat="1" ht="16" x14ac:dyDescent="0.2">
      <c r="A1294" t="s">
        <v>75</v>
      </c>
      <c r="B1294" s="3">
        <v>2.1198518564846293E-10</v>
      </c>
      <c r="D1294" t="s">
        <v>99</v>
      </c>
      <c r="E1294" t="s">
        <v>9</v>
      </c>
      <c r="F1294" s="2" t="s">
        <v>15</v>
      </c>
      <c r="I1294" s="2"/>
    </row>
    <row r="1295" spans="1:9" customFormat="1" ht="16" x14ac:dyDescent="0.2">
      <c r="A1295" t="s">
        <v>75</v>
      </c>
      <c r="B1295" s="3">
        <v>2.0573376279857471E-11</v>
      </c>
      <c r="D1295" t="s">
        <v>100</v>
      </c>
      <c r="E1295" t="s">
        <v>9</v>
      </c>
      <c r="F1295" s="2" t="s">
        <v>15</v>
      </c>
      <c r="I1295" s="2"/>
    </row>
    <row r="1296" spans="1:9" customFormat="1" ht="16" x14ac:dyDescent="0.2">
      <c r="A1296" t="s">
        <v>77</v>
      </c>
      <c r="B1296" s="3">
        <v>1.7806699275346112E-5</v>
      </c>
      <c r="D1296" t="s">
        <v>99</v>
      </c>
      <c r="E1296" t="s">
        <v>9</v>
      </c>
      <c r="F1296" s="2" t="s">
        <v>15</v>
      </c>
      <c r="I1296" s="2"/>
    </row>
    <row r="1297" spans="1:12" customFormat="1" ht="16" x14ac:dyDescent="0.2">
      <c r="A1297" t="s">
        <v>77</v>
      </c>
      <c r="B1297" s="3">
        <v>1.7281611435463185E-6</v>
      </c>
      <c r="D1297" t="s">
        <v>100</v>
      </c>
      <c r="E1297" t="s">
        <v>9</v>
      </c>
      <c r="F1297" s="2" t="s">
        <v>15</v>
      </c>
      <c r="I1297" s="2"/>
    </row>
    <row r="1298" spans="1:12" customFormat="1" ht="16" x14ac:dyDescent="0.2">
      <c r="A1298" t="s">
        <v>98</v>
      </c>
      <c r="B1298" s="3">
        <v>1.6219731937580282E-7</v>
      </c>
      <c r="D1298" t="s">
        <v>99</v>
      </c>
      <c r="E1298" s="2" t="s">
        <v>94</v>
      </c>
      <c r="F1298" s="2" t="s">
        <v>15</v>
      </c>
      <c r="I1298" s="2"/>
    </row>
    <row r="1299" spans="1:12" customFormat="1" ht="16" x14ac:dyDescent="0.2">
      <c r="A1299" t="s">
        <v>98</v>
      </c>
      <c r="B1299" s="3">
        <v>1.574145937016555E-8</v>
      </c>
      <c r="D1299" t="s">
        <v>100</v>
      </c>
      <c r="E1299" s="2" t="s">
        <v>94</v>
      </c>
      <c r="F1299" s="2" t="s">
        <v>15</v>
      </c>
      <c r="I1299" s="2"/>
    </row>
    <row r="1300" spans="1:12" customFormat="1" ht="16" x14ac:dyDescent="0.2">
      <c r="A1300" t="s">
        <v>79</v>
      </c>
      <c r="B1300" s="3">
        <v>2.1198518564846295E-7</v>
      </c>
      <c r="D1300" t="s">
        <v>99</v>
      </c>
      <c r="E1300" t="s">
        <v>9</v>
      </c>
      <c r="F1300" s="2" t="s">
        <v>15</v>
      </c>
      <c r="I1300" s="2"/>
    </row>
    <row r="1301" spans="1:12" customFormat="1" ht="16" x14ac:dyDescent="0.2">
      <c r="A1301" t="s">
        <v>79</v>
      </c>
      <c r="B1301" s="3">
        <v>2.0573376279857471E-8</v>
      </c>
      <c r="D1301" t="s">
        <v>100</v>
      </c>
      <c r="E1301" t="s">
        <v>9</v>
      </c>
      <c r="F1301" s="2" t="s">
        <v>15</v>
      </c>
      <c r="I1301" s="2"/>
    </row>
    <row r="1302" spans="1:12" customFormat="1" ht="16" x14ac:dyDescent="0.2"/>
    <row r="1303" spans="1:12" x14ac:dyDescent="0.2">
      <c r="A1303" s="17" t="s">
        <v>2</v>
      </c>
      <c r="B1303" s="17" t="s">
        <v>307</v>
      </c>
    </row>
    <row r="1304" spans="1:12" customFormat="1" ht="16" x14ac:dyDescent="0.2">
      <c r="A1304" s="2" t="s">
        <v>3</v>
      </c>
      <c r="B1304" s="2" t="s">
        <v>18</v>
      </c>
      <c r="C1304" s="2"/>
      <c r="D1304" s="2"/>
      <c r="E1304" s="2"/>
      <c r="F1304" s="2"/>
      <c r="G1304" s="2"/>
      <c r="H1304" s="2"/>
      <c r="I1304" s="2"/>
      <c r="J1304" s="2"/>
      <c r="K1304" s="2"/>
      <c r="L1304" s="2"/>
    </row>
    <row r="1305" spans="1:12" customFormat="1" ht="16" x14ac:dyDescent="0.2">
      <c r="A1305" s="2" t="s">
        <v>4</v>
      </c>
      <c r="B1305" s="2">
        <v>1</v>
      </c>
      <c r="C1305" s="2"/>
      <c r="D1305" s="2"/>
      <c r="E1305" s="2"/>
      <c r="F1305" s="2"/>
      <c r="G1305" s="2"/>
      <c r="H1305" s="2"/>
      <c r="I1305" s="2"/>
      <c r="J1305" s="2"/>
      <c r="K1305" s="2"/>
      <c r="L1305" s="2"/>
    </row>
    <row r="1306" spans="1:12" customFormat="1" ht="16" x14ac:dyDescent="0.2">
      <c r="A1306" s="2" t="s">
        <v>5</v>
      </c>
      <c r="B1306" s="2" t="s">
        <v>1</v>
      </c>
      <c r="C1306" s="2"/>
      <c r="D1306" s="2"/>
      <c r="E1306" s="2"/>
      <c r="F1306" s="2"/>
      <c r="G1306" s="2"/>
      <c r="H1306" s="2"/>
      <c r="I1306" s="2"/>
      <c r="J1306" s="2"/>
    </row>
    <row r="1307" spans="1:12" customFormat="1" ht="16" x14ac:dyDescent="0.2">
      <c r="A1307" s="2" t="s">
        <v>6</v>
      </c>
      <c r="B1307" s="2" t="s">
        <v>7</v>
      </c>
      <c r="C1307" s="2"/>
      <c r="D1307" s="2"/>
      <c r="E1307" s="2"/>
      <c r="F1307" s="2"/>
      <c r="G1307" s="2"/>
      <c r="H1307" s="2"/>
      <c r="I1307" s="2"/>
      <c r="J1307" s="2"/>
      <c r="K1307" s="2"/>
      <c r="L1307" s="2"/>
    </row>
    <row r="1308" spans="1:12" customFormat="1" ht="16" x14ac:dyDescent="0.2">
      <c r="A1308" s="2" t="s">
        <v>8</v>
      </c>
      <c r="B1308" s="2" t="s">
        <v>17</v>
      </c>
      <c r="C1308" s="2"/>
      <c r="D1308" s="2"/>
      <c r="E1308" s="2"/>
      <c r="F1308" s="2"/>
      <c r="G1308" s="2"/>
      <c r="H1308" s="2"/>
      <c r="I1308" s="2"/>
      <c r="J1308" s="2"/>
      <c r="K1308" s="2"/>
      <c r="L1308" s="2"/>
    </row>
    <row r="1309" spans="1:12" customFormat="1" ht="16" x14ac:dyDescent="0.2">
      <c r="A1309" s="1" t="s">
        <v>10</v>
      </c>
      <c r="B1309" s="2"/>
      <c r="C1309" s="2"/>
      <c r="D1309" s="2"/>
      <c r="E1309" s="2"/>
      <c r="F1309" s="2"/>
      <c r="G1309" s="2"/>
      <c r="H1309" s="2"/>
      <c r="I1309" s="2"/>
      <c r="J1309" s="2"/>
      <c r="K1309" s="2"/>
      <c r="L1309" s="2"/>
    </row>
    <row r="1310" spans="1:12" x14ac:dyDescent="0.2">
      <c r="A1310" s="17" t="s">
        <v>11</v>
      </c>
      <c r="B1310" s="17" t="s">
        <v>12</v>
      </c>
      <c r="C1310" s="17" t="s">
        <v>3</v>
      </c>
      <c r="D1310" s="17" t="s">
        <v>13</v>
      </c>
      <c r="E1310" s="17" t="s">
        <v>8</v>
      </c>
      <c r="F1310" s="17" t="s">
        <v>6</v>
      </c>
      <c r="G1310" s="17" t="s">
        <v>5</v>
      </c>
      <c r="H1310" s="17"/>
      <c r="J1310" s="17"/>
      <c r="K1310" s="17"/>
    </row>
    <row r="1311" spans="1:12" customFormat="1" ht="16" x14ac:dyDescent="0.2">
      <c r="A1311" s="2" t="str">
        <f>B1303</f>
        <v>kerosene, from biomass, burned in aircraft</v>
      </c>
      <c r="B1311" s="2">
        <v>1</v>
      </c>
      <c r="C1311" s="2" t="str">
        <f>B1304</f>
        <v>RER</v>
      </c>
      <c r="D1311" s="2"/>
      <c r="E1311" s="2" t="str">
        <f>B1308</f>
        <v>megajoule</v>
      </c>
      <c r="F1311" s="2" t="s">
        <v>19</v>
      </c>
      <c r="G1311" s="2" t="str">
        <f>B1306</f>
        <v>heat</v>
      </c>
      <c r="H1311" s="2"/>
      <c r="I1311" s="2"/>
      <c r="J1311" s="2"/>
      <c r="K1311" s="2"/>
      <c r="L1311" s="2"/>
    </row>
    <row r="1312" spans="1:12" customFormat="1" ht="16" x14ac:dyDescent="0.2">
      <c r="A1312" t="s">
        <v>130</v>
      </c>
      <c r="B1312">
        <f>1/43</f>
        <v>2.3255813953488372E-2</v>
      </c>
      <c r="C1312" t="s">
        <v>18</v>
      </c>
      <c r="E1312" t="s">
        <v>9</v>
      </c>
      <c r="F1312" t="s">
        <v>23</v>
      </c>
      <c r="G1312" t="s">
        <v>131</v>
      </c>
      <c r="I1312" s="2"/>
    </row>
    <row r="1313" spans="1:9" customFormat="1" ht="16" x14ac:dyDescent="0.2">
      <c r="A1313" t="s">
        <v>52</v>
      </c>
      <c r="B1313" s="3">
        <v>2.1198518564846293E-10</v>
      </c>
      <c r="D1313" t="s">
        <v>99</v>
      </c>
      <c r="E1313" t="s">
        <v>9</v>
      </c>
      <c r="F1313" s="2" t="s">
        <v>15</v>
      </c>
      <c r="I1313" s="2"/>
    </row>
    <row r="1314" spans="1:9" customFormat="1" ht="16" x14ac:dyDescent="0.2">
      <c r="A1314" t="s">
        <v>52</v>
      </c>
      <c r="B1314" s="3">
        <v>2.0573376279857471E-11</v>
      </c>
      <c r="D1314" t="s">
        <v>100</v>
      </c>
      <c r="E1314" t="s">
        <v>9</v>
      </c>
      <c r="F1314" s="2" t="s">
        <v>15</v>
      </c>
      <c r="I1314" s="2"/>
    </row>
    <row r="1315" spans="1:9" customFormat="1" ht="16" x14ac:dyDescent="0.2">
      <c r="A1315" t="s">
        <v>123</v>
      </c>
      <c r="B1315">
        <f>0.0660685839024935+0.00641203619387979</f>
        <v>7.2480620096373294E-2</v>
      </c>
      <c r="D1315" t="s">
        <v>117</v>
      </c>
      <c r="E1315" t="s">
        <v>9</v>
      </c>
      <c r="F1315" s="2" t="s">
        <v>15</v>
      </c>
      <c r="I1315" s="2"/>
    </row>
    <row r="1316" spans="1:9" customFormat="1" ht="16" x14ac:dyDescent="0.2">
      <c r="A1316" t="s">
        <v>124</v>
      </c>
      <c r="B1316" s="3">
        <f>0.0000496205808723556+4.81573396118271E-06</f>
        <v>5.4436314833538314E-5</v>
      </c>
      <c r="D1316" t="s">
        <v>117</v>
      </c>
      <c r="E1316" t="s">
        <v>9</v>
      </c>
      <c r="F1316" s="2" t="s">
        <v>15</v>
      </c>
      <c r="I1316" s="2"/>
    </row>
    <row r="1317" spans="1:9" customFormat="1" ht="16" x14ac:dyDescent="0.2">
      <c r="A1317" t="s">
        <v>55</v>
      </c>
      <c r="B1317" s="3">
        <v>1.0599259282423148E-9</v>
      </c>
      <c r="D1317" t="s">
        <v>99</v>
      </c>
      <c r="E1317" t="s">
        <v>9</v>
      </c>
      <c r="F1317" s="2" t="s">
        <v>15</v>
      </c>
      <c r="I1317" s="2"/>
    </row>
    <row r="1318" spans="1:9" customFormat="1" ht="16" x14ac:dyDescent="0.2">
      <c r="A1318" t="s">
        <v>55</v>
      </c>
      <c r="B1318" s="3">
        <v>1.0286688139928735E-10</v>
      </c>
      <c r="D1318" t="s">
        <v>100</v>
      </c>
      <c r="E1318" t="s">
        <v>9</v>
      </c>
      <c r="F1318" s="2" t="s">
        <v>15</v>
      </c>
      <c r="I1318" s="2"/>
    </row>
    <row r="1319" spans="1:9" customFormat="1" ht="16" x14ac:dyDescent="0.2">
      <c r="A1319" t="s">
        <v>57</v>
      </c>
      <c r="B1319" s="3">
        <v>3.6037375961879753E-8</v>
      </c>
      <c r="D1319" t="s">
        <v>99</v>
      </c>
      <c r="E1319" t="s">
        <v>9</v>
      </c>
      <c r="F1319" s="2" t="s">
        <v>15</v>
      </c>
      <c r="I1319" s="2"/>
    </row>
    <row r="1320" spans="1:9" customFormat="1" ht="16" x14ac:dyDescent="0.2">
      <c r="A1320" t="s">
        <v>57</v>
      </c>
      <c r="B1320" s="3">
        <v>3.4974704476304713E-9</v>
      </c>
      <c r="D1320" t="s">
        <v>100</v>
      </c>
      <c r="E1320" t="s">
        <v>9</v>
      </c>
      <c r="F1320" s="2" t="s">
        <v>15</v>
      </c>
      <c r="I1320" s="2"/>
    </row>
    <row r="1321" spans="1:9" customFormat="1" ht="16" x14ac:dyDescent="0.2">
      <c r="A1321" t="s">
        <v>63</v>
      </c>
      <c r="B1321" s="3">
        <v>4.2396949131060127E-7</v>
      </c>
      <c r="D1321" t="s">
        <v>99</v>
      </c>
      <c r="E1321" t="s">
        <v>9</v>
      </c>
      <c r="F1321" s="2" t="s">
        <v>15</v>
      </c>
      <c r="I1321" s="2"/>
    </row>
    <row r="1322" spans="1:9" customFormat="1" ht="16" x14ac:dyDescent="0.2">
      <c r="A1322" t="s">
        <v>63</v>
      </c>
      <c r="B1322" s="3">
        <v>4.1146752559714943E-8</v>
      </c>
      <c r="D1322" t="s">
        <v>100</v>
      </c>
      <c r="E1322" t="s">
        <v>9</v>
      </c>
      <c r="F1322" s="2" t="s">
        <v>15</v>
      </c>
      <c r="I1322" s="2"/>
    </row>
    <row r="1323" spans="1:9" customFormat="1" ht="16" x14ac:dyDescent="0.2">
      <c r="A1323" t="s">
        <v>64</v>
      </c>
      <c r="B1323" s="3">
        <v>1.4838945395665915E-12</v>
      </c>
      <c r="D1323" t="s">
        <v>99</v>
      </c>
      <c r="E1323" t="s">
        <v>9</v>
      </c>
      <c r="F1323" s="2" t="s">
        <v>15</v>
      </c>
      <c r="I1323" s="2"/>
    </row>
    <row r="1324" spans="1:9" customFormat="1" ht="16" x14ac:dyDescent="0.2">
      <c r="A1324" t="s">
        <v>64</v>
      </c>
      <c r="B1324" s="3">
        <v>1.4401328196447244E-13</v>
      </c>
      <c r="D1324" t="s">
        <v>100</v>
      </c>
      <c r="E1324" t="s">
        <v>9</v>
      </c>
      <c r="F1324" s="2" t="s">
        <v>15</v>
      </c>
      <c r="I1324" s="2"/>
    </row>
    <row r="1325" spans="1:9" customFormat="1" ht="16" x14ac:dyDescent="0.2">
      <c r="A1325" t="s">
        <v>67</v>
      </c>
      <c r="B1325" s="3">
        <v>4.9290146007471967E-6</v>
      </c>
      <c r="D1325" t="s">
        <v>99</v>
      </c>
      <c r="E1325" t="s">
        <v>9</v>
      </c>
      <c r="F1325" s="2" t="s">
        <v>15</v>
      </c>
      <c r="I1325" s="2"/>
    </row>
    <row r="1326" spans="1:9" customFormat="1" ht="16" x14ac:dyDescent="0.2">
      <c r="A1326" t="s">
        <v>67</v>
      </c>
      <c r="B1326" s="3">
        <v>4.7836672595146453E-7</v>
      </c>
      <c r="D1326" t="s">
        <v>100</v>
      </c>
      <c r="E1326" t="s">
        <v>9</v>
      </c>
      <c r="F1326" s="2" t="s">
        <v>15</v>
      </c>
      <c r="I1326" s="2"/>
    </row>
    <row r="1327" spans="1:9" customFormat="1" ht="16" x14ac:dyDescent="0.2">
      <c r="A1327" t="s">
        <v>68</v>
      </c>
      <c r="B1327" s="3">
        <v>1.4838945395665916E-9</v>
      </c>
      <c r="D1327" t="s">
        <v>99</v>
      </c>
      <c r="E1327" t="s">
        <v>9</v>
      </c>
      <c r="F1327" s="2" t="s">
        <v>15</v>
      </c>
      <c r="I1327" s="2"/>
    </row>
    <row r="1328" spans="1:9" customFormat="1" ht="16" x14ac:dyDescent="0.2">
      <c r="A1328" t="s">
        <v>68</v>
      </c>
      <c r="B1328" s="3">
        <v>1.4401328196447246E-10</v>
      </c>
      <c r="D1328" t="s">
        <v>100</v>
      </c>
      <c r="E1328" t="s">
        <v>9</v>
      </c>
      <c r="F1328" s="2" t="s">
        <v>15</v>
      </c>
      <c r="I1328" s="2"/>
    </row>
    <row r="1329" spans="1:12" customFormat="1" ht="16" x14ac:dyDescent="0.2">
      <c r="A1329" t="s">
        <v>69</v>
      </c>
      <c r="B1329">
        <v>3.0006653682198702E-4</v>
      </c>
      <c r="D1329" t="s">
        <v>99</v>
      </c>
      <c r="E1329" t="s">
        <v>9</v>
      </c>
      <c r="F1329" s="2" t="s">
        <v>15</v>
      </c>
      <c r="I1329" s="2"/>
    </row>
    <row r="1330" spans="1:12" customFormat="1" ht="16" x14ac:dyDescent="0.2">
      <c r="A1330" t="s">
        <v>69</v>
      </c>
      <c r="B1330" s="3">
        <v>2.9121827432823326E-5</v>
      </c>
      <c r="D1330" t="s">
        <v>100</v>
      </c>
      <c r="E1330" t="s">
        <v>9</v>
      </c>
      <c r="F1330" s="2" t="s">
        <v>15</v>
      </c>
      <c r="I1330" s="2"/>
    </row>
    <row r="1331" spans="1:12" customFormat="1" ht="16" x14ac:dyDescent="0.2">
      <c r="A1331" t="s">
        <v>71</v>
      </c>
      <c r="B1331" s="3">
        <v>3.8963858482936672E-6</v>
      </c>
      <c r="D1331" t="s">
        <v>99</v>
      </c>
      <c r="E1331" t="s">
        <v>9</v>
      </c>
      <c r="F1331" s="2" t="s">
        <v>15</v>
      </c>
      <c r="I1331" s="2"/>
    </row>
    <row r="1332" spans="1:12" customFormat="1" ht="16" x14ac:dyDescent="0.2">
      <c r="A1332" t="s">
        <v>71</v>
      </c>
      <c r="B1332" s="3">
        <v>3.7814860338919342E-7</v>
      </c>
      <c r="D1332" t="s">
        <v>100</v>
      </c>
      <c r="E1332" t="s">
        <v>9</v>
      </c>
      <c r="F1332" s="2" t="s">
        <v>15</v>
      </c>
      <c r="I1332" s="2"/>
    </row>
    <row r="1333" spans="1:12" customFormat="1" ht="16" x14ac:dyDescent="0.2">
      <c r="A1333" t="s">
        <v>75</v>
      </c>
      <c r="B1333" s="3">
        <v>2.1198518564846293E-10</v>
      </c>
      <c r="D1333" t="s">
        <v>99</v>
      </c>
      <c r="E1333" t="s">
        <v>9</v>
      </c>
      <c r="F1333" s="2" t="s">
        <v>15</v>
      </c>
      <c r="I1333" s="2"/>
    </row>
    <row r="1334" spans="1:12" customFormat="1" ht="16" x14ac:dyDescent="0.2">
      <c r="A1334" t="s">
        <v>75</v>
      </c>
      <c r="B1334" s="3">
        <v>2.0573376279857471E-11</v>
      </c>
      <c r="D1334" t="s">
        <v>100</v>
      </c>
      <c r="E1334" t="s">
        <v>9</v>
      </c>
      <c r="F1334" s="2" t="s">
        <v>15</v>
      </c>
      <c r="I1334" s="2"/>
    </row>
    <row r="1335" spans="1:12" customFormat="1" ht="16" x14ac:dyDescent="0.2">
      <c r="A1335" t="s">
        <v>77</v>
      </c>
      <c r="B1335" s="3">
        <v>1.7806699275346112E-5</v>
      </c>
      <c r="D1335" t="s">
        <v>99</v>
      </c>
      <c r="E1335" t="s">
        <v>9</v>
      </c>
      <c r="F1335" s="2" t="s">
        <v>15</v>
      </c>
      <c r="I1335" s="2"/>
    </row>
    <row r="1336" spans="1:12" customFormat="1" ht="16" x14ac:dyDescent="0.2">
      <c r="A1336" t="s">
        <v>77</v>
      </c>
      <c r="B1336" s="3">
        <v>1.7281611435463185E-6</v>
      </c>
      <c r="D1336" t="s">
        <v>100</v>
      </c>
      <c r="E1336" t="s">
        <v>9</v>
      </c>
      <c r="F1336" s="2" t="s">
        <v>15</v>
      </c>
      <c r="I1336" s="2"/>
    </row>
    <row r="1337" spans="1:12" customFormat="1" ht="16" x14ac:dyDescent="0.2">
      <c r="A1337" t="s">
        <v>98</v>
      </c>
      <c r="B1337" s="3">
        <v>1.6219731937580282E-7</v>
      </c>
      <c r="D1337" t="s">
        <v>99</v>
      </c>
      <c r="E1337" s="2" t="s">
        <v>94</v>
      </c>
      <c r="F1337" s="2" t="s">
        <v>15</v>
      </c>
      <c r="I1337" s="2"/>
    </row>
    <row r="1338" spans="1:12" customFormat="1" ht="16" x14ac:dyDescent="0.2">
      <c r="A1338" t="s">
        <v>98</v>
      </c>
      <c r="B1338" s="3">
        <v>1.574145937016555E-8</v>
      </c>
      <c r="D1338" t="s">
        <v>100</v>
      </c>
      <c r="E1338" s="2" t="s">
        <v>94</v>
      </c>
      <c r="F1338" s="2" t="s">
        <v>15</v>
      </c>
      <c r="I1338" s="2"/>
    </row>
    <row r="1339" spans="1:12" customFormat="1" ht="16" x14ac:dyDescent="0.2">
      <c r="A1339" t="s">
        <v>79</v>
      </c>
      <c r="B1339" s="3">
        <v>2.1198518564846295E-7</v>
      </c>
      <c r="D1339" t="s">
        <v>99</v>
      </c>
      <c r="E1339" t="s">
        <v>9</v>
      </c>
      <c r="F1339" s="2" t="s">
        <v>15</v>
      </c>
      <c r="I1339" s="2"/>
    </row>
    <row r="1340" spans="1:12" customFormat="1" ht="16" x14ac:dyDescent="0.2">
      <c r="A1340" t="s">
        <v>79</v>
      </c>
      <c r="B1340" s="3">
        <v>2.0573376279857471E-8</v>
      </c>
      <c r="D1340" t="s">
        <v>100</v>
      </c>
      <c r="E1340" t="s">
        <v>9</v>
      </c>
      <c r="F1340" s="2" t="s">
        <v>15</v>
      </c>
      <c r="I1340" s="2"/>
    </row>
    <row r="1341" spans="1:12" customFormat="1" ht="16" x14ac:dyDescent="0.2"/>
    <row r="1342" spans="1:12" x14ac:dyDescent="0.2">
      <c r="A1342" s="17" t="s">
        <v>2</v>
      </c>
      <c r="B1342" s="17" t="s">
        <v>284</v>
      </c>
    </row>
    <row r="1343" spans="1:12" customFormat="1" ht="16" x14ac:dyDescent="0.2">
      <c r="A1343" s="2" t="s">
        <v>3</v>
      </c>
      <c r="B1343" s="2" t="s">
        <v>18</v>
      </c>
      <c r="C1343" s="2"/>
      <c r="D1343" s="2"/>
      <c r="E1343" s="2"/>
      <c r="F1343" s="2"/>
      <c r="G1343" s="2"/>
      <c r="H1343" s="2"/>
      <c r="I1343" s="2"/>
      <c r="J1343" s="2"/>
      <c r="K1343" s="2"/>
      <c r="L1343" s="2"/>
    </row>
    <row r="1344" spans="1:12" customFormat="1" ht="16" x14ac:dyDescent="0.2">
      <c r="A1344" s="2" t="s">
        <v>4</v>
      </c>
      <c r="B1344" s="2">
        <v>1</v>
      </c>
      <c r="C1344" s="2"/>
      <c r="D1344" s="2"/>
      <c r="E1344" s="2"/>
      <c r="F1344" s="2"/>
      <c r="G1344" s="2"/>
      <c r="H1344" s="2"/>
      <c r="I1344" s="2"/>
      <c r="J1344" s="2"/>
      <c r="K1344" s="2"/>
      <c r="L1344" s="2"/>
    </row>
    <row r="1345" spans="1:12" customFormat="1" ht="16" x14ac:dyDescent="0.2">
      <c r="A1345" s="2" t="s">
        <v>5</v>
      </c>
      <c r="B1345" s="2" t="s">
        <v>1</v>
      </c>
      <c r="C1345" s="2"/>
      <c r="D1345" s="2"/>
      <c r="E1345" s="2"/>
      <c r="F1345" s="2"/>
      <c r="G1345" s="2"/>
      <c r="H1345" s="2"/>
      <c r="I1345" s="2"/>
      <c r="J1345" s="2"/>
    </row>
    <row r="1346" spans="1:12" customFormat="1" ht="16" x14ac:dyDescent="0.2">
      <c r="A1346" s="2" t="s">
        <v>6</v>
      </c>
      <c r="B1346" s="2" t="s">
        <v>7</v>
      </c>
      <c r="C1346" s="2"/>
      <c r="D1346" s="2"/>
      <c r="E1346" s="2"/>
      <c r="F1346" s="2"/>
      <c r="G1346" s="2"/>
      <c r="H1346" s="2"/>
      <c r="I1346" s="2"/>
      <c r="J1346" s="2"/>
      <c r="K1346" s="2"/>
      <c r="L1346" s="2"/>
    </row>
    <row r="1347" spans="1:12" customFormat="1" ht="16" x14ac:dyDescent="0.2">
      <c r="A1347" s="2" t="s">
        <v>8</v>
      </c>
      <c r="B1347" s="2" t="s">
        <v>17</v>
      </c>
      <c r="C1347" s="2"/>
      <c r="D1347" s="2"/>
      <c r="E1347" s="2"/>
      <c r="F1347" s="2"/>
      <c r="G1347" s="2"/>
      <c r="H1347" s="2"/>
      <c r="I1347" s="2"/>
      <c r="J1347" s="2"/>
      <c r="K1347" s="2"/>
      <c r="L1347" s="2"/>
    </row>
    <row r="1348" spans="1:12" customFormat="1" ht="16" x14ac:dyDescent="0.2">
      <c r="A1348" s="1" t="s">
        <v>10</v>
      </c>
      <c r="B1348" s="2"/>
      <c r="C1348" s="2"/>
      <c r="D1348" s="2"/>
      <c r="E1348" s="2"/>
      <c r="F1348" s="2"/>
      <c r="G1348" s="2"/>
      <c r="H1348" s="2"/>
      <c r="I1348" s="2"/>
      <c r="J1348" s="2"/>
      <c r="K1348" s="2"/>
      <c r="L1348" s="2"/>
    </row>
    <row r="1349" spans="1:12" x14ac:dyDescent="0.2">
      <c r="A1349" s="17" t="s">
        <v>11</v>
      </c>
      <c r="B1349" s="17" t="s">
        <v>12</v>
      </c>
      <c r="C1349" s="17" t="s">
        <v>3</v>
      </c>
      <c r="D1349" s="17" t="s">
        <v>13</v>
      </c>
      <c r="E1349" s="17" t="s">
        <v>8</v>
      </c>
      <c r="F1349" s="17" t="s">
        <v>6</v>
      </c>
      <c r="G1349" s="17" t="s">
        <v>5</v>
      </c>
      <c r="H1349" s="17"/>
      <c r="I1349" s="17"/>
      <c r="K1349" s="17"/>
    </row>
    <row r="1350" spans="1:12" customFormat="1" ht="16" x14ac:dyDescent="0.2">
      <c r="A1350" s="2" t="str">
        <f>B1342</f>
        <v>kerosene, synthetic, burned in aircraft</v>
      </c>
      <c r="B1350" s="2">
        <v>1</v>
      </c>
      <c r="C1350" s="2" t="str">
        <f>B1343</f>
        <v>RER</v>
      </c>
      <c r="D1350" s="2"/>
      <c r="E1350" s="2" t="str">
        <f>B1347</f>
        <v>megajoule</v>
      </c>
      <c r="F1350" s="2" t="s">
        <v>19</v>
      </c>
      <c r="G1350" s="2" t="str">
        <f>B1345</f>
        <v>heat</v>
      </c>
      <c r="H1350" s="2"/>
      <c r="I1350" s="2"/>
      <c r="J1350" s="2"/>
      <c r="K1350" s="2"/>
      <c r="L1350" s="2"/>
    </row>
    <row r="1351" spans="1:12" customFormat="1" ht="16" x14ac:dyDescent="0.2">
      <c r="A1351" t="s">
        <v>285</v>
      </c>
      <c r="B1351">
        <f>1/43</f>
        <v>2.3255813953488372E-2</v>
      </c>
      <c r="C1351" t="s">
        <v>18</v>
      </c>
      <c r="E1351" t="s">
        <v>9</v>
      </c>
      <c r="F1351" t="s">
        <v>23</v>
      </c>
      <c r="G1351" t="s">
        <v>286</v>
      </c>
      <c r="J1351" s="2"/>
    </row>
    <row r="1352" spans="1:12" customFormat="1" ht="16" x14ac:dyDescent="0.2">
      <c r="A1352" t="s">
        <v>52</v>
      </c>
      <c r="B1352" s="3">
        <v>2.1198518564846293E-10</v>
      </c>
      <c r="D1352" t="s">
        <v>99</v>
      </c>
      <c r="E1352" t="s">
        <v>9</v>
      </c>
      <c r="F1352" s="2" t="s">
        <v>15</v>
      </c>
      <c r="J1352" s="2"/>
    </row>
    <row r="1353" spans="1:12" customFormat="1" ht="16" x14ac:dyDescent="0.2">
      <c r="A1353" t="s">
        <v>52</v>
      </c>
      <c r="B1353" s="3">
        <v>2.0573376279857471E-11</v>
      </c>
      <c r="D1353" t="s">
        <v>100</v>
      </c>
      <c r="E1353" t="s">
        <v>9</v>
      </c>
      <c r="F1353" s="2" t="s">
        <v>15</v>
      </c>
      <c r="J1353" s="2"/>
    </row>
    <row r="1354" spans="1:12" customFormat="1" ht="16" x14ac:dyDescent="0.2">
      <c r="A1354" t="s">
        <v>123</v>
      </c>
      <c r="B1354">
        <f>0.0660685839024935+0.00641203619387979</f>
        <v>7.2480620096373294E-2</v>
      </c>
      <c r="D1354" t="s">
        <v>117</v>
      </c>
      <c r="E1354" t="s">
        <v>9</v>
      </c>
      <c r="F1354" s="2" t="s">
        <v>15</v>
      </c>
      <c r="J1354" s="2"/>
    </row>
    <row r="1355" spans="1:12" customFormat="1" ht="16" x14ac:dyDescent="0.2">
      <c r="A1355" t="s">
        <v>124</v>
      </c>
      <c r="B1355" s="3">
        <f>0.0000496205808723556+4.81573396118271E-06</f>
        <v>5.4436314833538314E-5</v>
      </c>
      <c r="D1355" t="s">
        <v>117</v>
      </c>
      <c r="E1355" t="s">
        <v>9</v>
      </c>
      <c r="F1355" s="2" t="s">
        <v>15</v>
      </c>
      <c r="J1355" s="2"/>
    </row>
    <row r="1356" spans="1:12" customFormat="1" ht="16" x14ac:dyDescent="0.2">
      <c r="A1356" t="s">
        <v>55</v>
      </c>
      <c r="B1356" s="3">
        <v>1.0599259282423148E-9</v>
      </c>
      <c r="D1356" t="s">
        <v>99</v>
      </c>
      <c r="E1356" t="s">
        <v>9</v>
      </c>
      <c r="F1356" s="2" t="s">
        <v>15</v>
      </c>
      <c r="J1356" s="2"/>
    </row>
    <row r="1357" spans="1:12" customFormat="1" ht="16" x14ac:dyDescent="0.2">
      <c r="A1357" t="s">
        <v>55</v>
      </c>
      <c r="B1357" s="3">
        <v>1.0286688139928735E-10</v>
      </c>
      <c r="D1357" t="s">
        <v>100</v>
      </c>
      <c r="E1357" t="s">
        <v>9</v>
      </c>
      <c r="F1357" s="2" t="s">
        <v>15</v>
      </c>
      <c r="J1357" s="2"/>
    </row>
    <row r="1358" spans="1:12" customFormat="1" ht="16" x14ac:dyDescent="0.2">
      <c r="A1358" t="s">
        <v>57</v>
      </c>
      <c r="B1358" s="3">
        <v>3.6037375961879753E-8</v>
      </c>
      <c r="D1358" t="s">
        <v>99</v>
      </c>
      <c r="E1358" t="s">
        <v>9</v>
      </c>
      <c r="F1358" s="2" t="s">
        <v>15</v>
      </c>
      <c r="J1358" s="2"/>
    </row>
    <row r="1359" spans="1:12" customFormat="1" ht="16" x14ac:dyDescent="0.2">
      <c r="A1359" t="s">
        <v>57</v>
      </c>
      <c r="B1359" s="3">
        <v>3.4974704476304713E-9</v>
      </c>
      <c r="D1359" t="s">
        <v>100</v>
      </c>
      <c r="E1359" t="s">
        <v>9</v>
      </c>
      <c r="F1359" s="2" t="s">
        <v>15</v>
      </c>
      <c r="J1359" s="2"/>
    </row>
    <row r="1360" spans="1:12" customFormat="1" ht="16" x14ac:dyDescent="0.2">
      <c r="A1360" t="s">
        <v>63</v>
      </c>
      <c r="B1360" s="3">
        <v>4.2396949131060127E-7</v>
      </c>
      <c r="D1360" t="s">
        <v>99</v>
      </c>
      <c r="E1360" t="s">
        <v>9</v>
      </c>
      <c r="F1360" s="2" t="s">
        <v>15</v>
      </c>
      <c r="J1360" s="2"/>
    </row>
    <row r="1361" spans="1:10" customFormat="1" ht="16" x14ac:dyDescent="0.2">
      <c r="A1361" t="s">
        <v>63</v>
      </c>
      <c r="B1361" s="3">
        <v>4.1146752559714943E-8</v>
      </c>
      <c r="D1361" t="s">
        <v>100</v>
      </c>
      <c r="E1361" t="s">
        <v>9</v>
      </c>
      <c r="F1361" s="2" t="s">
        <v>15</v>
      </c>
      <c r="J1361" s="2"/>
    </row>
    <row r="1362" spans="1:10" customFormat="1" ht="16" x14ac:dyDescent="0.2">
      <c r="A1362" t="s">
        <v>64</v>
      </c>
      <c r="B1362" s="3">
        <v>1.4838945395665915E-12</v>
      </c>
      <c r="D1362" t="s">
        <v>99</v>
      </c>
      <c r="E1362" t="s">
        <v>9</v>
      </c>
      <c r="F1362" s="2" t="s">
        <v>15</v>
      </c>
      <c r="J1362" s="2"/>
    </row>
    <row r="1363" spans="1:10" customFormat="1" ht="16" x14ac:dyDescent="0.2">
      <c r="A1363" t="s">
        <v>64</v>
      </c>
      <c r="B1363" s="3">
        <v>1.4401328196447244E-13</v>
      </c>
      <c r="D1363" t="s">
        <v>100</v>
      </c>
      <c r="E1363" t="s">
        <v>9</v>
      </c>
      <c r="F1363" s="2" t="s">
        <v>15</v>
      </c>
      <c r="J1363" s="2"/>
    </row>
    <row r="1364" spans="1:10" customFormat="1" ht="16" x14ac:dyDescent="0.2">
      <c r="A1364" t="s">
        <v>67</v>
      </c>
      <c r="B1364" s="3">
        <v>4.9290146007471967E-6</v>
      </c>
      <c r="D1364" t="s">
        <v>99</v>
      </c>
      <c r="E1364" t="s">
        <v>9</v>
      </c>
      <c r="F1364" s="2" t="s">
        <v>15</v>
      </c>
      <c r="J1364" s="2"/>
    </row>
    <row r="1365" spans="1:10" customFormat="1" ht="16" x14ac:dyDescent="0.2">
      <c r="A1365" t="s">
        <v>67</v>
      </c>
      <c r="B1365" s="3">
        <v>4.7836672595146453E-7</v>
      </c>
      <c r="D1365" t="s">
        <v>100</v>
      </c>
      <c r="E1365" t="s">
        <v>9</v>
      </c>
      <c r="F1365" s="2" t="s">
        <v>15</v>
      </c>
      <c r="J1365" s="2"/>
    </row>
    <row r="1366" spans="1:10" customFormat="1" ht="16" x14ac:dyDescent="0.2">
      <c r="A1366" t="s">
        <v>68</v>
      </c>
      <c r="B1366" s="3">
        <v>1.4838945395665916E-9</v>
      </c>
      <c r="D1366" t="s">
        <v>99</v>
      </c>
      <c r="E1366" t="s">
        <v>9</v>
      </c>
      <c r="F1366" s="2" t="s">
        <v>15</v>
      </c>
      <c r="J1366" s="2"/>
    </row>
    <row r="1367" spans="1:10" customFormat="1" ht="16" x14ac:dyDescent="0.2">
      <c r="A1367" t="s">
        <v>68</v>
      </c>
      <c r="B1367" s="3">
        <v>1.4401328196447246E-10</v>
      </c>
      <c r="D1367" t="s">
        <v>100</v>
      </c>
      <c r="E1367" t="s">
        <v>9</v>
      </c>
      <c r="F1367" s="2" t="s">
        <v>15</v>
      </c>
      <c r="J1367" s="2"/>
    </row>
    <row r="1368" spans="1:10" customFormat="1" ht="16" x14ac:dyDescent="0.2">
      <c r="A1368" t="s">
        <v>69</v>
      </c>
      <c r="B1368">
        <v>3.0006653682198702E-4</v>
      </c>
      <c r="D1368" t="s">
        <v>99</v>
      </c>
      <c r="E1368" t="s">
        <v>9</v>
      </c>
      <c r="F1368" s="2" t="s">
        <v>15</v>
      </c>
      <c r="J1368" s="2"/>
    </row>
    <row r="1369" spans="1:10" customFormat="1" ht="16" x14ac:dyDescent="0.2">
      <c r="A1369" t="s">
        <v>69</v>
      </c>
      <c r="B1369" s="3">
        <v>2.9121827432823326E-5</v>
      </c>
      <c r="D1369" t="s">
        <v>100</v>
      </c>
      <c r="E1369" t="s">
        <v>9</v>
      </c>
      <c r="F1369" s="2" t="s">
        <v>15</v>
      </c>
      <c r="J1369" s="2"/>
    </row>
    <row r="1370" spans="1:10" customFormat="1" ht="16" x14ac:dyDescent="0.2">
      <c r="A1370" t="s">
        <v>71</v>
      </c>
      <c r="B1370" s="3">
        <v>3.8963858482936672E-6</v>
      </c>
      <c r="D1370" t="s">
        <v>99</v>
      </c>
      <c r="E1370" t="s">
        <v>9</v>
      </c>
      <c r="F1370" s="2" t="s">
        <v>15</v>
      </c>
      <c r="J1370" s="2"/>
    </row>
    <row r="1371" spans="1:10" customFormat="1" ht="16" x14ac:dyDescent="0.2">
      <c r="A1371" t="s">
        <v>71</v>
      </c>
      <c r="B1371" s="3">
        <v>3.7814860338919342E-7</v>
      </c>
      <c r="D1371" t="s">
        <v>100</v>
      </c>
      <c r="E1371" t="s">
        <v>9</v>
      </c>
      <c r="F1371" s="2" t="s">
        <v>15</v>
      </c>
      <c r="J1371" s="2"/>
    </row>
    <row r="1372" spans="1:10" customFormat="1" ht="16" x14ac:dyDescent="0.2">
      <c r="A1372" t="s">
        <v>75</v>
      </c>
      <c r="B1372" s="3">
        <v>2.1198518564846293E-10</v>
      </c>
      <c r="D1372" t="s">
        <v>99</v>
      </c>
      <c r="E1372" t="s">
        <v>9</v>
      </c>
      <c r="F1372" s="2" t="s">
        <v>15</v>
      </c>
      <c r="J1372" s="2"/>
    </row>
    <row r="1373" spans="1:10" customFormat="1" ht="16" x14ac:dyDescent="0.2">
      <c r="A1373" t="s">
        <v>75</v>
      </c>
      <c r="B1373" s="3">
        <v>2.0573376279857471E-11</v>
      </c>
      <c r="D1373" t="s">
        <v>100</v>
      </c>
      <c r="E1373" t="s">
        <v>9</v>
      </c>
      <c r="F1373" s="2" t="s">
        <v>15</v>
      </c>
      <c r="J1373" s="2"/>
    </row>
    <row r="1374" spans="1:10" customFormat="1" ht="16" x14ac:dyDescent="0.2">
      <c r="A1374" t="s">
        <v>77</v>
      </c>
      <c r="B1374" s="3">
        <v>1.7806699275346112E-5</v>
      </c>
      <c r="D1374" t="s">
        <v>99</v>
      </c>
      <c r="E1374" t="s">
        <v>9</v>
      </c>
      <c r="F1374" s="2" t="s">
        <v>15</v>
      </c>
      <c r="J1374" s="2"/>
    </row>
    <row r="1375" spans="1:10" customFormat="1" ht="16" x14ac:dyDescent="0.2">
      <c r="A1375" t="s">
        <v>77</v>
      </c>
      <c r="B1375" s="3">
        <v>1.7281611435463185E-6</v>
      </c>
      <c r="D1375" t="s">
        <v>100</v>
      </c>
      <c r="E1375" t="s">
        <v>9</v>
      </c>
      <c r="F1375" s="2" t="s">
        <v>15</v>
      </c>
      <c r="J1375" s="2"/>
    </row>
    <row r="1376" spans="1:10" customFormat="1" ht="16" x14ac:dyDescent="0.2">
      <c r="A1376" t="s">
        <v>98</v>
      </c>
      <c r="B1376" s="3">
        <v>1.6219731937580282E-7</v>
      </c>
      <c r="D1376" t="s">
        <v>99</v>
      </c>
      <c r="E1376" s="2" t="s">
        <v>94</v>
      </c>
      <c r="F1376" s="2" t="s">
        <v>15</v>
      </c>
      <c r="J1376" s="2"/>
    </row>
    <row r="1377" spans="1:12" customFormat="1" ht="16" x14ac:dyDescent="0.2">
      <c r="A1377" t="s">
        <v>98</v>
      </c>
      <c r="B1377" s="3">
        <v>1.574145937016555E-8</v>
      </c>
      <c r="D1377" t="s">
        <v>100</v>
      </c>
      <c r="E1377" s="2" t="s">
        <v>94</v>
      </c>
      <c r="F1377" s="2" t="s">
        <v>15</v>
      </c>
      <c r="J1377" s="2"/>
    </row>
    <row r="1378" spans="1:12" customFormat="1" ht="16" x14ac:dyDescent="0.2">
      <c r="A1378" t="s">
        <v>79</v>
      </c>
      <c r="B1378" s="3">
        <v>2.1198518564846295E-7</v>
      </c>
      <c r="D1378" t="s">
        <v>99</v>
      </c>
      <c r="E1378" t="s">
        <v>9</v>
      </c>
      <c r="F1378" s="2" t="s">
        <v>15</v>
      </c>
      <c r="J1378" s="2"/>
    </row>
    <row r="1379" spans="1:12" customFormat="1" ht="16" x14ac:dyDescent="0.2">
      <c r="A1379" t="s">
        <v>79</v>
      </c>
      <c r="B1379" s="3">
        <v>2.0573376279857471E-8</v>
      </c>
      <c r="D1379" t="s">
        <v>100</v>
      </c>
      <c r="E1379" t="s">
        <v>9</v>
      </c>
      <c r="F1379" s="2" t="s">
        <v>15</v>
      </c>
      <c r="J1379" s="2"/>
    </row>
    <row r="1380" spans="1:12" customFormat="1" ht="16" x14ac:dyDescent="0.2">
      <c r="J1380" s="2"/>
    </row>
    <row r="1381" spans="1:12" x14ac:dyDescent="0.2">
      <c r="A1381" s="17" t="s">
        <v>2</v>
      </c>
      <c r="B1381" s="17" t="s">
        <v>101</v>
      </c>
    </row>
    <row r="1382" spans="1:12" customFormat="1" ht="16" x14ac:dyDescent="0.2">
      <c r="A1382" s="2" t="s">
        <v>3</v>
      </c>
      <c r="B1382" s="2" t="s">
        <v>18</v>
      </c>
      <c r="C1382" s="2"/>
      <c r="D1382" s="2"/>
      <c r="E1382" s="2"/>
      <c r="F1382" s="2"/>
      <c r="G1382" s="2"/>
      <c r="H1382" s="2"/>
      <c r="I1382" s="2"/>
      <c r="J1382" s="2"/>
      <c r="K1382" s="2"/>
      <c r="L1382" s="2"/>
    </row>
    <row r="1383" spans="1:12" customFormat="1" ht="16" x14ac:dyDescent="0.2">
      <c r="A1383" s="2" t="s">
        <v>4</v>
      </c>
      <c r="B1383" s="2">
        <v>1</v>
      </c>
      <c r="C1383" s="2"/>
      <c r="D1383" s="2"/>
      <c r="E1383" s="2"/>
      <c r="F1383" s="2"/>
      <c r="G1383" s="2"/>
      <c r="H1383" s="2"/>
      <c r="I1383" s="2"/>
      <c r="J1383" s="2"/>
      <c r="K1383" s="2"/>
      <c r="L1383" s="2"/>
    </row>
    <row r="1384" spans="1:12" customFormat="1" ht="16" x14ac:dyDescent="0.2">
      <c r="A1384" s="2" t="s">
        <v>5</v>
      </c>
      <c r="B1384" s="2" t="s">
        <v>1</v>
      </c>
      <c r="C1384" s="2"/>
      <c r="D1384" s="2"/>
      <c r="E1384" s="2"/>
      <c r="F1384" s="2"/>
      <c r="G1384" s="2"/>
      <c r="H1384" s="2"/>
      <c r="I1384" s="2"/>
      <c r="J1384" s="2"/>
    </row>
    <row r="1385" spans="1:12" customFormat="1" ht="16" x14ac:dyDescent="0.2">
      <c r="A1385" s="2" t="s">
        <v>6</v>
      </c>
      <c r="B1385" s="2" t="s">
        <v>7</v>
      </c>
      <c r="C1385" s="2"/>
      <c r="D1385" s="2"/>
      <c r="E1385" s="2"/>
      <c r="F1385" s="2"/>
      <c r="G1385" s="2"/>
      <c r="H1385" s="2"/>
      <c r="I1385" s="2"/>
      <c r="J1385" s="2"/>
      <c r="K1385" s="2"/>
      <c r="L1385" s="2"/>
    </row>
    <row r="1386" spans="1:12" customFormat="1" ht="16" x14ac:dyDescent="0.2">
      <c r="A1386" s="2" t="s">
        <v>8</v>
      </c>
      <c r="B1386" s="2" t="s">
        <v>17</v>
      </c>
      <c r="C1386" s="2"/>
      <c r="D1386" s="2"/>
      <c r="E1386" s="2"/>
      <c r="F1386" s="2"/>
      <c r="G1386" s="2"/>
      <c r="H1386" s="2"/>
      <c r="I1386" s="2"/>
      <c r="J1386" s="2"/>
      <c r="K1386" s="2"/>
      <c r="L1386" s="2"/>
    </row>
    <row r="1387" spans="1:12" customFormat="1" ht="16" x14ac:dyDescent="0.2">
      <c r="A1387" s="1" t="s">
        <v>10</v>
      </c>
      <c r="B1387" s="2"/>
      <c r="C1387" s="2"/>
      <c r="D1387" s="2"/>
      <c r="E1387" s="2"/>
      <c r="F1387" s="2"/>
      <c r="G1387" s="2"/>
      <c r="H1387" s="2"/>
      <c r="I1387" s="2"/>
      <c r="J1387" s="2"/>
      <c r="K1387" s="2"/>
      <c r="L1387" s="2"/>
    </row>
    <row r="1388" spans="1:12" x14ac:dyDescent="0.2">
      <c r="A1388" s="17" t="s">
        <v>11</v>
      </c>
      <c r="B1388" s="17" t="s">
        <v>12</v>
      </c>
      <c r="C1388" s="17" t="s">
        <v>3</v>
      </c>
      <c r="D1388" s="17" t="s">
        <v>13</v>
      </c>
      <c r="E1388" s="17" t="s">
        <v>8</v>
      </c>
      <c r="F1388" s="17" t="s">
        <v>6</v>
      </c>
      <c r="G1388" s="17" t="s">
        <v>5</v>
      </c>
      <c r="I1388" s="17"/>
      <c r="J1388" s="17"/>
      <c r="K1388" s="17"/>
    </row>
    <row r="1389" spans="1:12" customFormat="1" ht="16" x14ac:dyDescent="0.2">
      <c r="A1389" s="2" t="str">
        <f>B1381</f>
        <v>heavy fuel oil, burned in container ship</v>
      </c>
      <c r="B1389" s="2">
        <v>1</v>
      </c>
      <c r="C1389" s="2" t="str">
        <f>B1382</f>
        <v>RER</v>
      </c>
      <c r="D1389" s="2"/>
      <c r="E1389" s="2" t="str">
        <f>B1386</f>
        <v>megajoule</v>
      </c>
      <c r="F1389" s="2" t="s">
        <v>19</v>
      </c>
      <c r="G1389" s="2" t="str">
        <f>B1384</f>
        <v>heat</v>
      </c>
      <c r="H1389" s="2"/>
      <c r="I1389" s="2"/>
      <c r="J1389" s="2"/>
      <c r="K1389" s="2"/>
      <c r="L1389" s="2"/>
    </row>
    <row r="1390" spans="1:12" customFormat="1" ht="16" x14ac:dyDescent="0.2">
      <c r="A1390" t="s">
        <v>126</v>
      </c>
      <c r="B1390">
        <f>1/39</f>
        <v>2.564102564102564E-2</v>
      </c>
      <c r="C1390" t="s">
        <v>27</v>
      </c>
      <c r="E1390" t="s">
        <v>9</v>
      </c>
      <c r="F1390" t="s">
        <v>23</v>
      </c>
      <c r="G1390" t="s">
        <v>102</v>
      </c>
      <c r="H1390" s="2"/>
    </row>
    <row r="1391" spans="1:12" customFormat="1" ht="16" x14ac:dyDescent="0.2">
      <c r="A1391" t="s">
        <v>48</v>
      </c>
      <c r="B1391" s="3">
        <v>1.0256365433645409E-5</v>
      </c>
      <c r="D1391" t="s">
        <v>100</v>
      </c>
      <c r="E1391" t="s">
        <v>9</v>
      </c>
      <c r="F1391" s="2" t="s">
        <v>15</v>
      </c>
      <c r="H1391" s="2"/>
    </row>
    <row r="1392" spans="1:12" customFormat="1" ht="16" x14ac:dyDescent="0.2">
      <c r="A1392" t="s">
        <v>90</v>
      </c>
      <c r="B1392" s="3">
        <v>9.6449727337009339E-9</v>
      </c>
      <c r="D1392" t="s">
        <v>100</v>
      </c>
      <c r="E1392" t="s">
        <v>9</v>
      </c>
      <c r="F1392" s="2" t="s">
        <v>15</v>
      </c>
      <c r="H1392" s="2"/>
    </row>
    <row r="1393" spans="1:11" customFormat="1" ht="16" x14ac:dyDescent="0.2">
      <c r="A1393" t="s">
        <v>52</v>
      </c>
      <c r="B1393" s="3">
        <v>6.2721921074364377E-10</v>
      </c>
      <c r="D1393" t="s">
        <v>100</v>
      </c>
      <c r="E1393" t="s">
        <v>9</v>
      </c>
      <c r="F1393" s="2" t="s">
        <v>15</v>
      </c>
      <c r="H1393" s="2"/>
    </row>
    <row r="1394" spans="1:11" customFormat="1" ht="16" x14ac:dyDescent="0.2">
      <c r="A1394" t="s">
        <v>53</v>
      </c>
      <c r="B1394">
        <v>7.9939098901879183E-2</v>
      </c>
      <c r="D1394" t="s">
        <v>100</v>
      </c>
      <c r="E1394" t="s">
        <v>9</v>
      </c>
      <c r="F1394" s="2" t="s">
        <v>15</v>
      </c>
      <c r="H1394" s="2"/>
    </row>
    <row r="1395" spans="1:11" customFormat="1" ht="16" x14ac:dyDescent="0.2">
      <c r="A1395" t="s">
        <v>54</v>
      </c>
      <c r="B1395" s="3">
        <v>6.8728477177939384E-5</v>
      </c>
      <c r="D1395" t="s">
        <v>100</v>
      </c>
      <c r="E1395" t="s">
        <v>9</v>
      </c>
      <c r="F1395" s="2" t="s">
        <v>15</v>
      </c>
      <c r="H1395" s="2"/>
      <c r="K1395" s="3"/>
    </row>
    <row r="1396" spans="1:11" customFormat="1" ht="16" x14ac:dyDescent="0.2">
      <c r="A1396" t="s">
        <v>55</v>
      </c>
      <c r="B1396" s="3">
        <v>4.0039462777159148E-9</v>
      </c>
      <c r="D1396" t="s">
        <v>100</v>
      </c>
      <c r="E1396" t="s">
        <v>9</v>
      </c>
      <c r="F1396" s="2" t="s">
        <v>15</v>
      </c>
      <c r="H1396" s="2"/>
      <c r="K1396" s="3"/>
    </row>
    <row r="1397" spans="1:11" customFormat="1" ht="16" x14ac:dyDescent="0.2">
      <c r="A1397" t="s">
        <v>57</v>
      </c>
      <c r="B1397" s="3">
        <v>9.6449727337009339E-9</v>
      </c>
      <c r="D1397" t="s">
        <v>100</v>
      </c>
      <c r="E1397" t="s">
        <v>9</v>
      </c>
      <c r="F1397" s="2" t="s">
        <v>15</v>
      </c>
      <c r="H1397" s="2"/>
      <c r="K1397" s="3"/>
    </row>
    <row r="1398" spans="1:11" customFormat="1" ht="16" x14ac:dyDescent="0.2">
      <c r="A1398" t="s">
        <v>58</v>
      </c>
      <c r="B1398" s="3">
        <v>4.0793809536092252E-6</v>
      </c>
      <c r="D1398" t="s">
        <v>100</v>
      </c>
      <c r="E1398" t="s">
        <v>9</v>
      </c>
      <c r="F1398" s="2" t="s">
        <v>15</v>
      </c>
      <c r="H1398" s="2"/>
      <c r="K1398" s="3"/>
    </row>
    <row r="1399" spans="1:11" customFormat="1" ht="16" x14ac:dyDescent="0.2">
      <c r="A1399" t="s">
        <v>103</v>
      </c>
      <c r="B1399" s="3">
        <v>2.5641066388993793E-14</v>
      </c>
      <c r="D1399" t="s">
        <v>100</v>
      </c>
      <c r="E1399" t="s">
        <v>9</v>
      </c>
      <c r="F1399" s="2" t="s">
        <v>15</v>
      </c>
      <c r="H1399" s="2"/>
    </row>
    <row r="1400" spans="1:11" customFormat="1" ht="16" x14ac:dyDescent="0.2">
      <c r="A1400" t="s">
        <v>104</v>
      </c>
      <c r="B1400" s="3">
        <v>1.4988121356087533E-6</v>
      </c>
      <c r="D1400" t="s">
        <v>100</v>
      </c>
      <c r="E1400" t="s">
        <v>9</v>
      </c>
      <c r="F1400" s="2" t="s">
        <v>15</v>
      </c>
      <c r="H1400" s="2"/>
    </row>
    <row r="1401" spans="1:11" customFormat="1" ht="16" x14ac:dyDescent="0.2">
      <c r="A1401" t="s">
        <v>105</v>
      </c>
      <c r="B1401" s="3">
        <v>1.4988121356087536E-7</v>
      </c>
      <c r="D1401" t="s">
        <v>100</v>
      </c>
      <c r="E1401" t="s">
        <v>9</v>
      </c>
      <c r="F1401" s="2" t="s">
        <v>15</v>
      </c>
      <c r="H1401" s="2"/>
    </row>
    <row r="1402" spans="1:11" customFormat="1" ht="16" x14ac:dyDescent="0.2">
      <c r="A1402" t="s">
        <v>63</v>
      </c>
      <c r="B1402" s="3">
        <v>4.4181493731679086E-9</v>
      </c>
      <c r="D1402" t="s">
        <v>100</v>
      </c>
      <c r="E1402" t="s">
        <v>9</v>
      </c>
      <c r="F1402" s="2" t="s">
        <v>15</v>
      </c>
      <c r="H1402" s="2"/>
    </row>
    <row r="1403" spans="1:11" customFormat="1" ht="16" x14ac:dyDescent="0.2">
      <c r="A1403" t="s">
        <v>64</v>
      </c>
      <c r="B1403" s="3">
        <v>7.2386626011604185E-10</v>
      </c>
      <c r="D1403" t="s">
        <v>100</v>
      </c>
      <c r="E1403" t="s">
        <v>9</v>
      </c>
      <c r="F1403" s="2" t="s">
        <v>15</v>
      </c>
      <c r="H1403" s="2"/>
    </row>
    <row r="1404" spans="1:11" customFormat="1" ht="16" x14ac:dyDescent="0.2">
      <c r="A1404" t="s">
        <v>65</v>
      </c>
      <c r="B1404" s="3">
        <v>1.3879471014768287E-6</v>
      </c>
      <c r="D1404" t="s">
        <v>100</v>
      </c>
      <c r="E1404" t="s">
        <v>9</v>
      </c>
      <c r="F1404" s="2" t="s">
        <v>15</v>
      </c>
      <c r="H1404" s="2"/>
    </row>
    <row r="1405" spans="1:11" customFormat="1" ht="16" x14ac:dyDescent="0.2">
      <c r="A1405" t="s">
        <v>67</v>
      </c>
      <c r="B1405" s="3">
        <v>6.9408357025220894E-5</v>
      </c>
      <c r="D1405" t="s">
        <v>100</v>
      </c>
      <c r="E1405" t="s">
        <v>9</v>
      </c>
      <c r="F1405" s="2" t="s">
        <v>15</v>
      </c>
      <c r="H1405" s="2"/>
    </row>
    <row r="1406" spans="1:11" customFormat="1" ht="16" x14ac:dyDescent="0.2">
      <c r="A1406" t="s">
        <v>68</v>
      </c>
      <c r="B1406" s="3">
        <v>5.5818502193524422E-7</v>
      </c>
      <c r="D1406" t="s">
        <v>100</v>
      </c>
      <c r="E1406" t="s">
        <v>9</v>
      </c>
      <c r="F1406" s="2" t="s">
        <v>15</v>
      </c>
      <c r="H1406" s="2"/>
    </row>
    <row r="1407" spans="1:11" customFormat="1" ht="16" x14ac:dyDescent="0.2">
      <c r="A1407" t="s">
        <v>69</v>
      </c>
      <c r="B1407">
        <v>1.9128828001645137E-3</v>
      </c>
      <c r="D1407" t="s">
        <v>100</v>
      </c>
      <c r="E1407" t="s">
        <v>9</v>
      </c>
      <c r="F1407" s="2" t="s">
        <v>15</v>
      </c>
      <c r="H1407" s="2"/>
    </row>
    <row r="1408" spans="1:11" customFormat="1" ht="16" x14ac:dyDescent="0.2">
      <c r="A1408" t="s">
        <v>70</v>
      </c>
      <c r="B1408" s="3">
        <v>5.12820309080674E-8</v>
      </c>
      <c r="D1408" t="s">
        <v>100</v>
      </c>
      <c r="E1408" t="s">
        <v>9</v>
      </c>
      <c r="F1408" s="2" t="s">
        <v>15</v>
      </c>
      <c r="H1408" s="2"/>
    </row>
    <row r="1409" spans="1:12" customFormat="1" ht="16" x14ac:dyDescent="0.2">
      <c r="A1409" t="s">
        <v>71</v>
      </c>
      <c r="B1409" s="3">
        <v>4.4996554963039493E-5</v>
      </c>
      <c r="D1409" t="s">
        <v>100</v>
      </c>
      <c r="E1409" t="s">
        <v>9</v>
      </c>
      <c r="F1409" s="2" t="s">
        <v>15</v>
      </c>
      <c r="H1409" s="2"/>
    </row>
    <row r="1410" spans="1:12" customFormat="1" ht="16" x14ac:dyDescent="0.2">
      <c r="A1410" t="s">
        <v>106</v>
      </c>
      <c r="B1410" s="3">
        <v>6.428083646287935E-5</v>
      </c>
      <c r="D1410" t="s">
        <v>100</v>
      </c>
      <c r="E1410" t="s">
        <v>9</v>
      </c>
      <c r="F1410" s="2" t="s">
        <v>15</v>
      </c>
      <c r="H1410" s="2"/>
    </row>
    <row r="1411" spans="1:12" customFormat="1" ht="16" x14ac:dyDescent="0.2">
      <c r="A1411" t="s">
        <v>107</v>
      </c>
      <c r="B1411" s="3">
        <v>5.1424648796319438E-5</v>
      </c>
      <c r="D1411" t="s">
        <v>100</v>
      </c>
      <c r="E1411" t="s">
        <v>9</v>
      </c>
      <c r="F1411" s="2" t="s">
        <v>15</v>
      </c>
      <c r="H1411" s="2"/>
    </row>
    <row r="1412" spans="1:12" customFormat="1" ht="16" x14ac:dyDescent="0.2">
      <c r="A1412" t="s">
        <v>75</v>
      </c>
      <c r="B1412" s="3">
        <v>8.8362885593437998E-9</v>
      </c>
      <c r="D1412" t="s">
        <v>100</v>
      </c>
      <c r="E1412" t="s">
        <v>9</v>
      </c>
      <c r="F1412" s="2" t="s">
        <v>15</v>
      </c>
      <c r="H1412" s="2"/>
    </row>
    <row r="1413" spans="1:12" customFormat="1" ht="16" x14ac:dyDescent="0.2">
      <c r="A1413" t="s">
        <v>77</v>
      </c>
      <c r="B1413">
        <v>1.1659114234524397E-3</v>
      </c>
      <c r="D1413" t="s">
        <v>100</v>
      </c>
      <c r="E1413" t="s">
        <v>9</v>
      </c>
      <c r="F1413" s="2" t="s">
        <v>15</v>
      </c>
      <c r="H1413" s="2"/>
    </row>
    <row r="1414" spans="1:12" customFormat="1" ht="16" x14ac:dyDescent="0.2">
      <c r="A1414" t="s">
        <v>79</v>
      </c>
      <c r="B1414" s="3">
        <v>2.0260399075004886E-8</v>
      </c>
      <c r="D1414" t="s">
        <v>100</v>
      </c>
      <c r="E1414" t="s">
        <v>9</v>
      </c>
      <c r="F1414" s="2" t="s">
        <v>15</v>
      </c>
      <c r="H1414" s="2"/>
    </row>
    <row r="1415" spans="1:12" customFormat="1" ht="16" x14ac:dyDescent="0.2">
      <c r="A1415" t="s">
        <v>57</v>
      </c>
      <c r="B1415" s="3">
        <v>1.6520143085674979E-9</v>
      </c>
      <c r="D1415" t="s">
        <v>112</v>
      </c>
      <c r="E1415" t="s">
        <v>9</v>
      </c>
      <c r="F1415" s="2" t="s">
        <v>15</v>
      </c>
      <c r="H1415" s="2"/>
    </row>
    <row r="1416" spans="1:12" customFormat="1" ht="16" x14ac:dyDescent="0.2">
      <c r="A1416" t="s">
        <v>108</v>
      </c>
      <c r="B1416" s="3">
        <v>1.5836494051346807E-10</v>
      </c>
      <c r="D1416" t="s">
        <v>112</v>
      </c>
      <c r="E1416" t="s">
        <v>9</v>
      </c>
      <c r="F1416" s="2" t="s">
        <v>15</v>
      </c>
      <c r="H1416" s="2"/>
    </row>
    <row r="1417" spans="1:12" customFormat="1" ht="16" x14ac:dyDescent="0.2">
      <c r="A1417" t="s">
        <v>109</v>
      </c>
      <c r="B1417" s="3">
        <v>4.5524750499172942E-7</v>
      </c>
      <c r="D1417" t="s">
        <v>112</v>
      </c>
      <c r="E1417" t="s">
        <v>9</v>
      </c>
      <c r="F1417" s="2" t="s">
        <v>15</v>
      </c>
      <c r="H1417" s="2"/>
    </row>
    <row r="1418" spans="1:12" customFormat="1" ht="16" x14ac:dyDescent="0.2">
      <c r="A1418" t="s">
        <v>110</v>
      </c>
      <c r="B1418" s="3">
        <v>2.6394088838964563E-11</v>
      </c>
      <c r="D1418" t="s">
        <v>112</v>
      </c>
      <c r="E1418" t="s">
        <v>9</v>
      </c>
      <c r="F1418" s="2" t="s">
        <v>15</v>
      </c>
      <c r="H1418" s="2"/>
    </row>
    <row r="1419" spans="1:12" customFormat="1" ht="16" x14ac:dyDescent="0.2">
      <c r="A1419" t="s">
        <v>111</v>
      </c>
      <c r="B1419" s="3">
        <v>2.4156210432449703E-10</v>
      </c>
      <c r="D1419" t="s">
        <v>112</v>
      </c>
      <c r="E1419" t="s">
        <v>9</v>
      </c>
      <c r="F1419" s="2" t="s">
        <v>15</v>
      </c>
      <c r="H1419" s="2"/>
    </row>
    <row r="1420" spans="1:12" customFormat="1" ht="16" x14ac:dyDescent="0.2">
      <c r="H1420" s="2"/>
    </row>
    <row r="1421" spans="1:12" customFormat="1" ht="16" x14ac:dyDescent="0.2"/>
    <row r="1422" spans="1:12" x14ac:dyDescent="0.2">
      <c r="A1422" s="17" t="s">
        <v>2</v>
      </c>
      <c r="B1422" s="17" t="s">
        <v>129</v>
      </c>
    </row>
    <row r="1423" spans="1:12" customFormat="1" ht="16" x14ac:dyDescent="0.2">
      <c r="A1423" s="2" t="s">
        <v>3</v>
      </c>
      <c r="B1423" s="2" t="s">
        <v>18</v>
      </c>
      <c r="C1423" s="2"/>
      <c r="D1423" s="2"/>
      <c r="E1423" s="2"/>
      <c r="F1423" s="2"/>
      <c r="G1423" s="2"/>
      <c r="H1423" s="2"/>
      <c r="I1423" s="2"/>
      <c r="J1423" s="2"/>
      <c r="K1423" s="2"/>
      <c r="L1423" s="2"/>
    </row>
    <row r="1424" spans="1:12" customFormat="1" ht="16" x14ac:dyDescent="0.2">
      <c r="A1424" s="2" t="s">
        <v>4</v>
      </c>
      <c r="B1424" s="2">
        <v>1</v>
      </c>
      <c r="C1424" s="2"/>
      <c r="D1424" s="2"/>
      <c r="E1424" s="2"/>
      <c r="F1424" s="2"/>
      <c r="G1424" s="2"/>
      <c r="H1424" s="2"/>
      <c r="I1424" s="2"/>
      <c r="J1424" s="2"/>
      <c r="K1424" s="2"/>
      <c r="L1424" s="2"/>
    </row>
    <row r="1425" spans="1:12" customFormat="1" ht="16" x14ac:dyDescent="0.2">
      <c r="A1425" s="2" t="s">
        <v>5</v>
      </c>
      <c r="B1425" s="2" t="s">
        <v>1</v>
      </c>
      <c r="C1425" s="2"/>
      <c r="D1425" s="2"/>
      <c r="E1425" s="2"/>
      <c r="F1425" s="2"/>
      <c r="G1425" s="2"/>
      <c r="H1425" s="2"/>
      <c r="I1425" s="2"/>
      <c r="J1425" s="2"/>
    </row>
    <row r="1426" spans="1:12" customFormat="1" ht="16" x14ac:dyDescent="0.2">
      <c r="A1426" s="2" t="s">
        <v>6</v>
      </c>
      <c r="B1426" s="2" t="s">
        <v>7</v>
      </c>
      <c r="C1426" s="2"/>
      <c r="D1426" s="2"/>
      <c r="E1426" s="2"/>
      <c r="F1426" s="2"/>
      <c r="G1426" s="2"/>
      <c r="H1426" s="2"/>
      <c r="I1426" s="2"/>
      <c r="J1426" s="2"/>
      <c r="K1426" s="2"/>
      <c r="L1426" s="2"/>
    </row>
    <row r="1427" spans="1:12" customFormat="1" ht="16" x14ac:dyDescent="0.2">
      <c r="A1427" s="2" t="s">
        <v>8</v>
      </c>
      <c r="B1427" s="2" t="s">
        <v>17</v>
      </c>
      <c r="C1427" s="2"/>
      <c r="D1427" s="2"/>
      <c r="E1427" s="2"/>
      <c r="F1427" s="2"/>
      <c r="G1427" s="2"/>
      <c r="H1427" s="2"/>
      <c r="I1427" s="2"/>
      <c r="J1427" s="2"/>
      <c r="K1427" s="2"/>
      <c r="L1427" s="2"/>
    </row>
    <row r="1428" spans="1:12" customFormat="1" ht="16" x14ac:dyDescent="0.2">
      <c r="A1428" s="1" t="s">
        <v>10</v>
      </c>
      <c r="B1428" s="2"/>
      <c r="C1428" s="2"/>
      <c r="D1428" s="2"/>
      <c r="E1428" s="2"/>
      <c r="F1428" s="2"/>
      <c r="G1428" s="2"/>
      <c r="H1428" s="2"/>
      <c r="I1428" s="2"/>
      <c r="J1428" s="2"/>
      <c r="K1428" s="2"/>
      <c r="L1428" s="2"/>
    </row>
    <row r="1429" spans="1:12" x14ac:dyDescent="0.2">
      <c r="A1429" s="17" t="s">
        <v>11</v>
      </c>
      <c r="B1429" s="17" t="s">
        <v>12</v>
      </c>
      <c r="C1429" s="17" t="s">
        <v>3</v>
      </c>
      <c r="D1429" s="17" t="s">
        <v>13</v>
      </c>
      <c r="E1429" s="17" t="s">
        <v>8</v>
      </c>
      <c r="F1429" s="17" t="s">
        <v>6</v>
      </c>
      <c r="G1429" s="17" t="s">
        <v>5</v>
      </c>
      <c r="I1429" s="17"/>
      <c r="J1429" s="17"/>
      <c r="K1429" s="17"/>
    </row>
    <row r="1430" spans="1:12" customFormat="1" ht="16" x14ac:dyDescent="0.2">
      <c r="A1430" s="2" t="str">
        <f>B1422</f>
        <v>methanol from biomass, burned in container ship</v>
      </c>
      <c r="B1430" s="2">
        <v>1</v>
      </c>
      <c r="C1430" s="2" t="str">
        <f>B1423</f>
        <v>RER</v>
      </c>
      <c r="D1430" s="2"/>
      <c r="E1430" s="2" t="str">
        <f>B1427</f>
        <v>megajoule</v>
      </c>
      <c r="F1430" s="2" t="s">
        <v>19</v>
      </c>
      <c r="G1430" s="2" t="str">
        <f>B1425</f>
        <v>heat</v>
      </c>
      <c r="H1430" s="2"/>
      <c r="I1430" s="2"/>
      <c r="J1430" s="2"/>
      <c r="K1430" s="2"/>
      <c r="L1430" s="2"/>
    </row>
    <row r="1431" spans="1:12" customFormat="1" ht="16" x14ac:dyDescent="0.2">
      <c r="A1431" t="s">
        <v>150</v>
      </c>
      <c r="B1431" s="8">
        <v>5.5555555555555601E-2</v>
      </c>
      <c r="C1431" t="s">
        <v>128</v>
      </c>
      <c r="E1431" t="s">
        <v>9</v>
      </c>
      <c r="F1431" t="s">
        <v>23</v>
      </c>
      <c r="G1431" t="s">
        <v>127</v>
      </c>
      <c r="H1431" s="2"/>
    </row>
    <row r="1432" spans="1:12" s="4" customFormat="1" ht="16" x14ac:dyDescent="0.2">
      <c r="A1432" s="4" t="s">
        <v>98</v>
      </c>
      <c r="B1432" s="7">
        <f>0.0625/1000</f>
        <v>6.2500000000000001E-5</v>
      </c>
      <c r="D1432" s="4" t="s">
        <v>117</v>
      </c>
      <c r="E1432" s="4" t="s">
        <v>94</v>
      </c>
      <c r="F1432" s="4" t="s">
        <v>15</v>
      </c>
      <c r="L1432" s="5"/>
    </row>
    <row r="1433" spans="1:12" s="4" customFormat="1" ht="16" x14ac:dyDescent="0.2">
      <c r="A1433" s="4" t="s">
        <v>123</v>
      </c>
      <c r="B1433" s="7">
        <v>7.6222222222222233E-2</v>
      </c>
      <c r="D1433" s="4" t="s">
        <v>14</v>
      </c>
      <c r="E1433" s="4" t="s">
        <v>9</v>
      </c>
      <c r="F1433" s="4" t="s">
        <v>15</v>
      </c>
      <c r="L1433" s="5"/>
    </row>
    <row r="1434" spans="1:12" s="4" customFormat="1" ht="16" x14ac:dyDescent="0.2">
      <c r="A1434" s="4" t="s">
        <v>124</v>
      </c>
      <c r="B1434" s="7">
        <v>9.0000000000000002E-6</v>
      </c>
      <c r="D1434" s="4" t="s">
        <v>14</v>
      </c>
      <c r="E1434" s="4" t="s">
        <v>9</v>
      </c>
      <c r="F1434" s="4" t="s">
        <v>15</v>
      </c>
    </row>
    <row r="1435" spans="1:12" s="4" customFormat="1" ht="16" x14ac:dyDescent="0.2">
      <c r="A1435" s="4" t="s">
        <v>69</v>
      </c>
      <c r="B1435" s="7">
        <v>6.8750000000000002E-6</v>
      </c>
      <c r="D1435" s="4" t="s">
        <v>14</v>
      </c>
      <c r="E1435" s="4" t="s">
        <v>9</v>
      </c>
      <c r="F1435" s="4" t="s">
        <v>15</v>
      </c>
      <c r="L1435" s="5"/>
    </row>
    <row r="1436" spans="1:12" s="4" customFormat="1" ht="16" x14ac:dyDescent="0.2">
      <c r="A1436" s="4" t="s">
        <v>71</v>
      </c>
      <c r="B1436" s="7">
        <v>1.2499999999999999E-7</v>
      </c>
      <c r="D1436" s="4" t="s">
        <v>14</v>
      </c>
      <c r="E1436" s="4" t="s">
        <v>9</v>
      </c>
      <c r="F1436" s="4" t="s">
        <v>15</v>
      </c>
      <c r="L1436" s="5"/>
    </row>
    <row r="1437" spans="1:12" customFormat="1" ht="16" x14ac:dyDescent="0.2">
      <c r="H1437" s="2"/>
    </row>
    <row r="1438" spans="1:12" x14ac:dyDescent="0.2">
      <c r="A1438" s="17" t="s">
        <v>2</v>
      </c>
      <c r="B1438" s="17" t="s">
        <v>254</v>
      </c>
    </row>
    <row r="1439" spans="1:12" customFormat="1" ht="16" x14ac:dyDescent="0.2">
      <c r="A1439" s="2" t="s">
        <v>3</v>
      </c>
      <c r="B1439" s="2" t="s">
        <v>18</v>
      </c>
      <c r="C1439" s="2"/>
      <c r="D1439" s="2"/>
      <c r="E1439" s="2"/>
      <c r="F1439" s="2"/>
      <c r="G1439" s="2"/>
      <c r="H1439" s="2"/>
      <c r="I1439" s="2"/>
      <c r="J1439" s="2"/>
      <c r="K1439" s="2"/>
      <c r="L1439" s="2"/>
    </row>
    <row r="1440" spans="1:12" customFormat="1" ht="16" x14ac:dyDescent="0.2">
      <c r="A1440" s="2" t="s">
        <v>4</v>
      </c>
      <c r="B1440" s="2">
        <v>1</v>
      </c>
      <c r="C1440" s="2"/>
      <c r="D1440" s="2"/>
      <c r="E1440" s="2"/>
      <c r="F1440" s="2"/>
      <c r="G1440" s="2"/>
      <c r="H1440" s="2"/>
      <c r="I1440" s="2"/>
      <c r="J1440" s="2"/>
      <c r="K1440" s="2"/>
      <c r="L1440" s="2"/>
    </row>
    <row r="1441" spans="1:12" customFormat="1" ht="16" x14ac:dyDescent="0.2">
      <c r="A1441" s="2" t="s">
        <v>5</v>
      </c>
      <c r="B1441" s="2" t="s">
        <v>255</v>
      </c>
      <c r="C1441" s="2"/>
      <c r="D1441" s="2"/>
      <c r="E1441" s="2"/>
      <c r="F1441" s="2"/>
      <c r="G1441" s="2"/>
      <c r="H1441" s="2"/>
      <c r="I1441" s="2"/>
      <c r="J1441" s="2"/>
    </row>
    <row r="1442" spans="1:12" customFormat="1" ht="16" x14ac:dyDescent="0.2">
      <c r="A1442" s="2" t="s">
        <v>6</v>
      </c>
      <c r="B1442" s="2" t="s">
        <v>7</v>
      </c>
      <c r="C1442" s="2"/>
      <c r="D1442" s="2"/>
      <c r="E1442" s="2"/>
      <c r="F1442" s="2"/>
      <c r="G1442" s="2"/>
      <c r="H1442" s="2"/>
      <c r="I1442" s="2"/>
      <c r="J1442" s="2"/>
      <c r="K1442" s="2"/>
      <c r="L1442" s="2"/>
    </row>
    <row r="1443" spans="1:12" customFormat="1" ht="16" x14ac:dyDescent="0.2">
      <c r="A1443" s="2" t="s">
        <v>8</v>
      </c>
      <c r="B1443" s="2" t="s">
        <v>17</v>
      </c>
      <c r="C1443" s="2"/>
      <c r="D1443" s="2"/>
      <c r="E1443" s="2"/>
      <c r="F1443" s="2"/>
      <c r="G1443" s="2"/>
      <c r="H1443" s="2"/>
      <c r="I1443" s="2"/>
      <c r="J1443" s="2"/>
      <c r="K1443" s="2"/>
      <c r="L1443" s="2"/>
    </row>
    <row r="1444" spans="1:12" customFormat="1" ht="16" x14ac:dyDescent="0.2">
      <c r="A1444" s="1" t="s">
        <v>10</v>
      </c>
      <c r="B1444" s="2"/>
      <c r="C1444" s="2"/>
      <c r="D1444" s="2"/>
      <c r="E1444" s="2"/>
      <c r="F1444" s="2"/>
      <c r="G1444" s="2"/>
      <c r="H1444" s="2"/>
      <c r="I1444" s="2"/>
      <c r="J1444" s="2"/>
      <c r="K1444" s="2"/>
      <c r="L1444" s="2"/>
    </row>
    <row r="1445" spans="1:12" x14ac:dyDescent="0.2">
      <c r="A1445" s="17" t="s">
        <v>11</v>
      </c>
      <c r="B1445" s="17" t="s">
        <v>12</v>
      </c>
      <c r="C1445" s="17" t="s">
        <v>3</v>
      </c>
      <c r="D1445" s="17" t="s">
        <v>13</v>
      </c>
      <c r="E1445" s="17" t="s">
        <v>8</v>
      </c>
      <c r="F1445" s="17" t="s">
        <v>6</v>
      </c>
      <c r="G1445" s="17" t="s">
        <v>5</v>
      </c>
      <c r="I1445" s="17"/>
      <c r="J1445" s="17"/>
      <c r="K1445" s="17"/>
    </row>
    <row r="1446" spans="1:12" customFormat="1" ht="16" x14ac:dyDescent="0.2">
      <c r="A1446" s="2" t="str">
        <f>B1438</f>
        <v>electricity, used in passenger train</v>
      </c>
      <c r="B1446" s="2">
        <v>1</v>
      </c>
      <c r="C1446" s="2" t="str">
        <f>B1439</f>
        <v>RER</v>
      </c>
      <c r="D1446" s="2"/>
      <c r="E1446" s="2" t="str">
        <f>B1443</f>
        <v>megajoule</v>
      </c>
      <c r="F1446" s="2" t="s">
        <v>19</v>
      </c>
      <c r="G1446" s="2" t="str">
        <f>B1441</f>
        <v>electricity, high voltage</v>
      </c>
      <c r="H1446" s="2"/>
      <c r="I1446" s="2"/>
      <c r="J1446" s="2"/>
      <c r="K1446" s="2"/>
      <c r="L1446" s="2"/>
    </row>
    <row r="1447" spans="1:12" customFormat="1" ht="16" x14ac:dyDescent="0.2">
      <c r="A1447" s="2" t="s">
        <v>306</v>
      </c>
      <c r="B1447" s="2">
        <f>1/3.6</f>
        <v>0.27777777777777779</v>
      </c>
      <c r="C1447" s="2" t="s">
        <v>18</v>
      </c>
      <c r="D1447" s="2"/>
      <c r="E1447" s="2" t="s">
        <v>142</v>
      </c>
      <c r="F1447" s="2" t="s">
        <v>23</v>
      </c>
      <c r="G1447" s="2" t="s">
        <v>255</v>
      </c>
      <c r="H1447" s="2"/>
      <c r="I1447" s="2"/>
      <c r="J1447" s="2"/>
      <c r="K1447" s="2"/>
      <c r="L1447" s="2"/>
    </row>
    <row r="1448" spans="1:12" customFormat="1" ht="16" x14ac:dyDescent="0.2">
      <c r="F1448" s="2"/>
    </row>
    <row r="1449" spans="1:12" x14ac:dyDescent="0.2">
      <c r="A1449" s="17" t="s">
        <v>2</v>
      </c>
      <c r="B1449" s="17" t="s">
        <v>136</v>
      </c>
    </row>
    <row r="1450" spans="1:12" customFormat="1" ht="16" x14ac:dyDescent="0.2">
      <c r="A1450" s="2" t="s">
        <v>3</v>
      </c>
      <c r="B1450" s="2" t="s">
        <v>18</v>
      </c>
      <c r="C1450" s="2"/>
      <c r="D1450" s="2"/>
      <c r="E1450" s="2"/>
      <c r="F1450" s="2"/>
      <c r="G1450" s="2"/>
      <c r="H1450" s="2"/>
      <c r="I1450" s="2"/>
      <c r="J1450" s="2"/>
      <c r="K1450" s="2"/>
      <c r="L1450" s="2"/>
    </row>
    <row r="1451" spans="1:12" customFormat="1" ht="16" x14ac:dyDescent="0.2">
      <c r="A1451" s="2" t="s">
        <v>4</v>
      </c>
      <c r="B1451" s="2">
        <v>1</v>
      </c>
      <c r="C1451" s="2"/>
      <c r="D1451" s="2"/>
      <c r="E1451" s="2"/>
      <c r="F1451" s="2"/>
      <c r="G1451" s="2"/>
      <c r="H1451" s="2"/>
      <c r="I1451" s="2"/>
      <c r="J1451" s="2"/>
      <c r="K1451" s="2"/>
      <c r="L1451" s="2"/>
    </row>
    <row r="1452" spans="1:12" customFormat="1" ht="16" x14ac:dyDescent="0.2">
      <c r="A1452" s="2" t="s">
        <v>5</v>
      </c>
      <c r="B1452" s="2" t="s">
        <v>1</v>
      </c>
      <c r="C1452" s="2"/>
      <c r="D1452" s="2"/>
      <c r="E1452" s="2"/>
      <c r="F1452" s="2"/>
      <c r="G1452" s="2"/>
      <c r="H1452" s="2"/>
      <c r="I1452" s="2"/>
      <c r="J1452" s="2"/>
    </row>
    <row r="1453" spans="1:12" customFormat="1" ht="16" x14ac:dyDescent="0.2">
      <c r="A1453" s="2" t="s">
        <v>6</v>
      </c>
      <c r="B1453" s="2" t="s">
        <v>7</v>
      </c>
      <c r="C1453" s="2"/>
      <c r="D1453" s="2"/>
      <c r="E1453" s="2"/>
      <c r="F1453" s="2"/>
      <c r="G1453" s="2"/>
      <c r="H1453" s="2"/>
      <c r="I1453" s="2"/>
      <c r="J1453" s="2"/>
      <c r="K1453" s="2"/>
      <c r="L1453" s="2"/>
    </row>
    <row r="1454" spans="1:12" customFormat="1" ht="16" x14ac:dyDescent="0.2">
      <c r="A1454" s="2" t="s">
        <v>8</v>
      </c>
      <c r="B1454" s="2" t="s">
        <v>17</v>
      </c>
      <c r="C1454" s="2"/>
      <c r="D1454" s="2"/>
      <c r="E1454" s="2"/>
      <c r="F1454" s="2"/>
      <c r="G1454" s="2"/>
      <c r="H1454" s="2"/>
      <c r="I1454" s="2"/>
      <c r="J1454" s="2"/>
      <c r="K1454" s="2"/>
      <c r="L1454" s="2"/>
    </row>
    <row r="1455" spans="1:12" customFormat="1" ht="16" x14ac:dyDescent="0.2">
      <c r="A1455" s="1" t="s">
        <v>10</v>
      </c>
      <c r="B1455" s="2"/>
      <c r="C1455" s="2"/>
      <c r="D1455" s="2"/>
      <c r="E1455" s="2"/>
      <c r="F1455" s="2"/>
      <c r="G1455" s="2"/>
      <c r="H1455" s="2"/>
      <c r="I1455" s="2"/>
      <c r="J1455" s="2"/>
      <c r="K1455" s="2"/>
      <c r="L1455" s="2"/>
    </row>
    <row r="1456" spans="1:12" x14ac:dyDescent="0.2">
      <c r="A1456" s="17" t="s">
        <v>11</v>
      </c>
      <c r="B1456" s="17" t="s">
        <v>12</v>
      </c>
      <c r="C1456" s="17" t="s">
        <v>3</v>
      </c>
      <c r="D1456" s="17" t="s">
        <v>13</v>
      </c>
      <c r="E1456" s="17" t="s">
        <v>8</v>
      </c>
      <c r="F1456" s="17" t="s">
        <v>6</v>
      </c>
      <c r="G1456" s="17" t="s">
        <v>5</v>
      </c>
      <c r="I1456" s="17"/>
      <c r="J1456" s="17"/>
      <c r="K1456" s="17"/>
    </row>
    <row r="1457" spans="1:12" customFormat="1" ht="16" x14ac:dyDescent="0.2">
      <c r="A1457" s="2" t="str">
        <f>B1449</f>
        <v>diesel, burned in passenger train</v>
      </c>
      <c r="B1457" s="2">
        <v>1</v>
      </c>
      <c r="C1457" s="2" t="str">
        <f>B1450</f>
        <v>RER</v>
      </c>
      <c r="D1457" s="2"/>
      <c r="E1457" s="2" t="str">
        <f>B1454</f>
        <v>megajoule</v>
      </c>
      <c r="F1457" s="2" t="s">
        <v>19</v>
      </c>
      <c r="G1457" s="2" t="str">
        <f>B1452</f>
        <v>heat</v>
      </c>
      <c r="H1457" s="2"/>
      <c r="I1457" s="2"/>
      <c r="J1457" s="2"/>
      <c r="K1457" s="2"/>
      <c r="L1457" s="2"/>
    </row>
    <row r="1458" spans="1:12" customFormat="1" ht="16" x14ac:dyDescent="0.2">
      <c r="A1458" s="2" t="s">
        <v>120</v>
      </c>
      <c r="B1458" s="9">
        <f>1/43</f>
        <v>2.3255813953488372E-2</v>
      </c>
      <c r="C1458" t="s">
        <v>27</v>
      </c>
      <c r="E1458" t="s">
        <v>9</v>
      </c>
      <c r="F1458" t="s">
        <v>23</v>
      </c>
      <c r="G1458" t="s">
        <v>44</v>
      </c>
      <c r="H1458" s="2"/>
    </row>
    <row r="1459" spans="1:12" customFormat="1" ht="16" x14ac:dyDescent="0.2">
      <c r="A1459" t="s">
        <v>48</v>
      </c>
      <c r="B1459" s="3">
        <v>4.6511627906976748E-7</v>
      </c>
      <c r="D1459" t="s">
        <v>117</v>
      </c>
      <c r="E1459" t="s">
        <v>9</v>
      </c>
      <c r="F1459" s="2" t="s">
        <v>15</v>
      </c>
      <c r="H1459" s="2"/>
      <c r="I1459" s="3"/>
    </row>
    <row r="1460" spans="1:12" customFormat="1" ht="16" x14ac:dyDescent="0.2">
      <c r="A1460" t="s">
        <v>50</v>
      </c>
      <c r="B1460" s="3">
        <v>2.3255813953488372E-6</v>
      </c>
      <c r="D1460" t="s">
        <v>117</v>
      </c>
      <c r="E1460" t="s">
        <v>9</v>
      </c>
      <c r="F1460" s="2" t="s">
        <v>15</v>
      </c>
      <c r="H1460" s="2"/>
      <c r="I1460" s="3"/>
    </row>
    <row r="1461" spans="1:12" customFormat="1" ht="16" x14ac:dyDescent="0.2">
      <c r="A1461" t="s">
        <v>52</v>
      </c>
      <c r="B1461" s="3">
        <v>2.3255813953488374E-10</v>
      </c>
      <c r="D1461" t="s">
        <v>117</v>
      </c>
      <c r="E1461" t="s">
        <v>9</v>
      </c>
      <c r="F1461" s="2" t="s">
        <v>15</v>
      </c>
      <c r="H1461" s="2"/>
      <c r="I1461" s="3"/>
    </row>
    <row r="1462" spans="1:12" customFormat="1" ht="16" x14ac:dyDescent="0.2">
      <c r="A1462" t="s">
        <v>53</v>
      </c>
      <c r="B1462">
        <f>3.15*B1458</f>
        <v>7.3255813953488375E-2</v>
      </c>
      <c r="D1462" t="s">
        <v>117</v>
      </c>
      <c r="E1462" t="s">
        <v>9</v>
      </c>
      <c r="F1462" s="2" t="s">
        <v>15</v>
      </c>
      <c r="H1462" s="2"/>
      <c r="I1462" s="3"/>
    </row>
    <row r="1463" spans="1:12" customFormat="1" ht="16" x14ac:dyDescent="0.2">
      <c r="A1463" t="s">
        <v>54</v>
      </c>
      <c r="B1463">
        <v>3.6731145403173224E-4</v>
      </c>
      <c r="D1463" t="s">
        <v>117</v>
      </c>
      <c r="E1463" t="s">
        <v>9</v>
      </c>
      <c r="F1463" s="2" t="s">
        <v>15</v>
      </c>
      <c r="H1463" s="2"/>
      <c r="I1463" s="3"/>
    </row>
    <row r="1464" spans="1:12" customFormat="1" ht="16" x14ac:dyDescent="0.2">
      <c r="A1464" t="s">
        <v>55</v>
      </c>
      <c r="B1464" s="3">
        <v>1.160617257118018E-9</v>
      </c>
      <c r="D1464" t="s">
        <v>117</v>
      </c>
      <c r="E1464" t="s">
        <v>9</v>
      </c>
      <c r="F1464" s="2" t="s">
        <v>15</v>
      </c>
      <c r="H1464" s="2"/>
      <c r="I1464" s="3"/>
    </row>
    <row r="1465" spans="1:12" customFormat="1" ht="16" x14ac:dyDescent="0.2">
      <c r="A1465" t="s">
        <v>57</v>
      </c>
      <c r="B1465" s="3">
        <v>3.9556618126494245E-8</v>
      </c>
      <c r="D1465" t="s">
        <v>117</v>
      </c>
      <c r="E1465" t="s">
        <v>9</v>
      </c>
      <c r="F1465" s="2" t="s">
        <v>15</v>
      </c>
      <c r="H1465" s="2"/>
      <c r="I1465" s="3"/>
    </row>
    <row r="1466" spans="1:12" customFormat="1" ht="16" x14ac:dyDescent="0.2">
      <c r="A1466" t="s">
        <v>58</v>
      </c>
      <c r="B1466" s="3">
        <v>2.3255813953488372E-6</v>
      </c>
      <c r="D1466" t="s">
        <v>117</v>
      </c>
      <c r="E1466" t="s">
        <v>9</v>
      </c>
      <c r="F1466" s="2" t="s">
        <v>15</v>
      </c>
      <c r="H1466" s="2"/>
      <c r="I1466" s="3"/>
    </row>
    <row r="1467" spans="1:12" customFormat="1" ht="16" x14ac:dyDescent="0.2">
      <c r="A1467" t="s">
        <v>63</v>
      </c>
      <c r="B1467" s="3">
        <v>2.5429254509889156E-12</v>
      </c>
      <c r="D1467" t="s">
        <v>117</v>
      </c>
      <c r="E1467" t="s">
        <v>9</v>
      </c>
      <c r="F1467" s="2" t="s">
        <v>15</v>
      </c>
      <c r="H1467" s="2"/>
      <c r="I1467" s="3"/>
    </row>
    <row r="1468" spans="1:12" customFormat="1" ht="16" x14ac:dyDescent="0.2">
      <c r="A1468" t="s">
        <v>64</v>
      </c>
      <c r="B1468" s="3">
        <v>4.651162790697675E-13</v>
      </c>
      <c r="D1468" t="s">
        <v>117</v>
      </c>
      <c r="E1468" t="s">
        <v>9</v>
      </c>
      <c r="F1468" s="2" t="s">
        <v>15</v>
      </c>
      <c r="H1468" s="2"/>
      <c r="I1468" s="3"/>
    </row>
    <row r="1469" spans="1:12" customFormat="1" ht="16" x14ac:dyDescent="0.2">
      <c r="A1469" t="s">
        <v>65</v>
      </c>
      <c r="B1469" s="3">
        <v>3.0210823733970879E-6</v>
      </c>
      <c r="D1469" t="s">
        <v>117</v>
      </c>
      <c r="E1469" t="s">
        <v>9</v>
      </c>
      <c r="F1469" s="2" t="s">
        <v>15</v>
      </c>
      <c r="H1469" s="2"/>
      <c r="I1469" s="3"/>
    </row>
    <row r="1470" spans="1:12" customFormat="1" ht="16" x14ac:dyDescent="0.2">
      <c r="A1470" t="s">
        <v>67</v>
      </c>
      <c r="B1470" s="3">
        <v>1.1758313410128234E-4</v>
      </c>
      <c r="D1470" t="s">
        <v>117</v>
      </c>
      <c r="E1470" t="s">
        <v>9</v>
      </c>
      <c r="F1470" s="2" t="s">
        <v>15</v>
      </c>
      <c r="H1470" s="2"/>
      <c r="I1470" s="3"/>
    </row>
    <row r="1471" spans="1:12" customFormat="1" ht="16" x14ac:dyDescent="0.2">
      <c r="A1471" t="s">
        <v>68</v>
      </c>
      <c r="B1471" s="3">
        <v>1.6235600956313845E-9</v>
      </c>
      <c r="D1471" t="s">
        <v>117</v>
      </c>
      <c r="E1471" t="s">
        <v>9</v>
      </c>
      <c r="F1471" s="2" t="s">
        <v>15</v>
      </c>
      <c r="H1471" s="2"/>
      <c r="I1471" s="3"/>
    </row>
    <row r="1472" spans="1:12" customFormat="1" ht="16" x14ac:dyDescent="0.2">
      <c r="A1472" t="s">
        <v>69</v>
      </c>
      <c r="B1472">
        <v>1.2758096066072594E-3</v>
      </c>
      <c r="D1472" t="s">
        <v>117</v>
      </c>
      <c r="E1472" t="s">
        <v>9</v>
      </c>
      <c r="F1472" s="2" t="s">
        <v>15</v>
      </c>
      <c r="H1472" s="2"/>
      <c r="I1472" s="3"/>
    </row>
    <row r="1473" spans="1:12" customFormat="1" ht="16" x14ac:dyDescent="0.2">
      <c r="A1473" t="s">
        <v>71</v>
      </c>
      <c r="B1473" s="3">
        <v>2.9836991958269943E-5</v>
      </c>
      <c r="D1473" t="s">
        <v>117</v>
      </c>
      <c r="E1473" t="s">
        <v>9</v>
      </c>
      <c r="F1473" s="2" t="s">
        <v>15</v>
      </c>
      <c r="H1473" s="2"/>
      <c r="I1473" s="3"/>
    </row>
    <row r="1474" spans="1:12" customFormat="1" ht="16" x14ac:dyDescent="0.2">
      <c r="A1474" t="s">
        <v>106</v>
      </c>
      <c r="B1474" s="3">
        <v>3.5524885894370795E-5</v>
      </c>
      <c r="D1474" t="s">
        <v>117</v>
      </c>
      <c r="E1474" t="s">
        <v>9</v>
      </c>
      <c r="F1474" s="2" t="s">
        <v>15</v>
      </c>
      <c r="H1474" s="2"/>
      <c r="I1474" s="3"/>
    </row>
    <row r="1475" spans="1:12" customFormat="1" ht="16" x14ac:dyDescent="0.2">
      <c r="A1475" t="s">
        <v>107</v>
      </c>
      <c r="B1475" s="3">
        <v>1.6163877417952619E-5</v>
      </c>
      <c r="D1475" t="s">
        <v>117</v>
      </c>
      <c r="E1475" t="s">
        <v>9</v>
      </c>
      <c r="F1475" s="2" t="s">
        <v>15</v>
      </c>
      <c r="H1475" s="2"/>
      <c r="I1475" s="3"/>
    </row>
    <row r="1476" spans="1:12" customFormat="1" ht="16" x14ac:dyDescent="0.2">
      <c r="A1476" t="s">
        <v>75</v>
      </c>
      <c r="B1476" s="3">
        <v>2.3255813953488374E-10</v>
      </c>
      <c r="D1476" t="s">
        <v>117</v>
      </c>
      <c r="E1476" t="s">
        <v>9</v>
      </c>
      <c r="F1476" s="2" t="s">
        <v>15</v>
      </c>
      <c r="H1476" s="2"/>
      <c r="I1476" s="3"/>
    </row>
    <row r="1477" spans="1:12" customFormat="1" ht="16" x14ac:dyDescent="0.2">
      <c r="A1477" t="s">
        <v>77</v>
      </c>
      <c r="B1477" s="3">
        <v>1.3931753966529016E-5</v>
      </c>
      <c r="D1477" t="s">
        <v>117</v>
      </c>
      <c r="E1477" t="s">
        <v>9</v>
      </c>
      <c r="F1477" s="2" t="s">
        <v>15</v>
      </c>
      <c r="H1477" s="2"/>
      <c r="I1477" s="3"/>
    </row>
    <row r="1478" spans="1:12" customFormat="1" ht="16" x14ac:dyDescent="0.2">
      <c r="A1478" t="s">
        <v>78</v>
      </c>
      <c r="B1478" s="3">
        <v>9.2805911758313421E-7</v>
      </c>
      <c r="D1478" t="s">
        <v>117</v>
      </c>
      <c r="E1478" t="s">
        <v>9</v>
      </c>
      <c r="F1478" s="2" t="s">
        <v>15</v>
      </c>
      <c r="H1478" s="2"/>
      <c r="I1478" s="3"/>
    </row>
    <row r="1479" spans="1:12" customFormat="1" ht="16" x14ac:dyDescent="0.2">
      <c r="A1479" t="s">
        <v>137</v>
      </c>
      <c r="B1479" s="3">
        <v>9.2805911758313421E-7</v>
      </c>
      <c r="D1479" t="s">
        <v>117</v>
      </c>
      <c r="E1479" t="s">
        <v>9</v>
      </c>
      <c r="F1479" s="2" t="s">
        <v>15</v>
      </c>
      <c r="H1479" s="2"/>
      <c r="I1479" s="3"/>
    </row>
    <row r="1480" spans="1:12" customFormat="1" ht="16" x14ac:dyDescent="0.2">
      <c r="A1480" t="s">
        <v>79</v>
      </c>
      <c r="B1480" s="3">
        <v>2.3255813953488372E-8</v>
      </c>
      <c r="D1480" t="s">
        <v>117</v>
      </c>
      <c r="E1480" t="s">
        <v>9</v>
      </c>
      <c r="F1480" s="2" t="s">
        <v>15</v>
      </c>
      <c r="H1480" s="2"/>
      <c r="I1480" s="3"/>
    </row>
    <row r="1481" spans="1:12" customFormat="1" ht="16" x14ac:dyDescent="0.2">
      <c r="A1481" t="s">
        <v>138</v>
      </c>
      <c r="B1481" s="3">
        <v>1.3084112149532712E-4</v>
      </c>
      <c r="D1481" t="s">
        <v>139</v>
      </c>
      <c r="E1481" t="s">
        <v>9</v>
      </c>
      <c r="F1481" s="2" t="s">
        <v>15</v>
      </c>
      <c r="H1481" s="2"/>
      <c r="I1481" s="3"/>
    </row>
    <row r="1482" spans="1:12" customFormat="1" ht="16" x14ac:dyDescent="0.2"/>
    <row r="1483" spans="1:12" x14ac:dyDescent="0.2">
      <c r="A1483" s="17" t="s">
        <v>2</v>
      </c>
      <c r="B1483" s="17" t="s">
        <v>278</v>
      </c>
    </row>
    <row r="1484" spans="1:12" customFormat="1" ht="16" x14ac:dyDescent="0.2">
      <c r="A1484" s="2" t="s">
        <v>3</v>
      </c>
      <c r="B1484" s="2" t="s">
        <v>18</v>
      </c>
      <c r="C1484" s="2"/>
      <c r="D1484" s="2"/>
      <c r="E1484" s="2"/>
      <c r="F1484" s="2"/>
      <c r="G1484" s="2"/>
      <c r="H1484" s="2"/>
      <c r="I1484" s="2"/>
      <c r="J1484" s="2"/>
      <c r="K1484" s="2"/>
      <c r="L1484" s="2"/>
    </row>
    <row r="1485" spans="1:12" customFormat="1" ht="16" x14ac:dyDescent="0.2">
      <c r="A1485" s="2" t="s">
        <v>4</v>
      </c>
      <c r="B1485" s="2">
        <v>1</v>
      </c>
      <c r="C1485" s="2"/>
      <c r="D1485" s="2"/>
      <c r="E1485" s="2"/>
      <c r="F1485" s="2"/>
      <c r="G1485" s="2"/>
      <c r="H1485" s="2"/>
      <c r="I1485" s="2"/>
      <c r="J1485" s="2"/>
      <c r="K1485" s="2"/>
      <c r="L1485" s="2"/>
    </row>
    <row r="1486" spans="1:12" customFormat="1" ht="16" x14ac:dyDescent="0.2">
      <c r="A1486" s="2" t="s">
        <v>5</v>
      </c>
      <c r="B1486" s="2" t="s">
        <v>1</v>
      </c>
      <c r="C1486" s="2"/>
      <c r="D1486" s="2"/>
      <c r="E1486" s="2"/>
      <c r="F1486" s="2"/>
      <c r="G1486" s="2"/>
      <c r="H1486" s="2"/>
      <c r="I1486" s="2"/>
      <c r="J1486" s="2"/>
    </row>
    <row r="1487" spans="1:12" customFormat="1" ht="16" x14ac:dyDescent="0.2">
      <c r="A1487" s="2" t="s">
        <v>6</v>
      </c>
      <c r="B1487" s="2" t="s">
        <v>7</v>
      </c>
      <c r="C1487" s="2"/>
      <c r="D1487" s="2"/>
      <c r="E1487" s="2"/>
      <c r="F1487" s="2"/>
      <c r="G1487" s="2"/>
      <c r="H1487" s="2"/>
      <c r="I1487" s="2"/>
      <c r="J1487" s="2"/>
      <c r="K1487" s="2"/>
      <c r="L1487" s="2"/>
    </row>
    <row r="1488" spans="1:12" customFormat="1" ht="16" x14ac:dyDescent="0.2">
      <c r="A1488" s="2" t="s">
        <v>8</v>
      </c>
      <c r="B1488" s="2" t="s">
        <v>17</v>
      </c>
      <c r="C1488" s="2"/>
      <c r="D1488" s="2"/>
      <c r="E1488" s="2"/>
      <c r="F1488" s="2"/>
      <c r="G1488" s="2"/>
      <c r="H1488" s="2"/>
      <c r="I1488" s="2"/>
      <c r="J1488" s="2"/>
      <c r="K1488" s="2"/>
      <c r="L1488" s="2"/>
    </row>
    <row r="1489" spans="1:12" customFormat="1" ht="16" x14ac:dyDescent="0.2">
      <c r="A1489" s="1" t="s">
        <v>10</v>
      </c>
      <c r="B1489" s="2"/>
      <c r="C1489" s="2"/>
      <c r="D1489" s="2"/>
      <c r="E1489" s="2"/>
      <c r="F1489" s="2"/>
      <c r="G1489" s="2"/>
      <c r="H1489" s="2"/>
      <c r="I1489" s="2"/>
      <c r="J1489" s="2"/>
      <c r="K1489" s="2"/>
      <c r="L1489" s="2"/>
    </row>
    <row r="1490" spans="1:12" x14ac:dyDescent="0.2">
      <c r="A1490" s="17" t="s">
        <v>11</v>
      </c>
      <c r="B1490" s="17" t="s">
        <v>12</v>
      </c>
      <c r="C1490" s="17" t="s">
        <v>3</v>
      </c>
      <c r="D1490" s="17" t="s">
        <v>13</v>
      </c>
      <c r="E1490" s="17" t="s">
        <v>8</v>
      </c>
      <c r="F1490" s="17" t="s">
        <v>6</v>
      </c>
      <c r="G1490" s="17" t="s">
        <v>5</v>
      </c>
      <c r="H1490" s="17"/>
      <c r="J1490" s="17"/>
      <c r="K1490" s="17"/>
    </row>
    <row r="1491" spans="1:12" customFormat="1" ht="16" x14ac:dyDescent="0.2">
      <c r="A1491" s="2" t="str">
        <f>B1483</f>
        <v>diesel, synthetic, burned in passenger train</v>
      </c>
      <c r="B1491" s="2">
        <v>1</v>
      </c>
      <c r="C1491" s="2" t="str">
        <f>B1484</f>
        <v>RER</v>
      </c>
      <c r="D1491" s="2"/>
      <c r="E1491" s="2" t="str">
        <f>B1488</f>
        <v>megajoule</v>
      </c>
      <c r="F1491" s="2" t="s">
        <v>19</v>
      </c>
      <c r="G1491" s="2" t="str">
        <f>B1486</f>
        <v>heat</v>
      </c>
      <c r="H1491" s="2"/>
      <c r="I1491" s="2"/>
      <c r="J1491" s="2"/>
      <c r="K1491" s="2"/>
      <c r="L1491" s="2"/>
    </row>
    <row r="1492" spans="1:12" customFormat="1" ht="16" x14ac:dyDescent="0.2">
      <c r="A1492" s="2" t="s">
        <v>276</v>
      </c>
      <c r="B1492" s="9">
        <f>1/43</f>
        <v>2.3255813953488372E-2</v>
      </c>
      <c r="C1492" t="s">
        <v>18</v>
      </c>
      <c r="E1492" t="s">
        <v>9</v>
      </c>
      <c r="F1492" t="s">
        <v>23</v>
      </c>
      <c r="G1492" t="s">
        <v>277</v>
      </c>
      <c r="I1492" s="2"/>
    </row>
    <row r="1493" spans="1:12" customFormat="1" ht="16" x14ac:dyDescent="0.2">
      <c r="A1493" t="s">
        <v>48</v>
      </c>
      <c r="B1493" s="3">
        <v>4.6511627906976748E-7</v>
      </c>
      <c r="D1493" t="s">
        <v>117</v>
      </c>
      <c r="E1493" t="s">
        <v>9</v>
      </c>
      <c r="F1493" s="2" t="s">
        <v>15</v>
      </c>
      <c r="H1493" s="3"/>
      <c r="I1493" s="2"/>
    </row>
    <row r="1494" spans="1:12" customFormat="1" ht="16" x14ac:dyDescent="0.2">
      <c r="A1494" t="s">
        <v>50</v>
      </c>
      <c r="B1494" s="3">
        <v>2.3255813953488372E-6</v>
      </c>
      <c r="D1494" t="s">
        <v>117</v>
      </c>
      <c r="E1494" t="s">
        <v>9</v>
      </c>
      <c r="F1494" s="2" t="s">
        <v>15</v>
      </c>
      <c r="H1494" s="3"/>
      <c r="I1494" s="2"/>
    </row>
    <row r="1495" spans="1:12" customFormat="1" ht="16" x14ac:dyDescent="0.2">
      <c r="A1495" t="s">
        <v>52</v>
      </c>
      <c r="B1495" s="3">
        <v>2.3255813953488374E-10</v>
      </c>
      <c r="D1495" t="s">
        <v>117</v>
      </c>
      <c r="E1495" t="s">
        <v>9</v>
      </c>
      <c r="F1495" s="2" t="s">
        <v>15</v>
      </c>
      <c r="H1495" s="3"/>
      <c r="I1495" s="2"/>
    </row>
    <row r="1496" spans="1:12" customFormat="1" ht="16" x14ac:dyDescent="0.2">
      <c r="A1496" t="s">
        <v>123</v>
      </c>
      <c r="B1496">
        <f>3.15*B1492</f>
        <v>7.3255813953488375E-2</v>
      </c>
      <c r="D1496" t="s">
        <v>117</v>
      </c>
      <c r="E1496" t="s">
        <v>9</v>
      </c>
      <c r="F1496" s="2" t="s">
        <v>15</v>
      </c>
      <c r="H1496" s="3"/>
      <c r="I1496" s="2"/>
    </row>
    <row r="1497" spans="1:12" customFormat="1" ht="16" x14ac:dyDescent="0.2">
      <c r="A1497" t="s">
        <v>124</v>
      </c>
      <c r="B1497">
        <v>3.6731145403173224E-4</v>
      </c>
      <c r="D1497" t="s">
        <v>117</v>
      </c>
      <c r="E1497" t="s">
        <v>9</v>
      </c>
      <c r="F1497" s="2" t="s">
        <v>15</v>
      </c>
      <c r="H1497" s="3"/>
      <c r="I1497" s="2"/>
    </row>
    <row r="1498" spans="1:12" customFormat="1" ht="16" x14ac:dyDescent="0.2">
      <c r="A1498" t="s">
        <v>55</v>
      </c>
      <c r="B1498" s="3">
        <v>1.160617257118018E-9</v>
      </c>
      <c r="D1498" t="s">
        <v>117</v>
      </c>
      <c r="E1498" t="s">
        <v>9</v>
      </c>
      <c r="F1498" s="2" t="s">
        <v>15</v>
      </c>
      <c r="H1498" s="3"/>
      <c r="I1498" s="2"/>
    </row>
    <row r="1499" spans="1:12" customFormat="1" ht="16" x14ac:dyDescent="0.2">
      <c r="A1499" t="s">
        <v>57</v>
      </c>
      <c r="B1499" s="3">
        <v>3.9556618126494245E-8</v>
      </c>
      <c r="D1499" t="s">
        <v>117</v>
      </c>
      <c r="E1499" t="s">
        <v>9</v>
      </c>
      <c r="F1499" s="2" t="s">
        <v>15</v>
      </c>
      <c r="H1499" s="3"/>
      <c r="I1499" s="2"/>
    </row>
    <row r="1500" spans="1:12" customFormat="1" ht="16" x14ac:dyDescent="0.2">
      <c r="A1500" t="s">
        <v>58</v>
      </c>
      <c r="B1500" s="3">
        <v>2.3255813953488372E-6</v>
      </c>
      <c r="D1500" t="s">
        <v>117</v>
      </c>
      <c r="E1500" t="s">
        <v>9</v>
      </c>
      <c r="F1500" s="2" t="s">
        <v>15</v>
      </c>
      <c r="H1500" s="3"/>
      <c r="I1500" s="2"/>
    </row>
    <row r="1501" spans="1:12" customFormat="1" ht="16" x14ac:dyDescent="0.2">
      <c r="A1501" t="s">
        <v>63</v>
      </c>
      <c r="B1501" s="3">
        <v>2.5429254509889156E-12</v>
      </c>
      <c r="D1501" t="s">
        <v>117</v>
      </c>
      <c r="E1501" t="s">
        <v>9</v>
      </c>
      <c r="F1501" s="2" t="s">
        <v>15</v>
      </c>
      <c r="H1501" s="3"/>
      <c r="I1501" s="2"/>
    </row>
    <row r="1502" spans="1:12" customFormat="1" ht="16" x14ac:dyDescent="0.2">
      <c r="A1502" t="s">
        <v>64</v>
      </c>
      <c r="B1502" s="3">
        <v>4.651162790697675E-13</v>
      </c>
      <c r="D1502" t="s">
        <v>117</v>
      </c>
      <c r="E1502" t="s">
        <v>9</v>
      </c>
      <c r="F1502" s="2" t="s">
        <v>15</v>
      </c>
      <c r="H1502" s="3"/>
      <c r="I1502" s="2"/>
    </row>
    <row r="1503" spans="1:12" customFormat="1" ht="16" x14ac:dyDescent="0.2">
      <c r="A1503" t="s">
        <v>180</v>
      </c>
      <c r="B1503" s="3">
        <v>3.0210823733970879E-6</v>
      </c>
      <c r="D1503" t="s">
        <v>117</v>
      </c>
      <c r="E1503" t="s">
        <v>9</v>
      </c>
      <c r="F1503" s="2" t="s">
        <v>15</v>
      </c>
      <c r="H1503" s="3"/>
      <c r="I1503" s="2"/>
    </row>
    <row r="1504" spans="1:12" customFormat="1" ht="16" x14ac:dyDescent="0.2">
      <c r="A1504" t="s">
        <v>67</v>
      </c>
      <c r="B1504" s="3">
        <v>1.1758313410128234E-4</v>
      </c>
      <c r="D1504" t="s">
        <v>117</v>
      </c>
      <c r="E1504" t="s">
        <v>9</v>
      </c>
      <c r="F1504" s="2" t="s">
        <v>15</v>
      </c>
      <c r="H1504" s="3"/>
      <c r="I1504" s="2"/>
    </row>
    <row r="1505" spans="1:12" customFormat="1" ht="16" x14ac:dyDescent="0.2">
      <c r="A1505" t="s">
        <v>68</v>
      </c>
      <c r="B1505" s="3">
        <v>1.6235600956313845E-9</v>
      </c>
      <c r="D1505" t="s">
        <v>117</v>
      </c>
      <c r="E1505" t="s">
        <v>9</v>
      </c>
      <c r="F1505" s="2" t="s">
        <v>15</v>
      </c>
      <c r="H1505" s="3"/>
      <c r="I1505" s="2"/>
    </row>
    <row r="1506" spans="1:12" customFormat="1" ht="16" x14ac:dyDescent="0.2">
      <c r="A1506" t="s">
        <v>69</v>
      </c>
      <c r="B1506">
        <v>1.2758096066072594E-3</v>
      </c>
      <c r="D1506" t="s">
        <v>117</v>
      </c>
      <c r="E1506" t="s">
        <v>9</v>
      </c>
      <c r="F1506" s="2" t="s">
        <v>15</v>
      </c>
      <c r="H1506" s="3"/>
      <c r="I1506" s="2"/>
    </row>
    <row r="1507" spans="1:12" customFormat="1" ht="16" x14ac:dyDescent="0.2">
      <c r="A1507" t="s">
        <v>71</v>
      </c>
      <c r="B1507" s="3">
        <v>2.9836991958269943E-5</v>
      </c>
      <c r="D1507" t="s">
        <v>117</v>
      </c>
      <c r="E1507" t="s">
        <v>9</v>
      </c>
      <c r="F1507" s="2" t="s">
        <v>15</v>
      </c>
      <c r="H1507" s="3"/>
      <c r="I1507" s="2"/>
    </row>
    <row r="1508" spans="1:12" customFormat="1" ht="16" x14ac:dyDescent="0.2">
      <c r="A1508" t="s">
        <v>106</v>
      </c>
      <c r="B1508" s="3">
        <v>3.5524885894370795E-5</v>
      </c>
      <c r="D1508" t="s">
        <v>117</v>
      </c>
      <c r="E1508" t="s">
        <v>9</v>
      </c>
      <c r="F1508" s="2" t="s">
        <v>15</v>
      </c>
      <c r="H1508" s="3"/>
      <c r="I1508" s="2"/>
    </row>
    <row r="1509" spans="1:12" customFormat="1" ht="16" x14ac:dyDescent="0.2">
      <c r="A1509" t="s">
        <v>107</v>
      </c>
      <c r="B1509" s="3">
        <v>1.6163877417952619E-5</v>
      </c>
      <c r="D1509" t="s">
        <v>117</v>
      </c>
      <c r="E1509" t="s">
        <v>9</v>
      </c>
      <c r="F1509" s="2" t="s">
        <v>15</v>
      </c>
      <c r="H1509" s="3"/>
      <c r="I1509" s="2"/>
    </row>
    <row r="1510" spans="1:12" customFormat="1" ht="16" x14ac:dyDescent="0.2">
      <c r="A1510" t="s">
        <v>75</v>
      </c>
      <c r="B1510" s="3">
        <v>2.3255813953488374E-10</v>
      </c>
      <c r="D1510" t="s">
        <v>117</v>
      </c>
      <c r="E1510" t="s">
        <v>9</v>
      </c>
      <c r="F1510" s="2" t="s">
        <v>15</v>
      </c>
      <c r="H1510" s="3"/>
      <c r="I1510" s="2"/>
    </row>
    <row r="1511" spans="1:12" customFormat="1" ht="16" x14ac:dyDescent="0.2">
      <c r="A1511" t="s">
        <v>77</v>
      </c>
      <c r="B1511" s="3">
        <v>1.3931753966529016E-5</v>
      </c>
      <c r="D1511" t="s">
        <v>117</v>
      </c>
      <c r="E1511" t="s">
        <v>9</v>
      </c>
      <c r="F1511" s="2" t="s">
        <v>15</v>
      </c>
      <c r="H1511" s="3"/>
      <c r="I1511" s="2"/>
    </row>
    <row r="1512" spans="1:12" customFormat="1" ht="16" x14ac:dyDescent="0.2">
      <c r="A1512" t="s">
        <v>78</v>
      </c>
      <c r="B1512" s="3">
        <v>9.2805911758313421E-7</v>
      </c>
      <c r="D1512" t="s">
        <v>117</v>
      </c>
      <c r="E1512" t="s">
        <v>9</v>
      </c>
      <c r="F1512" s="2" t="s">
        <v>15</v>
      </c>
      <c r="H1512" s="3"/>
      <c r="I1512" s="2"/>
    </row>
    <row r="1513" spans="1:12" customFormat="1" ht="16" x14ac:dyDescent="0.2">
      <c r="A1513" t="s">
        <v>137</v>
      </c>
      <c r="B1513" s="3">
        <v>9.2805911758313421E-7</v>
      </c>
      <c r="D1513" t="s">
        <v>117</v>
      </c>
      <c r="E1513" t="s">
        <v>9</v>
      </c>
      <c r="F1513" s="2" t="s">
        <v>15</v>
      </c>
      <c r="H1513" s="3"/>
      <c r="I1513" s="2"/>
    </row>
    <row r="1514" spans="1:12" customFormat="1" ht="16" x14ac:dyDescent="0.2">
      <c r="A1514" t="s">
        <v>79</v>
      </c>
      <c r="B1514" s="3">
        <v>2.3255813953488372E-8</v>
      </c>
      <c r="D1514" t="s">
        <v>117</v>
      </c>
      <c r="E1514" t="s">
        <v>9</v>
      </c>
      <c r="F1514" s="2" t="s">
        <v>15</v>
      </c>
      <c r="H1514" s="3"/>
      <c r="I1514" s="2"/>
    </row>
    <row r="1515" spans="1:12" customFormat="1" ht="16" x14ac:dyDescent="0.2">
      <c r="A1515" t="s">
        <v>138</v>
      </c>
      <c r="B1515" s="3">
        <v>1.3084112149532712E-4</v>
      </c>
      <c r="D1515" t="s">
        <v>139</v>
      </c>
      <c r="E1515" t="s">
        <v>9</v>
      </c>
      <c r="F1515" s="2" t="s">
        <v>15</v>
      </c>
      <c r="H1515" s="3"/>
      <c r="I1515" s="2"/>
    </row>
    <row r="1516" spans="1:12" customFormat="1" ht="16" x14ac:dyDescent="0.2"/>
    <row r="1517" spans="1:12" x14ac:dyDescent="0.2">
      <c r="A1517" s="17" t="s">
        <v>2</v>
      </c>
      <c r="B1517" s="17" t="s">
        <v>177</v>
      </c>
    </row>
    <row r="1518" spans="1:12" customFormat="1" ht="16" x14ac:dyDescent="0.2">
      <c r="A1518" s="2" t="s">
        <v>3</v>
      </c>
      <c r="B1518" s="2" t="s">
        <v>18</v>
      </c>
      <c r="C1518" s="2"/>
      <c r="D1518" s="2"/>
      <c r="E1518" s="2"/>
      <c r="F1518" s="2"/>
      <c r="G1518" s="2"/>
      <c r="H1518" s="2"/>
      <c r="I1518" s="2"/>
      <c r="J1518" s="2"/>
      <c r="K1518" s="2"/>
      <c r="L1518" s="2"/>
    </row>
    <row r="1519" spans="1:12" customFormat="1" ht="16" x14ac:dyDescent="0.2">
      <c r="A1519" s="2" t="s">
        <v>4</v>
      </c>
      <c r="B1519" s="2">
        <v>1</v>
      </c>
      <c r="C1519" s="2"/>
      <c r="D1519" s="2"/>
      <c r="E1519" s="2"/>
      <c r="F1519" s="2"/>
      <c r="G1519" s="2"/>
      <c r="H1519" s="2"/>
      <c r="I1519" s="2"/>
      <c r="J1519" s="2"/>
      <c r="K1519" s="2"/>
      <c r="L1519" s="2"/>
    </row>
    <row r="1520" spans="1:12" customFormat="1" ht="16" x14ac:dyDescent="0.2">
      <c r="A1520" s="2" t="s">
        <v>5</v>
      </c>
      <c r="B1520" s="2" t="s">
        <v>1</v>
      </c>
      <c r="C1520" s="2"/>
      <c r="D1520" s="2"/>
      <c r="E1520" s="2"/>
      <c r="F1520" s="2"/>
      <c r="G1520" s="2"/>
      <c r="H1520" s="2"/>
      <c r="I1520" s="2"/>
      <c r="J1520" s="2"/>
    </row>
    <row r="1521" spans="1:12" customFormat="1" ht="16" x14ac:dyDescent="0.2">
      <c r="A1521" s="2" t="s">
        <v>6</v>
      </c>
      <c r="B1521" s="2" t="s">
        <v>7</v>
      </c>
      <c r="C1521" s="2"/>
      <c r="D1521" s="2"/>
      <c r="E1521" s="2"/>
      <c r="F1521" s="2"/>
      <c r="G1521" s="2"/>
      <c r="H1521" s="2"/>
      <c r="I1521" s="2"/>
      <c r="J1521" s="2"/>
      <c r="K1521" s="2"/>
      <c r="L1521" s="2"/>
    </row>
    <row r="1522" spans="1:12" customFormat="1" ht="16" x14ac:dyDescent="0.2">
      <c r="A1522" s="2" t="s">
        <v>8</v>
      </c>
      <c r="B1522" s="2" t="s">
        <v>17</v>
      </c>
      <c r="C1522" s="2"/>
      <c r="D1522" s="2"/>
      <c r="E1522" s="2"/>
      <c r="F1522" s="2"/>
      <c r="G1522" s="2"/>
      <c r="H1522" s="2"/>
      <c r="I1522" s="2"/>
      <c r="J1522" s="2"/>
      <c r="K1522" s="2"/>
      <c r="L1522" s="2"/>
    </row>
    <row r="1523" spans="1:12" customFormat="1" ht="16" x14ac:dyDescent="0.2">
      <c r="A1523" s="1" t="s">
        <v>10</v>
      </c>
      <c r="B1523" s="2"/>
      <c r="C1523" s="2"/>
      <c r="D1523" s="2"/>
      <c r="E1523" s="2"/>
      <c r="F1523" s="2"/>
      <c r="G1523" s="2"/>
      <c r="H1523" s="2"/>
      <c r="I1523" s="2"/>
      <c r="J1523" s="2"/>
      <c r="K1523" s="2"/>
      <c r="L1523" s="2"/>
    </row>
    <row r="1524" spans="1:12" x14ac:dyDescent="0.2">
      <c r="A1524" s="17" t="s">
        <v>11</v>
      </c>
      <c r="B1524" s="17" t="s">
        <v>12</v>
      </c>
      <c r="C1524" s="17" t="s">
        <v>3</v>
      </c>
      <c r="D1524" s="17" t="s">
        <v>13</v>
      </c>
      <c r="E1524" s="17" t="s">
        <v>8</v>
      </c>
      <c r="F1524" s="17" t="s">
        <v>6</v>
      </c>
      <c r="G1524" s="17" t="s">
        <v>5</v>
      </c>
      <c r="H1524" s="17"/>
      <c r="J1524" s="17"/>
      <c r="K1524" s="17"/>
    </row>
    <row r="1525" spans="1:12" customFormat="1" ht="16" x14ac:dyDescent="0.2">
      <c r="A1525" s="2" t="str">
        <f>B1517</f>
        <v>biodiesel, burned in passenger train</v>
      </c>
      <c r="B1525" s="2">
        <v>1</v>
      </c>
      <c r="C1525" s="2" t="str">
        <f>B1518</f>
        <v>RER</v>
      </c>
      <c r="D1525" s="2"/>
      <c r="E1525" s="2" t="str">
        <f>B1522</f>
        <v>megajoule</v>
      </c>
      <c r="F1525" s="2" t="s">
        <v>19</v>
      </c>
      <c r="G1525" s="2" t="str">
        <f>B1520</f>
        <v>heat</v>
      </c>
      <c r="H1525" s="2"/>
      <c r="I1525" s="2"/>
      <c r="J1525" s="2"/>
      <c r="K1525" s="2"/>
      <c r="L1525" s="2"/>
    </row>
    <row r="1526" spans="1:12" customFormat="1" ht="16" x14ac:dyDescent="0.2">
      <c r="A1526" s="2" t="s">
        <v>178</v>
      </c>
      <c r="B1526" s="9">
        <f>1/43</f>
        <v>2.3255813953488372E-2</v>
      </c>
      <c r="C1526" t="s">
        <v>18</v>
      </c>
      <c r="E1526" t="s">
        <v>9</v>
      </c>
      <c r="F1526" t="s">
        <v>23</v>
      </c>
      <c r="G1526" t="s">
        <v>179</v>
      </c>
      <c r="I1526" s="2"/>
    </row>
    <row r="1527" spans="1:12" customFormat="1" ht="16" x14ac:dyDescent="0.2">
      <c r="A1527" t="s">
        <v>48</v>
      </c>
      <c r="B1527" s="3">
        <v>4.6511627906976748E-7</v>
      </c>
      <c r="D1527" t="s">
        <v>117</v>
      </c>
      <c r="E1527" t="s">
        <v>9</v>
      </c>
      <c r="F1527" s="2" t="s">
        <v>15</v>
      </c>
      <c r="H1527" s="3"/>
      <c r="I1527" s="2"/>
    </row>
    <row r="1528" spans="1:12" customFormat="1" ht="16" x14ac:dyDescent="0.2">
      <c r="A1528" t="s">
        <v>50</v>
      </c>
      <c r="B1528" s="3">
        <v>2.3255813953488372E-6</v>
      </c>
      <c r="D1528" t="s">
        <v>117</v>
      </c>
      <c r="E1528" t="s">
        <v>9</v>
      </c>
      <c r="F1528" s="2" t="s">
        <v>15</v>
      </c>
      <c r="H1528" s="3"/>
      <c r="I1528" s="2"/>
    </row>
    <row r="1529" spans="1:12" customFormat="1" ht="16" x14ac:dyDescent="0.2">
      <c r="A1529" t="s">
        <v>52</v>
      </c>
      <c r="B1529" s="3">
        <v>2.3255813953488374E-10</v>
      </c>
      <c r="D1529" t="s">
        <v>117</v>
      </c>
      <c r="E1529" t="s">
        <v>9</v>
      </c>
      <c r="F1529" s="2" t="s">
        <v>15</v>
      </c>
      <c r="H1529" s="3"/>
      <c r="I1529" s="2"/>
    </row>
    <row r="1530" spans="1:12" customFormat="1" ht="16" x14ac:dyDescent="0.2">
      <c r="A1530" t="s">
        <v>123</v>
      </c>
      <c r="B1530">
        <f>3.15*B1526</f>
        <v>7.3255813953488375E-2</v>
      </c>
      <c r="D1530" t="s">
        <v>117</v>
      </c>
      <c r="E1530" t="s">
        <v>9</v>
      </c>
      <c r="F1530" s="2" t="s">
        <v>15</v>
      </c>
      <c r="H1530" s="3"/>
      <c r="I1530" s="2"/>
    </row>
    <row r="1531" spans="1:12" customFormat="1" ht="16" x14ac:dyDescent="0.2">
      <c r="A1531" t="s">
        <v>124</v>
      </c>
      <c r="B1531">
        <v>3.6731145403173224E-4</v>
      </c>
      <c r="D1531" t="s">
        <v>117</v>
      </c>
      <c r="E1531" t="s">
        <v>9</v>
      </c>
      <c r="F1531" s="2" t="s">
        <v>15</v>
      </c>
      <c r="H1531" s="3"/>
      <c r="I1531" s="2"/>
    </row>
    <row r="1532" spans="1:12" customFormat="1" ht="16" x14ac:dyDescent="0.2">
      <c r="A1532" t="s">
        <v>55</v>
      </c>
      <c r="B1532" s="3">
        <v>1.160617257118018E-9</v>
      </c>
      <c r="D1532" t="s">
        <v>117</v>
      </c>
      <c r="E1532" t="s">
        <v>9</v>
      </c>
      <c r="F1532" s="2" t="s">
        <v>15</v>
      </c>
      <c r="H1532" s="3"/>
      <c r="I1532" s="2"/>
    </row>
    <row r="1533" spans="1:12" customFormat="1" ht="16" x14ac:dyDescent="0.2">
      <c r="A1533" t="s">
        <v>57</v>
      </c>
      <c r="B1533" s="3">
        <v>3.9556618126494245E-8</v>
      </c>
      <c r="D1533" t="s">
        <v>117</v>
      </c>
      <c r="E1533" t="s">
        <v>9</v>
      </c>
      <c r="F1533" s="2" t="s">
        <v>15</v>
      </c>
      <c r="H1533" s="3"/>
      <c r="I1533" s="2"/>
    </row>
    <row r="1534" spans="1:12" customFormat="1" ht="16" x14ac:dyDescent="0.2">
      <c r="A1534" t="s">
        <v>58</v>
      </c>
      <c r="B1534" s="3">
        <v>2.3255813953488372E-6</v>
      </c>
      <c r="D1534" t="s">
        <v>117</v>
      </c>
      <c r="E1534" t="s">
        <v>9</v>
      </c>
      <c r="F1534" s="2" t="s">
        <v>15</v>
      </c>
      <c r="H1534" s="3"/>
      <c r="I1534" s="2"/>
    </row>
    <row r="1535" spans="1:12" customFormat="1" ht="16" x14ac:dyDescent="0.2">
      <c r="A1535" t="s">
        <v>63</v>
      </c>
      <c r="B1535" s="3">
        <v>2.5429254509889156E-12</v>
      </c>
      <c r="D1535" t="s">
        <v>117</v>
      </c>
      <c r="E1535" t="s">
        <v>9</v>
      </c>
      <c r="F1535" s="2" t="s">
        <v>15</v>
      </c>
      <c r="H1535" s="3"/>
      <c r="I1535" s="2"/>
    </row>
    <row r="1536" spans="1:12" customFormat="1" ht="16" x14ac:dyDescent="0.2">
      <c r="A1536" t="s">
        <v>64</v>
      </c>
      <c r="B1536" s="3">
        <v>4.651162790697675E-13</v>
      </c>
      <c r="D1536" t="s">
        <v>117</v>
      </c>
      <c r="E1536" t="s">
        <v>9</v>
      </c>
      <c r="F1536" s="2" t="s">
        <v>15</v>
      </c>
      <c r="H1536" s="3"/>
      <c r="I1536" s="2"/>
    </row>
    <row r="1537" spans="1:12" customFormat="1" ht="16" x14ac:dyDescent="0.2">
      <c r="A1537" t="s">
        <v>180</v>
      </c>
      <c r="B1537" s="3">
        <v>3.0210823733970879E-6</v>
      </c>
      <c r="D1537" t="s">
        <v>117</v>
      </c>
      <c r="E1537" t="s">
        <v>9</v>
      </c>
      <c r="F1537" s="2" t="s">
        <v>15</v>
      </c>
      <c r="H1537" s="3"/>
      <c r="I1537" s="2"/>
    </row>
    <row r="1538" spans="1:12" customFormat="1" ht="16" x14ac:dyDescent="0.2">
      <c r="A1538" t="s">
        <v>67</v>
      </c>
      <c r="B1538" s="3">
        <v>1.1758313410128234E-4</v>
      </c>
      <c r="D1538" t="s">
        <v>117</v>
      </c>
      <c r="E1538" t="s">
        <v>9</v>
      </c>
      <c r="F1538" s="2" t="s">
        <v>15</v>
      </c>
      <c r="H1538" s="3"/>
      <c r="I1538" s="2"/>
    </row>
    <row r="1539" spans="1:12" customFormat="1" ht="16" x14ac:dyDescent="0.2">
      <c r="A1539" t="s">
        <v>68</v>
      </c>
      <c r="B1539" s="3">
        <v>1.6235600956313845E-9</v>
      </c>
      <c r="D1539" t="s">
        <v>117</v>
      </c>
      <c r="E1539" t="s">
        <v>9</v>
      </c>
      <c r="F1539" s="2" t="s">
        <v>15</v>
      </c>
      <c r="H1539" s="3"/>
      <c r="I1539" s="2"/>
    </row>
    <row r="1540" spans="1:12" customFormat="1" ht="16" x14ac:dyDescent="0.2">
      <c r="A1540" t="s">
        <v>69</v>
      </c>
      <c r="B1540">
        <v>1.2758096066072594E-3</v>
      </c>
      <c r="D1540" t="s">
        <v>117</v>
      </c>
      <c r="E1540" t="s">
        <v>9</v>
      </c>
      <c r="F1540" s="2" t="s">
        <v>15</v>
      </c>
      <c r="H1540" s="3"/>
      <c r="I1540" s="2"/>
    </row>
    <row r="1541" spans="1:12" customFormat="1" ht="16" x14ac:dyDescent="0.2">
      <c r="A1541" t="s">
        <v>71</v>
      </c>
      <c r="B1541" s="3">
        <v>2.9836991958269943E-5</v>
      </c>
      <c r="D1541" t="s">
        <v>117</v>
      </c>
      <c r="E1541" t="s">
        <v>9</v>
      </c>
      <c r="F1541" s="2" t="s">
        <v>15</v>
      </c>
      <c r="H1541" s="3"/>
      <c r="I1541" s="2"/>
    </row>
    <row r="1542" spans="1:12" customFormat="1" ht="16" x14ac:dyDescent="0.2">
      <c r="A1542" t="s">
        <v>106</v>
      </c>
      <c r="B1542" s="3">
        <v>3.5524885894370795E-5</v>
      </c>
      <c r="D1542" t="s">
        <v>117</v>
      </c>
      <c r="E1542" t="s">
        <v>9</v>
      </c>
      <c r="F1542" s="2" t="s">
        <v>15</v>
      </c>
      <c r="H1542" s="3"/>
      <c r="I1542" s="2"/>
    </row>
    <row r="1543" spans="1:12" customFormat="1" ht="16" x14ac:dyDescent="0.2">
      <c r="A1543" t="s">
        <v>107</v>
      </c>
      <c r="B1543" s="3">
        <v>1.6163877417952619E-5</v>
      </c>
      <c r="D1543" t="s">
        <v>117</v>
      </c>
      <c r="E1543" t="s">
        <v>9</v>
      </c>
      <c r="F1543" s="2" t="s">
        <v>15</v>
      </c>
      <c r="H1543" s="3"/>
      <c r="I1543" s="2"/>
    </row>
    <row r="1544" spans="1:12" customFormat="1" ht="16" x14ac:dyDescent="0.2">
      <c r="A1544" t="s">
        <v>75</v>
      </c>
      <c r="B1544" s="3">
        <v>2.3255813953488374E-10</v>
      </c>
      <c r="D1544" t="s">
        <v>117</v>
      </c>
      <c r="E1544" t="s">
        <v>9</v>
      </c>
      <c r="F1544" s="2" t="s">
        <v>15</v>
      </c>
      <c r="H1544" s="3"/>
      <c r="I1544" s="2"/>
    </row>
    <row r="1545" spans="1:12" customFormat="1" ht="16" x14ac:dyDescent="0.2">
      <c r="A1545" t="s">
        <v>77</v>
      </c>
      <c r="B1545" s="3">
        <v>1.3931753966529016E-5</v>
      </c>
      <c r="D1545" t="s">
        <v>117</v>
      </c>
      <c r="E1545" t="s">
        <v>9</v>
      </c>
      <c r="F1545" s="2" t="s">
        <v>15</v>
      </c>
      <c r="H1545" s="3"/>
      <c r="I1545" s="2"/>
    </row>
    <row r="1546" spans="1:12" customFormat="1" ht="16" x14ac:dyDescent="0.2">
      <c r="A1546" t="s">
        <v>78</v>
      </c>
      <c r="B1546" s="3">
        <v>9.2805911758313421E-7</v>
      </c>
      <c r="D1546" t="s">
        <v>117</v>
      </c>
      <c r="E1546" t="s">
        <v>9</v>
      </c>
      <c r="F1546" s="2" t="s">
        <v>15</v>
      </c>
      <c r="H1546" s="3"/>
      <c r="I1546" s="2"/>
    </row>
    <row r="1547" spans="1:12" customFormat="1" ht="16" x14ac:dyDescent="0.2">
      <c r="A1547" t="s">
        <v>137</v>
      </c>
      <c r="B1547" s="3">
        <v>9.2805911758313421E-7</v>
      </c>
      <c r="D1547" t="s">
        <v>117</v>
      </c>
      <c r="E1547" t="s">
        <v>9</v>
      </c>
      <c r="F1547" s="2" t="s">
        <v>15</v>
      </c>
      <c r="H1547" s="3"/>
      <c r="I1547" s="2"/>
    </row>
    <row r="1548" spans="1:12" customFormat="1" ht="16" x14ac:dyDescent="0.2">
      <c r="A1548" t="s">
        <v>79</v>
      </c>
      <c r="B1548" s="3">
        <v>2.3255813953488372E-8</v>
      </c>
      <c r="D1548" t="s">
        <v>117</v>
      </c>
      <c r="E1548" t="s">
        <v>9</v>
      </c>
      <c r="F1548" s="2" t="s">
        <v>15</v>
      </c>
      <c r="H1548" s="3"/>
      <c r="I1548" s="2"/>
    </row>
    <row r="1549" spans="1:12" customFormat="1" ht="16" x14ac:dyDescent="0.2">
      <c r="A1549" t="s">
        <v>138</v>
      </c>
      <c r="B1549" s="3">
        <v>1.3084112149532712E-4</v>
      </c>
      <c r="D1549" t="s">
        <v>139</v>
      </c>
      <c r="E1549" t="s">
        <v>9</v>
      </c>
      <c r="F1549" s="2" t="s">
        <v>15</v>
      </c>
      <c r="H1549" s="3"/>
      <c r="I1549" s="2"/>
    </row>
    <row r="1550" spans="1:12" customFormat="1" ht="16" x14ac:dyDescent="0.2"/>
    <row r="1551" spans="1:12" x14ac:dyDescent="0.2">
      <c r="A1551" s="17" t="s">
        <v>2</v>
      </c>
      <c r="B1551" s="17" t="s">
        <v>87</v>
      </c>
    </row>
    <row r="1552" spans="1:12" customFormat="1" ht="16" x14ac:dyDescent="0.2">
      <c r="A1552" s="2" t="s">
        <v>3</v>
      </c>
      <c r="B1552" s="2" t="s">
        <v>18</v>
      </c>
      <c r="C1552" s="2"/>
      <c r="D1552" s="2"/>
      <c r="E1552" s="2"/>
      <c r="F1552" s="2"/>
      <c r="G1552" s="2"/>
      <c r="H1552" s="2"/>
      <c r="I1552" s="2"/>
      <c r="J1552" s="2"/>
      <c r="K1552" s="2"/>
      <c r="L1552" s="2"/>
    </row>
    <row r="1553" spans="1:12" customFormat="1" ht="16" x14ac:dyDescent="0.2">
      <c r="A1553" s="2" t="s">
        <v>4</v>
      </c>
      <c r="B1553" s="2">
        <v>1</v>
      </c>
      <c r="C1553" s="2"/>
      <c r="D1553" s="2"/>
      <c r="E1553" s="2"/>
      <c r="F1553" s="2"/>
      <c r="G1553" s="2"/>
      <c r="H1553" s="2"/>
      <c r="I1553" s="2"/>
      <c r="J1553" s="2"/>
      <c r="K1553" s="2"/>
      <c r="L1553" s="2"/>
    </row>
    <row r="1554" spans="1:12" customFormat="1" ht="16" x14ac:dyDescent="0.2">
      <c r="A1554" s="2" t="s">
        <v>5</v>
      </c>
      <c r="B1554" s="2" t="s">
        <v>1</v>
      </c>
      <c r="C1554" s="2"/>
      <c r="D1554" s="2"/>
      <c r="E1554" s="2"/>
      <c r="F1554" s="2"/>
      <c r="G1554" s="2"/>
      <c r="H1554" s="2"/>
      <c r="I1554" s="2"/>
      <c r="J1554" s="2"/>
    </row>
    <row r="1555" spans="1:12" customFormat="1" ht="16" x14ac:dyDescent="0.2">
      <c r="A1555" s="2" t="s">
        <v>6</v>
      </c>
      <c r="B1555" s="2" t="s">
        <v>7</v>
      </c>
      <c r="C1555" s="2"/>
      <c r="D1555" s="2"/>
      <c r="E1555" s="2"/>
      <c r="F1555" s="2"/>
      <c r="G1555" s="2"/>
      <c r="H1555" s="2"/>
      <c r="I1555" s="2"/>
      <c r="J1555" s="2"/>
      <c r="K1555" s="2"/>
      <c r="L1555" s="2"/>
    </row>
    <row r="1556" spans="1:12" customFormat="1" ht="16" x14ac:dyDescent="0.2">
      <c r="A1556" s="2" t="s">
        <v>8</v>
      </c>
      <c r="B1556" s="2" t="s">
        <v>17</v>
      </c>
      <c r="C1556" s="2"/>
      <c r="D1556" s="2"/>
      <c r="E1556" s="2"/>
      <c r="F1556" s="2"/>
      <c r="G1556" s="2"/>
      <c r="H1556" s="2"/>
      <c r="I1556" s="2"/>
      <c r="J1556" s="2"/>
      <c r="K1556" s="2"/>
      <c r="L1556" s="2"/>
    </row>
    <row r="1557" spans="1:12" customFormat="1" ht="16" x14ac:dyDescent="0.2">
      <c r="A1557" t="s">
        <v>355</v>
      </c>
      <c r="B1557" s="2">
        <f>INDEX(Parameters!$B$6:$AL$54,MATCH(Inventories!$B$1551,Parameters!$A$6:$A$54,0),MATCH(Inventories!$A1557,Parameters!$B$4:$AL$4,0))</f>
        <v>126</v>
      </c>
      <c r="C1557" t="s">
        <v>315</v>
      </c>
      <c r="D1557" s="2"/>
      <c r="E1557" s="2"/>
      <c r="F1557" s="2"/>
      <c r="G1557" s="2"/>
      <c r="H1557" s="2"/>
      <c r="I1557" s="2"/>
      <c r="J1557" s="2"/>
      <c r="K1557" s="2"/>
      <c r="L1557" s="2"/>
    </row>
    <row r="1558" spans="1:12" customFormat="1" ht="16" x14ac:dyDescent="0.2">
      <c r="A1558" t="s">
        <v>356</v>
      </c>
      <c r="B1558" s="2">
        <f>INDEX(Parameters!$B$6:$AL$54,MATCH(Inventories!$B$1551,Parameters!$A$6:$A$54,0),MATCH(Inventories!$A1558,Parameters!$B$4:$AL$4,0))</f>
        <v>54</v>
      </c>
      <c r="C1558" t="s">
        <v>315</v>
      </c>
      <c r="D1558" s="2"/>
      <c r="E1558" s="2"/>
      <c r="F1558" s="2"/>
      <c r="G1558" s="2"/>
      <c r="H1558" s="2"/>
      <c r="I1558" s="2"/>
      <c r="J1558" s="2"/>
      <c r="K1558" s="2"/>
      <c r="L1558" s="2"/>
    </row>
    <row r="1559" spans="1:12" customFormat="1" ht="16" x14ac:dyDescent="0.2">
      <c r="A1559" t="s">
        <v>357</v>
      </c>
      <c r="B1559" s="2">
        <f>INDEX(Parameters!$B$6:$AL$54,MATCH(Inventories!$B$1551,Parameters!$A$6:$A$54,0),MATCH(Inventories!$A1559,Parameters!$B$4:$AL$4,0))</f>
        <v>158</v>
      </c>
      <c r="C1559" t="s">
        <v>315</v>
      </c>
      <c r="D1559" s="2"/>
      <c r="E1559" s="2"/>
      <c r="F1559" s="2"/>
      <c r="G1559" s="2"/>
      <c r="H1559" s="2"/>
      <c r="I1559" s="2"/>
      <c r="J1559" s="2"/>
      <c r="K1559" s="2"/>
      <c r="L1559" s="2"/>
    </row>
    <row r="1560" spans="1:12" customFormat="1" ht="16" x14ac:dyDescent="0.2">
      <c r="A1560" t="s">
        <v>319</v>
      </c>
      <c r="B1560" s="24">
        <f>INDEX(Parameters!$B$6:$AL$54,MATCH(Inventories!$B$1551,Parameters!$A$6:$A$54,0),MATCH(Inventories!$A1560,Parameters!$B$4:$AL$4,0))</f>
        <v>200000</v>
      </c>
      <c r="C1560" t="s">
        <v>316</v>
      </c>
      <c r="D1560" s="2"/>
      <c r="E1560" s="2"/>
      <c r="F1560" s="2"/>
      <c r="G1560" s="2"/>
      <c r="H1560" s="2"/>
      <c r="I1560" s="2"/>
      <c r="J1560" s="2"/>
      <c r="K1560" s="2"/>
      <c r="L1560" s="2"/>
    </row>
    <row r="1561" spans="1:12" customFormat="1" ht="16" x14ac:dyDescent="0.2">
      <c r="A1561" t="s">
        <v>320</v>
      </c>
      <c r="B1561" s="24">
        <f>INDEX(Parameters!$B$6:$AL$54,MATCH(Inventories!$B$1551,Parameters!$A$6:$A$54,0),MATCH(Inventories!$A1561,Parameters!$B$4:$AL$4,0))</f>
        <v>160000</v>
      </c>
      <c r="C1561" t="s">
        <v>316</v>
      </c>
      <c r="D1561" s="2"/>
      <c r="E1561" s="2"/>
      <c r="F1561" s="2"/>
      <c r="G1561" s="2"/>
      <c r="H1561" s="2"/>
      <c r="I1561" s="2"/>
      <c r="J1561" s="2"/>
      <c r="K1561" s="2"/>
      <c r="L1561" s="2"/>
    </row>
    <row r="1562" spans="1:12" customFormat="1" ht="16" x14ac:dyDescent="0.2">
      <c r="A1562" t="s">
        <v>321</v>
      </c>
      <c r="B1562" s="24">
        <f>INDEX(Parameters!$B$6:$AL$54,MATCH(Inventories!$B$1551,Parameters!$A$6:$A$54,0),MATCH(Inventories!$A1562,Parameters!$B$4:$AL$4,0))</f>
        <v>250000</v>
      </c>
      <c r="C1562" t="s">
        <v>316</v>
      </c>
      <c r="D1562" s="2"/>
      <c r="E1562" s="2"/>
      <c r="F1562" s="2"/>
      <c r="G1562" s="2"/>
      <c r="H1562" s="2"/>
      <c r="I1562" s="2"/>
      <c r="J1562" s="2"/>
      <c r="K1562" s="2"/>
      <c r="L1562" s="2"/>
    </row>
    <row r="1563" spans="1:12" customFormat="1" ht="16" x14ac:dyDescent="0.2">
      <c r="A1563" t="s">
        <v>322</v>
      </c>
      <c r="B1563" s="2">
        <f>INDEX(Parameters!$B$6:$AL$54,MATCH(Inventories!$B$1551,Parameters!$A$6:$A$54,0),MATCH(Inventories!$A1563,Parameters!$B$4:$AL$4,0))</f>
        <v>2250</v>
      </c>
      <c r="C1563" t="s">
        <v>317</v>
      </c>
      <c r="D1563" s="2"/>
      <c r="E1563" s="2"/>
      <c r="F1563" s="2"/>
      <c r="G1563" s="2"/>
      <c r="H1563" s="2"/>
      <c r="I1563" s="2"/>
      <c r="J1563" s="2"/>
      <c r="K1563" s="2"/>
      <c r="L1563" s="2"/>
    </row>
    <row r="1564" spans="1:12" customFormat="1" ht="16" x14ac:dyDescent="0.2">
      <c r="A1564" t="s">
        <v>323</v>
      </c>
      <c r="B1564" s="2">
        <f>INDEX(Parameters!$B$6:$AL$54,MATCH(Inventories!$B$1551,Parameters!$A$6:$A$54,0),MATCH(Inventories!$A1564,Parameters!$B$4:$AL$4,0))</f>
        <v>1500</v>
      </c>
      <c r="C1564" t="s">
        <v>317</v>
      </c>
      <c r="D1564" s="2"/>
      <c r="E1564" s="2"/>
      <c r="F1564" s="2"/>
      <c r="G1564" s="2"/>
      <c r="H1564" s="2"/>
      <c r="I1564" s="2"/>
      <c r="J1564" s="2"/>
      <c r="K1564" s="2"/>
      <c r="L1564" s="2"/>
    </row>
    <row r="1565" spans="1:12" customFormat="1" ht="16" x14ac:dyDescent="0.2">
      <c r="A1565" t="s">
        <v>324</v>
      </c>
      <c r="B1565" s="2">
        <f>INDEX(Parameters!$B$6:$AL$54,MATCH(Inventories!$B$1551,Parameters!$A$6:$A$54,0),MATCH(Inventories!$A1565,Parameters!$B$4:$AL$4,0))</f>
        <v>2900</v>
      </c>
      <c r="C1565" t="s">
        <v>317</v>
      </c>
      <c r="D1565" s="2"/>
      <c r="E1565" s="2"/>
      <c r="F1565" s="2"/>
      <c r="G1565" s="2"/>
      <c r="H1565" s="2"/>
      <c r="I1565" s="2"/>
      <c r="J1565" s="2"/>
      <c r="K1565" s="2"/>
      <c r="L1565" s="2"/>
    </row>
    <row r="1566" spans="1:12" customFormat="1" ht="16" x14ac:dyDescent="0.2">
      <c r="A1566" t="s">
        <v>340</v>
      </c>
      <c r="B1566" s="2">
        <f>INDEX(Parameters!$B$6:$AL$54,MATCH(Inventories!$B$1551,Parameters!$A$6:$A$54,0),MATCH(Inventories!$A1566,Parameters!$B$4:$AL$4,0))</f>
        <v>0</v>
      </c>
      <c r="C1566" t="s">
        <v>339</v>
      </c>
      <c r="D1566" s="2"/>
      <c r="E1566" s="2"/>
      <c r="F1566" s="2"/>
      <c r="G1566" s="2"/>
      <c r="H1566" s="2"/>
      <c r="I1566" s="2"/>
      <c r="J1566" s="2"/>
      <c r="K1566" s="2"/>
      <c r="L1566" s="2"/>
    </row>
    <row r="1567" spans="1:12" customFormat="1" ht="16" x14ac:dyDescent="0.2">
      <c r="A1567" t="s">
        <v>341</v>
      </c>
      <c r="B1567" s="2">
        <f>INDEX(Parameters!$B$6:$AL$54,MATCH(Inventories!$B$1551,Parameters!$A$6:$A$54,0),MATCH(Inventories!$A1567,Parameters!$B$4:$AL$4,0))</f>
        <v>0</v>
      </c>
      <c r="C1567" t="s">
        <v>339</v>
      </c>
      <c r="D1567" s="2"/>
      <c r="E1567" s="2"/>
      <c r="F1567" s="2"/>
      <c r="G1567" s="2"/>
      <c r="H1567" s="2"/>
      <c r="I1567" s="2"/>
      <c r="J1567" s="2"/>
      <c r="K1567" s="2"/>
      <c r="L1567" s="2"/>
    </row>
    <row r="1568" spans="1:12" customFormat="1" ht="16" x14ac:dyDescent="0.2">
      <c r="A1568" t="s">
        <v>342</v>
      </c>
      <c r="B1568" s="2">
        <f>INDEX(Parameters!$B$6:$AL$54,MATCH(Inventories!$B$1551,Parameters!$A$6:$A$54,0),MATCH(Inventories!$A1568,Parameters!$B$4:$AL$4,0))</f>
        <v>0</v>
      </c>
      <c r="C1568" t="s">
        <v>339</v>
      </c>
      <c r="D1568" s="2"/>
      <c r="E1568" s="2"/>
      <c r="F1568" s="2"/>
      <c r="G1568" s="2"/>
      <c r="H1568" s="2"/>
      <c r="I1568" s="2"/>
      <c r="J1568" s="2"/>
      <c r="K1568" s="2"/>
      <c r="L1568" s="2"/>
    </row>
    <row r="1569" spans="1:12" customFormat="1" ht="16" x14ac:dyDescent="0.2">
      <c r="A1569" t="s">
        <v>343</v>
      </c>
      <c r="B1569" s="2">
        <f>INDEX(Parameters!$B$6:$AL$54,MATCH(Inventories!$B$1551,Parameters!$A$6:$A$54,0),MATCH(Inventories!$A1569,Parameters!$B$4:$AL$4,0))</f>
        <v>169</v>
      </c>
      <c r="C1569" t="s">
        <v>339</v>
      </c>
      <c r="D1569" s="2"/>
      <c r="E1569" s="2"/>
      <c r="F1569" s="2"/>
      <c r="G1569" s="2"/>
      <c r="H1569" s="2"/>
      <c r="I1569" s="2"/>
      <c r="J1569" s="2"/>
      <c r="K1569" s="2"/>
      <c r="L1569" s="2"/>
    </row>
    <row r="1570" spans="1:12" customFormat="1" ht="16" x14ac:dyDescent="0.2">
      <c r="A1570" t="s">
        <v>344</v>
      </c>
      <c r="B1570" s="2">
        <f>INDEX(Parameters!$B$6:$AL$54,MATCH(Inventories!$B$1551,Parameters!$A$6:$A$54,0),MATCH(Inventories!$A1570,Parameters!$B$4:$AL$4,0))</f>
        <v>111</v>
      </c>
      <c r="C1570" t="s">
        <v>339</v>
      </c>
      <c r="D1570" s="2"/>
      <c r="E1570" s="2"/>
      <c r="F1570" s="2"/>
      <c r="G1570" s="2"/>
      <c r="H1570" s="2"/>
      <c r="I1570" s="2"/>
      <c r="J1570" s="2"/>
      <c r="K1570" s="2"/>
      <c r="L1570" s="2"/>
    </row>
    <row r="1571" spans="1:12" customFormat="1" ht="16" x14ac:dyDescent="0.2">
      <c r="A1571" t="s">
        <v>345</v>
      </c>
      <c r="B1571" s="2">
        <f>INDEX(Parameters!$B$6:$AL$54,MATCH(Inventories!$B$1551,Parameters!$A$6:$A$54,0),MATCH(Inventories!$A1571,Parameters!$B$4:$AL$4,0))</f>
        <v>194</v>
      </c>
      <c r="C1571" t="s">
        <v>339</v>
      </c>
      <c r="D1571" s="2"/>
      <c r="E1571" s="2"/>
      <c r="F1571" s="2"/>
      <c r="G1571" s="2"/>
      <c r="H1571" s="2"/>
      <c r="I1571" s="2"/>
      <c r="J1571" s="2"/>
      <c r="K1571" s="2"/>
      <c r="L1571" s="2"/>
    </row>
    <row r="1572" spans="1:12" customFormat="1" ht="16" x14ac:dyDescent="0.2">
      <c r="A1572" t="s">
        <v>336</v>
      </c>
      <c r="B1572" s="2">
        <f>INDEX(Parameters!$B$6:$AL$54,MATCH(Inventories!$B$1551,Parameters!$A$6:$A$54,0),MATCH(Inventories!$A1572,Parameters!$B$4:$AL$4,0))</f>
        <v>48</v>
      </c>
      <c r="C1572" t="s">
        <v>339</v>
      </c>
      <c r="D1572" s="2"/>
      <c r="E1572" s="2"/>
      <c r="F1572" s="2"/>
      <c r="G1572" s="2"/>
      <c r="H1572" s="2"/>
      <c r="I1572" s="2"/>
      <c r="J1572" s="2"/>
      <c r="K1572" s="2"/>
      <c r="L1572" s="2"/>
    </row>
    <row r="1573" spans="1:12" customFormat="1" ht="16" x14ac:dyDescent="0.2">
      <c r="A1573" t="s">
        <v>337</v>
      </c>
      <c r="B1573" s="2">
        <f>INDEX(Parameters!$B$6:$AL$54,MATCH(Inventories!$B$1551,Parameters!$A$6:$A$54,0),MATCH(Inventories!$A1573,Parameters!$B$4:$AL$4,0))</f>
        <v>30</v>
      </c>
      <c r="C1573" t="s">
        <v>339</v>
      </c>
      <c r="D1573" s="2"/>
      <c r="E1573" s="2"/>
      <c r="F1573" s="2"/>
      <c r="G1573" s="2"/>
      <c r="H1573" s="2"/>
      <c r="I1573" s="2"/>
      <c r="J1573" s="2"/>
      <c r="K1573" s="2"/>
      <c r="L1573" s="2"/>
    </row>
    <row r="1574" spans="1:12" customFormat="1" ht="16" x14ac:dyDescent="0.2">
      <c r="A1574" t="s">
        <v>338</v>
      </c>
      <c r="B1574" s="2">
        <f>INDEX(Parameters!$B$6:$AL$54,MATCH(Inventories!$B$1551,Parameters!$A$6:$A$54,0),MATCH(Inventories!$A1574,Parameters!$B$4:$AL$4,0))</f>
        <v>48</v>
      </c>
      <c r="C1574" t="s">
        <v>339</v>
      </c>
      <c r="D1574" s="2"/>
      <c r="E1574" s="2"/>
      <c r="F1574" s="2"/>
      <c r="G1574" s="2"/>
      <c r="H1574" s="2"/>
      <c r="I1574" s="2"/>
      <c r="J1574" s="2"/>
      <c r="K1574" s="2"/>
      <c r="L1574" s="2"/>
    </row>
    <row r="1575" spans="1:12" customFormat="1" ht="16" x14ac:dyDescent="0.2">
      <c r="A1575" t="s">
        <v>325</v>
      </c>
      <c r="B1575" s="2">
        <f>INDEX(Parameters!$B$6:$AL$54,MATCH(Inventories!$B$1551,Parameters!$A$6:$A$54,0),MATCH(Inventories!$A1575,Parameters!$B$4:$AL$4,0))</f>
        <v>0</v>
      </c>
      <c r="C1575" t="s">
        <v>318</v>
      </c>
      <c r="D1575" s="2"/>
      <c r="E1575" s="2"/>
      <c r="F1575" s="2"/>
      <c r="G1575" s="2"/>
      <c r="H1575" s="2"/>
      <c r="I1575" s="2"/>
      <c r="J1575" s="2"/>
      <c r="K1575" s="2"/>
      <c r="L1575" s="2"/>
    </row>
    <row r="1576" spans="1:12" customFormat="1" ht="16" x14ac:dyDescent="0.2">
      <c r="A1576" t="s">
        <v>326</v>
      </c>
      <c r="B1576" s="2">
        <f>INDEX(Parameters!$B$6:$AL$54,MATCH(Inventories!$B$1551,Parameters!$A$6:$A$54,0),MATCH(Inventories!$A1576,Parameters!$B$4:$AL$4,0))</f>
        <v>0</v>
      </c>
      <c r="C1576" t="s">
        <v>318</v>
      </c>
      <c r="D1576" s="2"/>
      <c r="E1576" s="2"/>
      <c r="F1576" s="2"/>
      <c r="G1576" s="2"/>
      <c r="H1576" s="2"/>
      <c r="I1576" s="2"/>
      <c r="J1576" s="2"/>
      <c r="K1576" s="2"/>
      <c r="L1576" s="2"/>
    </row>
    <row r="1577" spans="1:12" customFormat="1" ht="16" x14ac:dyDescent="0.2">
      <c r="A1577" t="s">
        <v>327</v>
      </c>
      <c r="B1577" s="2">
        <f>INDEX(Parameters!$B$6:$AL$54,MATCH(Inventories!$B$1551,Parameters!$A$6:$A$54,0),MATCH(Inventories!$A1577,Parameters!$B$4:$AL$4,0))</f>
        <v>0</v>
      </c>
      <c r="C1577" t="s">
        <v>318</v>
      </c>
      <c r="D1577" s="2"/>
      <c r="E1577" s="2"/>
      <c r="F1577" s="2"/>
      <c r="G1577" s="2"/>
      <c r="H1577" s="2"/>
      <c r="I1577" s="2"/>
      <c r="J1577" s="2"/>
      <c r="K1577" s="2"/>
      <c r="L1577" s="2"/>
    </row>
    <row r="1578" spans="1:12" customFormat="1" ht="16" x14ac:dyDescent="0.2">
      <c r="A1578" t="s">
        <v>333</v>
      </c>
      <c r="B1578" s="2">
        <f>INDEX(Parameters!$B$6:$AL$54,MATCH(Inventories!$B$1551,Parameters!$A$6:$A$54,0),MATCH(Inventories!$A1578,Parameters!$B$4:$AL$4,0))</f>
        <v>0</v>
      </c>
      <c r="C1578" t="s">
        <v>8</v>
      </c>
      <c r="D1578" s="2"/>
      <c r="E1578" s="2"/>
      <c r="F1578" s="2"/>
      <c r="G1578" s="2"/>
      <c r="H1578" s="2"/>
      <c r="I1578" s="2"/>
      <c r="J1578" s="2"/>
      <c r="K1578" s="2"/>
      <c r="L1578" s="2"/>
    </row>
    <row r="1579" spans="1:12" customFormat="1" ht="16" x14ac:dyDescent="0.2">
      <c r="A1579" t="s">
        <v>334</v>
      </c>
      <c r="B1579" s="2">
        <f>INDEX(Parameters!$B$6:$AL$54,MATCH(Inventories!$B$1551,Parameters!$A$6:$A$54,0),MATCH(Inventories!$A1579,Parameters!$B$4:$AL$4,0))</f>
        <v>0</v>
      </c>
      <c r="C1579" t="s">
        <v>8</v>
      </c>
      <c r="D1579" s="2"/>
      <c r="E1579" s="2"/>
      <c r="F1579" s="2"/>
      <c r="G1579" s="2"/>
      <c r="H1579" s="2"/>
      <c r="I1579" s="2"/>
      <c r="J1579" s="2"/>
      <c r="K1579" s="2"/>
      <c r="L1579" s="2"/>
    </row>
    <row r="1580" spans="1:12" customFormat="1" ht="16" x14ac:dyDescent="0.2">
      <c r="A1580" t="s">
        <v>335</v>
      </c>
      <c r="B1580" s="2">
        <f>INDEX(Parameters!$B$6:$AL$54,MATCH(Inventories!$B$1551,Parameters!$A$6:$A$54,0),MATCH(Inventories!$A1580,Parameters!$B$4:$AL$4,0))</f>
        <v>0</v>
      </c>
      <c r="C1580" t="s">
        <v>8</v>
      </c>
      <c r="D1580" s="2"/>
      <c r="E1580" s="2"/>
      <c r="F1580" s="2"/>
      <c r="G1580" s="2"/>
      <c r="H1580" s="2"/>
      <c r="I1580" s="2"/>
      <c r="J1580" s="2"/>
      <c r="K1580" s="2"/>
      <c r="L1580" s="2"/>
    </row>
    <row r="1581" spans="1:12" customFormat="1" ht="16" x14ac:dyDescent="0.2">
      <c r="A1581" t="s">
        <v>349</v>
      </c>
      <c r="B1581" s="2">
        <f>INDEX(Parameters!$B$6:$AL$54,MATCH(Inventories!$B$1551,Parameters!$A$6:$A$54,0),MATCH(Inventories!$A1581,Parameters!$B$4:$AL$4,0))</f>
        <v>0</v>
      </c>
      <c r="C1581" t="s">
        <v>315</v>
      </c>
      <c r="D1581" s="2"/>
      <c r="E1581" s="2"/>
      <c r="F1581" s="2"/>
      <c r="G1581" s="2"/>
      <c r="H1581" s="2"/>
      <c r="I1581" s="2"/>
      <c r="J1581" s="2"/>
      <c r="K1581" s="2"/>
      <c r="L1581" s="2"/>
    </row>
    <row r="1582" spans="1:12" customFormat="1" ht="16" x14ac:dyDescent="0.2">
      <c r="A1582" t="s">
        <v>350</v>
      </c>
      <c r="B1582" s="2">
        <f>INDEX(Parameters!$B$6:$AL$54,MATCH(Inventories!$B$1551,Parameters!$A$6:$A$54,0),MATCH(Inventories!$A1582,Parameters!$B$4:$AL$4,0))</f>
        <v>0</v>
      </c>
      <c r="C1582" t="s">
        <v>315</v>
      </c>
      <c r="D1582" s="2"/>
      <c r="E1582" s="12"/>
      <c r="F1582" s="2"/>
      <c r="G1582" s="2"/>
      <c r="H1582" s="2"/>
      <c r="I1582" s="2"/>
      <c r="J1582" s="2"/>
      <c r="K1582" s="2"/>
      <c r="L1582" s="2"/>
    </row>
    <row r="1583" spans="1:12" customFormat="1" ht="16" x14ac:dyDescent="0.2">
      <c r="A1583" t="s">
        <v>351</v>
      </c>
      <c r="B1583" s="2">
        <f>INDEX(Parameters!$B$6:$AL$54,MATCH(Inventories!$B$1551,Parameters!$A$6:$A$54,0),MATCH(Inventories!$A1583,Parameters!$B$4:$AL$4,0))</f>
        <v>0</v>
      </c>
      <c r="C1583" t="s">
        <v>315</v>
      </c>
      <c r="D1583" s="2"/>
      <c r="E1583" s="2"/>
      <c r="F1583" s="2"/>
      <c r="G1583" s="2"/>
      <c r="H1583" s="2"/>
      <c r="I1583" s="2"/>
      <c r="J1583" s="2"/>
      <c r="K1583" s="2"/>
      <c r="L1583" s="2"/>
    </row>
    <row r="1584" spans="1:12" customFormat="1" ht="16" x14ac:dyDescent="0.2">
      <c r="A1584" t="s">
        <v>352</v>
      </c>
      <c r="B1584" s="2">
        <f>INDEX(Parameters!$B$6:$AL$54,MATCH(Inventories!$B$1551,Parameters!$A$6:$A$54,0),MATCH(Inventories!$A1584,Parameters!$B$4:$AL$4,0))</f>
        <v>0</v>
      </c>
      <c r="C1584" t="s">
        <v>8</v>
      </c>
      <c r="D1584" s="2"/>
      <c r="E1584" s="2"/>
      <c r="F1584" s="2"/>
      <c r="G1584" s="2"/>
      <c r="H1584" s="2"/>
      <c r="I1584" s="2"/>
      <c r="J1584" s="2"/>
      <c r="K1584" s="2"/>
      <c r="L1584" s="2"/>
    </row>
    <row r="1585" spans="1:13" customFormat="1" ht="16" x14ac:dyDescent="0.2">
      <c r="A1585" t="s">
        <v>353</v>
      </c>
      <c r="B1585" s="2">
        <f>INDEX(Parameters!$B$6:$AL$54,MATCH(Inventories!$B$1551,Parameters!$A$6:$A$54,0),MATCH(Inventories!$A1585,Parameters!$B$4:$AL$4,0))</f>
        <v>0</v>
      </c>
      <c r="C1585" t="s">
        <v>8</v>
      </c>
      <c r="D1585" s="2"/>
      <c r="E1585" s="2"/>
      <c r="F1585" s="2"/>
      <c r="G1585" s="2"/>
      <c r="H1585" s="2"/>
      <c r="I1585" s="2"/>
      <c r="J1585" s="2"/>
      <c r="K1585" s="2"/>
      <c r="L1585" s="2"/>
    </row>
    <row r="1586" spans="1:13" customFormat="1" ht="16" x14ac:dyDescent="0.2">
      <c r="A1586" t="s">
        <v>354</v>
      </c>
      <c r="B1586" s="2">
        <f>INDEX(Parameters!$B$6:$AL$54,MATCH(Inventories!$B$1551,Parameters!$A$6:$A$54,0),MATCH(Inventories!$A1586,Parameters!$B$4:$AL$4,0))</f>
        <v>0</v>
      </c>
      <c r="C1586" t="s">
        <v>8</v>
      </c>
      <c r="D1586" s="2"/>
      <c r="E1586" s="2"/>
      <c r="F1586" s="2"/>
      <c r="G1586" s="2"/>
      <c r="H1586" s="2"/>
      <c r="I1586" s="2"/>
      <c r="J1586" s="2"/>
      <c r="K1586" s="2"/>
      <c r="L1586" s="2"/>
    </row>
    <row r="1587" spans="1:13" customFormat="1" ht="16" x14ac:dyDescent="0.2">
      <c r="A1587" t="s">
        <v>368</v>
      </c>
      <c r="B1587" s="2">
        <f>INDEX(Parameters!$B$6:$AL$54,MATCH(Inventories!$B$1551,Parameters!$A$6:$A$54,0),MATCH(Inventories!$A1587,Parameters!$B$4:$AL$4,0))</f>
        <v>0</v>
      </c>
      <c r="C1587" t="s">
        <v>339</v>
      </c>
      <c r="D1587" s="2"/>
      <c r="E1587" s="2"/>
      <c r="F1587" s="2"/>
      <c r="G1587" s="2"/>
      <c r="H1587" s="2"/>
      <c r="I1587" s="2"/>
      <c r="J1587" s="2"/>
      <c r="K1587" s="2"/>
      <c r="L1587" s="2"/>
    </row>
    <row r="1588" spans="1:13" customFormat="1" ht="16" x14ac:dyDescent="0.2">
      <c r="A1588" t="s">
        <v>369</v>
      </c>
      <c r="B1588" s="2">
        <f>INDEX(Parameters!$B$6:$AL$54,MATCH(Inventories!$B$1551,Parameters!$A$6:$A$54,0),MATCH(Inventories!$A1588,Parameters!$B$4:$AL$4,0))</f>
        <v>0</v>
      </c>
      <c r="C1588" t="s">
        <v>339</v>
      </c>
      <c r="D1588" s="2"/>
      <c r="E1588" s="2"/>
      <c r="F1588" s="2"/>
      <c r="G1588" s="2"/>
      <c r="H1588" s="2"/>
      <c r="I1588" s="2"/>
      <c r="J1588" s="2"/>
      <c r="K1588" s="2"/>
      <c r="L1588" s="2"/>
    </row>
    <row r="1589" spans="1:13" customFormat="1" ht="16" x14ac:dyDescent="0.2">
      <c r="A1589" t="s">
        <v>370</v>
      </c>
      <c r="B1589" s="2">
        <f>INDEX(Parameters!$B$6:$AL$54,MATCH(Inventories!$B$1551,Parameters!$A$6:$A$54,0),MATCH(Inventories!$A1589,Parameters!$B$4:$AL$4,0))</f>
        <v>0</v>
      </c>
      <c r="C1589" t="s">
        <v>339</v>
      </c>
      <c r="D1589" s="2"/>
      <c r="E1589" s="2"/>
      <c r="F1589" s="2"/>
      <c r="G1589" s="2"/>
      <c r="H1589" s="2"/>
      <c r="I1589" s="2"/>
      <c r="J1589" s="2"/>
      <c r="K1589" s="2"/>
      <c r="L1589" s="2"/>
    </row>
    <row r="1590" spans="1:13" customFormat="1" ht="16" x14ac:dyDescent="0.2">
      <c r="A1590" t="s">
        <v>371</v>
      </c>
      <c r="B1590" s="2">
        <f>INDEX(Parameters!$B$6:$AL$54,MATCH(Inventories!$B$1551,Parameters!$A$6:$A$54,0),MATCH(Inventories!$A1590,Parameters!$B$4:$AL$4,0))</f>
        <v>0</v>
      </c>
      <c r="C1590" t="s">
        <v>339</v>
      </c>
      <c r="D1590" s="2"/>
      <c r="E1590" s="2"/>
      <c r="F1590" s="2"/>
      <c r="G1590" s="2"/>
      <c r="H1590" s="2"/>
      <c r="I1590" s="2"/>
      <c r="J1590" s="2"/>
      <c r="K1590" s="2"/>
      <c r="L1590" s="2"/>
    </row>
    <row r="1591" spans="1:13" customFormat="1" ht="16" x14ac:dyDescent="0.2">
      <c r="A1591" t="s">
        <v>372</v>
      </c>
      <c r="B1591" s="2">
        <f>INDEX(Parameters!$B$6:$AL$54,MATCH(Inventories!$B$1551,Parameters!$A$6:$A$54,0),MATCH(Inventories!$A1591,Parameters!$B$4:$AL$4,0))</f>
        <v>0</v>
      </c>
      <c r="C1591" t="s">
        <v>339</v>
      </c>
      <c r="D1591" s="2"/>
      <c r="E1591" s="2"/>
      <c r="F1591" s="2"/>
      <c r="G1591" s="2"/>
      <c r="H1591" s="2"/>
      <c r="I1591" s="2"/>
      <c r="J1591" s="2"/>
      <c r="K1591" s="2"/>
      <c r="L1591" s="2"/>
    </row>
    <row r="1592" spans="1:13" customFormat="1" ht="16" x14ac:dyDescent="0.2">
      <c r="A1592" t="s">
        <v>347</v>
      </c>
      <c r="B1592" s="12">
        <f>INDEX(Parameters!$B$6:$AL$54,MATCH(Inventories!$B$1551,Parameters!$A$6:$A$54,0),MATCH(Inventories!$A1592,Parameters!$B$4:$AL$4,0))</f>
        <v>7.5871860000000001E-3</v>
      </c>
      <c r="C1592" t="s">
        <v>348</v>
      </c>
      <c r="D1592" s="2"/>
      <c r="E1592" s="2"/>
      <c r="F1592" s="2"/>
      <c r="G1592" s="2"/>
      <c r="H1592" s="2"/>
      <c r="I1592" s="2"/>
      <c r="J1592" s="2"/>
      <c r="K1592" s="2"/>
      <c r="L1592" s="2"/>
    </row>
    <row r="1593" spans="1:13" customFormat="1" ht="16" x14ac:dyDescent="0.2">
      <c r="A1593" t="s">
        <v>346</v>
      </c>
      <c r="B1593" s="12">
        <f>INDEX(Parameters!$B$6:$AL$54,MATCH(Inventories!$B$1551,Parameters!$A$6:$A$54,0),MATCH(Inventories!$A1593,Parameters!$B$4:$AL$4,0))</f>
        <v>2.21361E-4</v>
      </c>
      <c r="C1593" t="s">
        <v>348</v>
      </c>
      <c r="D1593" s="2"/>
      <c r="E1593" s="2"/>
      <c r="F1593" s="2"/>
      <c r="G1593" s="2"/>
      <c r="H1593" s="2"/>
      <c r="I1593" s="2"/>
      <c r="J1593" s="2"/>
      <c r="K1593" s="2"/>
      <c r="L1593" s="2"/>
    </row>
    <row r="1594" spans="1:13" customFormat="1" ht="16" x14ac:dyDescent="0.2">
      <c r="A1594" s="1" t="s">
        <v>10</v>
      </c>
      <c r="B1594" s="2"/>
      <c r="C1594" s="2"/>
      <c r="D1594" s="2"/>
      <c r="E1594" s="2"/>
      <c r="F1594" s="2"/>
      <c r="G1594" s="2"/>
      <c r="H1594" s="2"/>
      <c r="I1594" s="2"/>
      <c r="J1594" s="2"/>
      <c r="K1594" s="2"/>
      <c r="L1594" s="2"/>
    </row>
    <row r="1595" spans="1:13" x14ac:dyDescent="0.2">
      <c r="A1595" s="17" t="s">
        <v>11</v>
      </c>
      <c r="B1595" s="17" t="s">
        <v>12</v>
      </c>
      <c r="C1595" s="17" t="s">
        <v>3</v>
      </c>
      <c r="D1595" s="17" t="s">
        <v>13</v>
      </c>
      <c r="E1595" s="17" t="s">
        <v>8</v>
      </c>
      <c r="F1595" s="17" t="s">
        <v>6</v>
      </c>
      <c r="G1595" s="17" t="s">
        <v>5</v>
      </c>
      <c r="H1595" s="17" t="s">
        <v>153</v>
      </c>
      <c r="I1595" s="17" t="s">
        <v>182</v>
      </c>
      <c r="J1595" s="17" t="s">
        <v>183</v>
      </c>
      <c r="K1595" s="17" t="s">
        <v>184</v>
      </c>
      <c r="L1595" s="17" t="s">
        <v>185</v>
      </c>
      <c r="M1595" s="17"/>
    </row>
    <row r="1596" spans="1:13" customFormat="1" ht="16" x14ac:dyDescent="0.2">
      <c r="A1596" s="2" t="str">
        <f>B1551</f>
        <v>diesel, burned in passenger car</v>
      </c>
      <c r="B1596" s="2">
        <v>1</v>
      </c>
      <c r="C1596" s="2" t="str">
        <f>B1552</f>
        <v>RER</v>
      </c>
      <c r="D1596" s="2"/>
      <c r="E1596" s="2" t="str">
        <f>B1556</f>
        <v>megajoule</v>
      </c>
      <c r="F1596" s="2" t="s">
        <v>19</v>
      </c>
      <c r="G1596" s="2" t="str">
        <f>B1554</f>
        <v>heat</v>
      </c>
      <c r="H1596" s="2"/>
      <c r="I1596" s="2"/>
      <c r="J1596" s="2"/>
      <c r="K1596" s="2"/>
      <c r="L1596" s="2"/>
    </row>
    <row r="1597" spans="1:13" customFormat="1" ht="16" x14ac:dyDescent="0.2">
      <c r="A1597" s="2" t="s">
        <v>120</v>
      </c>
      <c r="B1597">
        <f>1/43</f>
        <v>2.3255813953488372E-2</v>
      </c>
      <c r="C1597" t="s">
        <v>27</v>
      </c>
      <c r="E1597" t="s">
        <v>9</v>
      </c>
      <c r="F1597" t="s">
        <v>23</v>
      </c>
      <c r="G1597" t="s">
        <v>44</v>
      </c>
      <c r="I1597" s="2"/>
    </row>
    <row r="1598" spans="1:13" customFormat="1" ht="16" x14ac:dyDescent="0.2">
      <c r="A1598" s="2" t="s">
        <v>144</v>
      </c>
      <c r="B1598" s="28">
        <f>(B1569/B1560)/(B1563/1000)</f>
        <v>3.7555555555555557E-4</v>
      </c>
      <c r="C1598" t="s">
        <v>114</v>
      </c>
      <c r="E1598" t="s">
        <v>9</v>
      </c>
      <c r="F1598" t="s">
        <v>23</v>
      </c>
      <c r="G1598" t="s">
        <v>145</v>
      </c>
      <c r="I1598" s="2">
        <v>5</v>
      </c>
      <c r="J1598" s="3">
        <f>B1598</f>
        <v>3.7555555555555557E-4</v>
      </c>
      <c r="K1598" s="3">
        <f>(B1570/B1562)/(B1565/1000)</f>
        <v>1.5310344827586207E-4</v>
      </c>
      <c r="L1598" s="3">
        <f>(B1571/B1561)/(B1564/1000)</f>
        <v>8.0833333333333332E-4</v>
      </c>
    </row>
    <row r="1599" spans="1:13" customFormat="1" ht="16" x14ac:dyDescent="0.2">
      <c r="A1599" s="2" t="s">
        <v>361</v>
      </c>
      <c r="B1599" s="3">
        <f>(B1572/B1560)/(B1563/1000)</f>
        <v>1.0666666666666667E-4</v>
      </c>
      <c r="C1599" t="s">
        <v>114</v>
      </c>
      <c r="E1599" t="s">
        <v>9</v>
      </c>
      <c r="F1599" t="s">
        <v>23</v>
      </c>
      <c r="G1599" s="2" t="s">
        <v>360</v>
      </c>
      <c r="H1599" s="2" t="s">
        <v>364</v>
      </c>
      <c r="I1599">
        <v>5</v>
      </c>
      <c r="J1599" s="3">
        <f>B1599</f>
        <v>1.0666666666666667E-4</v>
      </c>
      <c r="K1599" s="3">
        <f>(B1573/B1562)/(B1565/1000)</f>
        <v>4.1379310344827587E-5</v>
      </c>
      <c r="L1599" s="3">
        <f>(B1574/B1561)/(B1564/1000)</f>
        <v>1.9999999999999998E-4</v>
      </c>
    </row>
    <row r="1600" spans="1:13" customFormat="1" ht="16" x14ac:dyDescent="0.2">
      <c r="A1600" s="2" t="s">
        <v>362</v>
      </c>
      <c r="B1600" s="3">
        <f>B1599</f>
        <v>1.0666666666666667E-4</v>
      </c>
      <c r="C1600" t="s">
        <v>114</v>
      </c>
      <c r="E1600" t="s">
        <v>9</v>
      </c>
      <c r="F1600" t="s">
        <v>23</v>
      </c>
      <c r="G1600" s="2" t="s">
        <v>363</v>
      </c>
      <c r="H1600" s="2" t="s">
        <v>364</v>
      </c>
      <c r="I1600">
        <v>5</v>
      </c>
      <c r="J1600" s="3">
        <f>B1600</f>
        <v>1.0666666666666667E-4</v>
      </c>
      <c r="K1600" s="3">
        <f>K1599</f>
        <v>4.1379310344827587E-5</v>
      </c>
      <c r="L1600" s="3">
        <f>L1599</f>
        <v>1.9999999999999998E-4</v>
      </c>
    </row>
    <row r="1601" spans="1:9" customFormat="1" ht="16" x14ac:dyDescent="0.2">
      <c r="A1601" t="s">
        <v>45</v>
      </c>
      <c r="B1601" s="3">
        <v>7.1455665432553858E-7</v>
      </c>
      <c r="D1601" t="s">
        <v>14</v>
      </c>
      <c r="E1601" t="s">
        <v>9</v>
      </c>
      <c r="F1601" s="2" t="s">
        <v>15</v>
      </c>
      <c r="I1601" s="2"/>
    </row>
    <row r="1602" spans="1:9" customFormat="1" ht="16" x14ac:dyDescent="0.2">
      <c r="A1602" t="s">
        <v>46</v>
      </c>
      <c r="B1602" s="3">
        <v>3.2468920124586623E-7</v>
      </c>
      <c r="D1602" t="s">
        <v>14</v>
      </c>
      <c r="E1602" t="s">
        <v>9</v>
      </c>
      <c r="F1602" s="2" t="s">
        <v>15</v>
      </c>
      <c r="I1602" s="2"/>
    </row>
    <row r="1603" spans="1:9" customFormat="1" ht="16" x14ac:dyDescent="0.2">
      <c r="A1603" t="s">
        <v>47</v>
      </c>
      <c r="B1603" s="3">
        <v>3.9534349472964383E-7</v>
      </c>
      <c r="D1603" t="s">
        <v>14</v>
      </c>
      <c r="E1603" t="s">
        <v>9</v>
      </c>
      <c r="F1603" s="2" t="s">
        <v>15</v>
      </c>
      <c r="I1603" s="2"/>
    </row>
    <row r="1604" spans="1:9" customFormat="1" ht="16" x14ac:dyDescent="0.2">
      <c r="A1604" t="s">
        <v>48</v>
      </c>
      <c r="B1604" s="3">
        <v>3.7209280955662761E-7</v>
      </c>
      <c r="D1604" t="s">
        <v>14</v>
      </c>
      <c r="E1604" t="s">
        <v>9</v>
      </c>
      <c r="F1604" s="2" t="s">
        <v>15</v>
      </c>
      <c r="I1604" s="2"/>
    </row>
    <row r="1605" spans="1:9" customFormat="1" ht="16" x14ac:dyDescent="0.2">
      <c r="A1605" t="s">
        <v>49</v>
      </c>
      <c r="B1605" s="3">
        <v>9.4995966427857817E-8</v>
      </c>
      <c r="D1605" t="s">
        <v>14</v>
      </c>
      <c r="E1605" t="s">
        <v>9</v>
      </c>
      <c r="F1605" s="2" t="s">
        <v>15</v>
      </c>
      <c r="I1605" s="2"/>
    </row>
    <row r="1606" spans="1:9" customFormat="1" ht="16" x14ac:dyDescent="0.2">
      <c r="A1606" t="s">
        <v>50</v>
      </c>
      <c r="B1606" s="3">
        <v>2.186743705223342E-7</v>
      </c>
      <c r="D1606" t="s">
        <v>14</v>
      </c>
      <c r="E1606" t="s">
        <v>9</v>
      </c>
      <c r="F1606" s="2" t="s">
        <v>15</v>
      </c>
      <c r="I1606" s="2"/>
    </row>
    <row r="1607" spans="1:9" customFormat="1" ht="16" x14ac:dyDescent="0.2">
      <c r="A1607" t="s">
        <v>51</v>
      </c>
      <c r="B1607" s="3">
        <v>1.2147463123534157E-8</v>
      </c>
      <c r="D1607" t="s">
        <v>14</v>
      </c>
      <c r="E1607" t="s">
        <v>9</v>
      </c>
      <c r="F1607" s="2" t="s">
        <v>15</v>
      </c>
      <c r="I1607" s="2"/>
    </row>
    <row r="1608" spans="1:9" customFormat="1" ht="16" x14ac:dyDescent="0.2">
      <c r="A1608" t="s">
        <v>52</v>
      </c>
      <c r="B1608" s="3">
        <v>2.3255800597289225E-10</v>
      </c>
      <c r="D1608" t="s">
        <v>14</v>
      </c>
      <c r="E1608" t="s">
        <v>9</v>
      </c>
      <c r="F1608" s="2" t="s">
        <v>15</v>
      </c>
      <c r="I1608" s="2"/>
    </row>
    <row r="1609" spans="1:9" customFormat="1" ht="16" x14ac:dyDescent="0.2">
      <c r="A1609" t="s">
        <v>53</v>
      </c>
      <c r="B1609">
        <f>B1597*3.15</f>
        <v>7.3255813953488375E-2</v>
      </c>
      <c r="D1609" t="s">
        <v>14</v>
      </c>
      <c r="E1609" t="s">
        <v>9</v>
      </c>
      <c r="F1609" s="2" t="s">
        <v>15</v>
      </c>
      <c r="I1609" s="2"/>
    </row>
    <row r="1610" spans="1:9" customFormat="1" ht="16" x14ac:dyDescent="0.2">
      <c r="A1610" t="s">
        <v>54</v>
      </c>
      <c r="B1610" s="3">
        <v>2.1069404153243686E-5</v>
      </c>
      <c r="D1610" t="s">
        <v>14</v>
      </c>
      <c r="E1610" t="s">
        <v>9</v>
      </c>
      <c r="F1610" s="2" t="s">
        <v>15</v>
      </c>
      <c r="I1610" s="2"/>
    </row>
    <row r="1611" spans="1:9" customFormat="1" ht="16" x14ac:dyDescent="0.2">
      <c r="A1611" t="s">
        <v>55</v>
      </c>
      <c r="B1611" s="3">
        <v>1.1627900298644613E-9</v>
      </c>
      <c r="D1611" t="s">
        <v>14</v>
      </c>
      <c r="E1611" t="s">
        <v>9</v>
      </c>
      <c r="F1611" s="2" t="s">
        <v>15</v>
      </c>
      <c r="I1611" s="2"/>
    </row>
    <row r="1612" spans="1:9" customFormat="1" ht="16" x14ac:dyDescent="0.2">
      <c r="A1612" t="s">
        <v>56</v>
      </c>
      <c r="B1612" s="3">
        <v>2.3255800597289222E-12</v>
      </c>
      <c r="D1612" t="s">
        <v>14</v>
      </c>
      <c r="E1612" t="s">
        <v>9</v>
      </c>
      <c r="F1612" s="2" t="s">
        <v>15</v>
      </c>
      <c r="I1612" s="2"/>
    </row>
    <row r="1613" spans="1:9" customFormat="1" ht="16" x14ac:dyDescent="0.2">
      <c r="A1613" t="s">
        <v>57</v>
      </c>
      <c r="B1613" s="3">
        <v>3.9534861015391682E-8</v>
      </c>
      <c r="D1613" t="s">
        <v>14</v>
      </c>
      <c r="E1613" t="s">
        <v>9</v>
      </c>
      <c r="F1613" s="2" t="s">
        <v>15</v>
      </c>
      <c r="I1613" s="2"/>
    </row>
    <row r="1614" spans="1:9" customFormat="1" ht="16" x14ac:dyDescent="0.2">
      <c r="A1614" t="s">
        <v>152</v>
      </c>
      <c r="B1614" s="3">
        <v>7.1789570411210658E-8</v>
      </c>
      <c r="D1614" t="s">
        <v>14</v>
      </c>
      <c r="E1614" t="s">
        <v>9</v>
      </c>
      <c r="F1614" s="2" t="s">
        <v>15</v>
      </c>
      <c r="I1614" s="2"/>
    </row>
    <row r="1615" spans="1:9" customFormat="1" ht="16" x14ac:dyDescent="0.2">
      <c r="A1615" t="s">
        <v>58</v>
      </c>
      <c r="B1615" s="3">
        <v>1.1627900298644611E-6</v>
      </c>
      <c r="D1615" t="s">
        <v>14</v>
      </c>
      <c r="E1615" t="s">
        <v>9</v>
      </c>
      <c r="F1615" s="2" t="s">
        <v>15</v>
      </c>
      <c r="I1615" s="2"/>
    </row>
    <row r="1616" spans="1:9" customFormat="1" ht="16" x14ac:dyDescent="0.2">
      <c r="A1616" t="s">
        <v>59</v>
      </c>
      <c r="B1616" s="3">
        <v>3.646242366932188E-8</v>
      </c>
      <c r="D1616" t="s">
        <v>14</v>
      </c>
      <c r="E1616" t="s">
        <v>9</v>
      </c>
      <c r="F1616" s="2" t="s">
        <v>15</v>
      </c>
      <c r="I1616" s="2"/>
    </row>
    <row r="1617" spans="1:9" customFormat="1" ht="16" x14ac:dyDescent="0.2">
      <c r="A1617" t="s">
        <v>60</v>
      </c>
      <c r="B1617" s="3">
        <v>1.2114072625668476E-6</v>
      </c>
      <c r="D1617" t="s">
        <v>14</v>
      </c>
      <c r="E1617" t="s">
        <v>9</v>
      </c>
      <c r="F1617" s="2" t="s">
        <v>15</v>
      </c>
      <c r="I1617" s="2"/>
    </row>
    <row r="1618" spans="1:9" customFormat="1" ht="16" x14ac:dyDescent="0.2">
      <c r="A1618" t="s">
        <v>61</v>
      </c>
      <c r="B1618" s="3">
        <v>1.3252688602888143E-6</v>
      </c>
      <c r="D1618" t="s">
        <v>14</v>
      </c>
      <c r="E1618" t="s">
        <v>9</v>
      </c>
      <c r="F1618" s="2" t="s">
        <v>15</v>
      </c>
      <c r="I1618" s="2"/>
    </row>
    <row r="1619" spans="1:9" customFormat="1" ht="16" x14ac:dyDescent="0.2">
      <c r="A1619" t="s">
        <v>62</v>
      </c>
      <c r="B1619" s="3">
        <v>2.2087814338146904E-8</v>
      </c>
      <c r="D1619" t="s">
        <v>14</v>
      </c>
      <c r="E1619" t="s">
        <v>9</v>
      </c>
      <c r="F1619" s="2" t="s">
        <v>15</v>
      </c>
      <c r="I1619" s="2"/>
    </row>
    <row r="1620" spans="1:9" customFormat="1" ht="16" x14ac:dyDescent="0.2">
      <c r="A1620" t="s">
        <v>63</v>
      </c>
      <c r="B1620" s="3">
        <v>1.9186035492763611E-15</v>
      </c>
      <c r="D1620" t="s">
        <v>14</v>
      </c>
      <c r="E1620" t="s">
        <v>9</v>
      </c>
      <c r="F1620" s="2" t="s">
        <v>15</v>
      </c>
      <c r="I1620" s="2"/>
    </row>
    <row r="1621" spans="1:9" customFormat="1" ht="16" x14ac:dyDescent="0.2">
      <c r="A1621" t="s">
        <v>64</v>
      </c>
      <c r="B1621" s="3">
        <v>4.6511601194578451E-13</v>
      </c>
      <c r="D1621" t="s">
        <v>14</v>
      </c>
      <c r="E1621" t="s">
        <v>9</v>
      </c>
      <c r="F1621" s="2" t="s">
        <v>15</v>
      </c>
      <c r="I1621" s="2"/>
    </row>
    <row r="1622" spans="1:9" customFormat="1" ht="16" x14ac:dyDescent="0.2">
      <c r="A1622" t="s">
        <v>65</v>
      </c>
      <c r="B1622" s="3">
        <v>6.6447090752701953E-7</v>
      </c>
      <c r="D1622" t="s">
        <v>14</v>
      </c>
      <c r="E1622" t="s">
        <v>9</v>
      </c>
      <c r="F1622" s="2" t="s">
        <v>15</v>
      </c>
      <c r="I1622" s="2"/>
    </row>
    <row r="1623" spans="1:9" customFormat="1" ht="16" x14ac:dyDescent="0.2">
      <c r="A1623" t="s">
        <v>66</v>
      </c>
      <c r="B1623" s="3">
        <v>1.3252688602888143E-7</v>
      </c>
      <c r="D1623" t="s">
        <v>14</v>
      </c>
      <c r="E1623" t="s">
        <v>9</v>
      </c>
      <c r="F1623" s="2" t="s">
        <v>15</v>
      </c>
      <c r="I1623" s="2"/>
    </row>
    <row r="1624" spans="1:9" customFormat="1" ht="16" x14ac:dyDescent="0.2">
      <c r="A1624" t="s">
        <v>67</v>
      </c>
      <c r="B1624" s="3">
        <v>5.8566933256401625E-6</v>
      </c>
      <c r="D1624" t="s">
        <v>14</v>
      </c>
      <c r="E1624" t="s">
        <v>9</v>
      </c>
      <c r="F1624" s="2" t="s">
        <v>15</v>
      </c>
      <c r="I1624" s="2"/>
    </row>
    <row r="1625" spans="1:9" customFormat="1" ht="16" x14ac:dyDescent="0.2">
      <c r="A1625" t="s">
        <v>68</v>
      </c>
      <c r="B1625" s="3">
        <v>1.6279060418102458E-9</v>
      </c>
      <c r="D1625" t="s">
        <v>14</v>
      </c>
      <c r="E1625" t="s">
        <v>9</v>
      </c>
      <c r="F1625" s="2" t="s">
        <v>15</v>
      </c>
      <c r="I1625" s="2"/>
    </row>
    <row r="1626" spans="1:9" customFormat="1" ht="16" x14ac:dyDescent="0.2">
      <c r="A1626" t="s">
        <v>69</v>
      </c>
      <c r="B1626">
        <f>B1592/1000</f>
        <v>7.587186E-6</v>
      </c>
      <c r="D1626" t="s">
        <v>14</v>
      </c>
      <c r="E1626" t="s">
        <v>9</v>
      </c>
      <c r="F1626" s="2" t="s">
        <v>15</v>
      </c>
      <c r="I1626" s="2"/>
    </row>
    <row r="1627" spans="1:9" customFormat="1" ht="16" x14ac:dyDescent="0.2">
      <c r="A1627" t="s">
        <v>70</v>
      </c>
      <c r="B1627" s="3">
        <v>4.2883696301401334E-9</v>
      </c>
      <c r="D1627" t="s">
        <v>14</v>
      </c>
      <c r="E1627" t="s">
        <v>9</v>
      </c>
      <c r="F1627" s="2" t="s">
        <v>15</v>
      </c>
      <c r="I1627" s="2"/>
    </row>
    <row r="1628" spans="1:9" customFormat="1" ht="16" x14ac:dyDescent="0.2">
      <c r="A1628" t="s">
        <v>71</v>
      </c>
      <c r="B1628" s="3">
        <f>B1593/1000</f>
        <v>2.2136099999999999E-7</v>
      </c>
      <c r="D1628" t="s">
        <v>14</v>
      </c>
      <c r="E1628" t="s">
        <v>9</v>
      </c>
      <c r="F1628" s="2" t="s">
        <v>15</v>
      </c>
      <c r="I1628" s="2"/>
    </row>
    <row r="1629" spans="1:9" customFormat="1" ht="16" x14ac:dyDescent="0.2">
      <c r="A1629" t="s">
        <v>72</v>
      </c>
      <c r="B1629" s="3">
        <v>4.417562867629381E-9</v>
      </c>
      <c r="D1629" t="s">
        <v>14</v>
      </c>
      <c r="E1629" t="s">
        <v>9</v>
      </c>
      <c r="F1629" s="2" t="s">
        <v>15</v>
      </c>
      <c r="I1629" s="2"/>
    </row>
    <row r="1630" spans="1:9" customFormat="1" ht="16" x14ac:dyDescent="0.2">
      <c r="A1630" t="s">
        <v>73</v>
      </c>
      <c r="B1630" s="3">
        <v>1.2147463123534157E-8</v>
      </c>
      <c r="D1630" t="s">
        <v>14</v>
      </c>
      <c r="E1630" t="s">
        <v>9</v>
      </c>
      <c r="F1630" s="2" t="s">
        <v>15</v>
      </c>
      <c r="I1630" s="2"/>
    </row>
    <row r="1631" spans="1:9" customFormat="1" ht="16" x14ac:dyDescent="0.2">
      <c r="A1631" t="s">
        <v>74</v>
      </c>
      <c r="B1631" s="3">
        <v>3.9768082958024133E-7</v>
      </c>
      <c r="D1631" t="s">
        <v>14</v>
      </c>
      <c r="E1631" t="s">
        <v>9</v>
      </c>
      <c r="F1631" s="2" t="s">
        <v>15</v>
      </c>
      <c r="I1631" s="2"/>
    </row>
    <row r="1632" spans="1:9" customFormat="1" ht="16" x14ac:dyDescent="0.2">
      <c r="A1632" t="s">
        <v>75</v>
      </c>
      <c r="B1632" s="3">
        <v>2.3255800597289225E-10</v>
      </c>
      <c r="D1632" t="s">
        <v>14</v>
      </c>
      <c r="E1632" t="s">
        <v>9</v>
      </c>
      <c r="F1632" s="2" t="s">
        <v>15</v>
      </c>
      <c r="I1632" s="2"/>
    </row>
    <row r="1633" spans="1:12" customFormat="1" ht="16" x14ac:dyDescent="0.2">
      <c r="A1633" t="s">
        <v>76</v>
      </c>
      <c r="B1633" s="3">
        <v>4.0869969387591558E-8</v>
      </c>
      <c r="D1633" t="s">
        <v>14</v>
      </c>
      <c r="E1633" t="s">
        <v>9</v>
      </c>
      <c r="F1633" s="2" t="s">
        <v>15</v>
      </c>
      <c r="I1633" s="2"/>
    </row>
    <row r="1634" spans="1:12" customFormat="1" ht="16" x14ac:dyDescent="0.2">
      <c r="A1634" t="s">
        <v>77</v>
      </c>
      <c r="B1634" s="3">
        <v>4.651160119457845E-7</v>
      </c>
      <c r="D1634" t="s">
        <v>14</v>
      </c>
      <c r="E1634" t="s">
        <v>9</v>
      </c>
      <c r="F1634" s="2" t="s">
        <v>15</v>
      </c>
      <c r="I1634" s="2"/>
    </row>
    <row r="1635" spans="1:12" customFormat="1" ht="16" x14ac:dyDescent="0.2">
      <c r="A1635" t="s">
        <v>78</v>
      </c>
      <c r="B1635" s="3">
        <v>7.619711612948033E-8</v>
      </c>
      <c r="D1635" t="s">
        <v>14</v>
      </c>
      <c r="E1635" t="s">
        <v>9</v>
      </c>
      <c r="F1635" s="2" t="s">
        <v>15</v>
      </c>
      <c r="I1635" s="2"/>
    </row>
    <row r="1636" spans="1:12" customFormat="1" ht="16" x14ac:dyDescent="0.2">
      <c r="A1636" t="s">
        <v>79</v>
      </c>
      <c r="B1636" s="3">
        <v>2.3255800597289226E-8</v>
      </c>
      <c r="D1636" t="s">
        <v>14</v>
      </c>
      <c r="E1636" t="s">
        <v>9</v>
      </c>
      <c r="F1636" s="2" t="s">
        <v>15</v>
      </c>
      <c r="I1636" s="2"/>
    </row>
    <row r="1637" spans="1:12" customFormat="1" ht="16" x14ac:dyDescent="0.2">
      <c r="A1637" t="s">
        <v>80</v>
      </c>
      <c r="B1637" s="3">
        <v>6.7382024692940973E-8</v>
      </c>
      <c r="D1637" t="s">
        <v>14</v>
      </c>
      <c r="E1637" t="s">
        <v>9</v>
      </c>
      <c r="F1637" s="2" t="s">
        <v>15</v>
      </c>
      <c r="I1637" s="2"/>
    </row>
    <row r="1638" spans="1:12" customFormat="1" ht="16" x14ac:dyDescent="0.2">
      <c r="A1638" t="s">
        <v>81</v>
      </c>
      <c r="B1638" s="3">
        <v>2.9821053643838246E-8</v>
      </c>
      <c r="D1638" t="s">
        <v>14</v>
      </c>
      <c r="E1638" t="s">
        <v>9</v>
      </c>
      <c r="F1638" s="2" t="s">
        <v>15</v>
      </c>
      <c r="I1638" s="2"/>
    </row>
    <row r="1639" spans="1:12" customFormat="1" ht="16" x14ac:dyDescent="0.2">
      <c r="F1639" s="2"/>
      <c r="H1639" s="3"/>
    </row>
    <row r="1640" spans="1:12" x14ac:dyDescent="0.2">
      <c r="A1640" s="17" t="s">
        <v>2</v>
      </c>
      <c r="B1640" s="17" t="s">
        <v>122</v>
      </c>
    </row>
    <row r="1641" spans="1:12" customFormat="1" ht="16" x14ac:dyDescent="0.2">
      <c r="A1641" s="2" t="s">
        <v>3</v>
      </c>
      <c r="B1641" s="2" t="s">
        <v>18</v>
      </c>
      <c r="C1641" s="2"/>
      <c r="D1641" s="2"/>
      <c r="E1641" s="2"/>
      <c r="F1641" s="2"/>
      <c r="G1641" s="2"/>
      <c r="H1641" s="2"/>
      <c r="I1641" s="2"/>
      <c r="J1641" s="2"/>
      <c r="K1641" s="2"/>
      <c r="L1641" s="2"/>
    </row>
    <row r="1642" spans="1:12" customFormat="1" ht="16" x14ac:dyDescent="0.2">
      <c r="A1642" s="2" t="s">
        <v>4</v>
      </c>
      <c r="B1642" s="2">
        <v>1</v>
      </c>
      <c r="C1642" s="2"/>
      <c r="D1642" s="2"/>
      <c r="E1642" s="2"/>
      <c r="F1642" s="2"/>
      <c r="G1642" s="2"/>
      <c r="H1642" s="2"/>
      <c r="I1642" s="2"/>
      <c r="J1642" s="2"/>
      <c r="K1642" s="2"/>
      <c r="L1642" s="2"/>
    </row>
    <row r="1643" spans="1:12" customFormat="1" ht="16" x14ac:dyDescent="0.2">
      <c r="A1643" s="2" t="s">
        <v>5</v>
      </c>
      <c r="B1643" s="2" t="s">
        <v>1</v>
      </c>
      <c r="C1643" s="2"/>
      <c r="D1643" s="2"/>
      <c r="E1643" s="2"/>
      <c r="F1643" s="2"/>
      <c r="G1643" s="2"/>
      <c r="H1643" s="2"/>
      <c r="I1643" s="2"/>
      <c r="J1643" s="2"/>
    </row>
    <row r="1644" spans="1:12" customFormat="1" ht="16" x14ac:dyDescent="0.2">
      <c r="A1644" s="2" t="s">
        <v>6</v>
      </c>
      <c r="B1644" s="2" t="s">
        <v>7</v>
      </c>
      <c r="C1644" s="2"/>
      <c r="D1644" s="2"/>
      <c r="E1644" s="2"/>
      <c r="F1644" s="2"/>
      <c r="G1644" s="2"/>
      <c r="H1644" s="2"/>
      <c r="I1644" s="2"/>
      <c r="J1644" s="2"/>
      <c r="K1644" s="2"/>
      <c r="L1644" s="2"/>
    </row>
    <row r="1645" spans="1:12" customFormat="1" ht="16" x14ac:dyDescent="0.2">
      <c r="A1645" s="2" t="s">
        <v>8</v>
      </c>
      <c r="B1645" s="2" t="s">
        <v>17</v>
      </c>
      <c r="C1645" s="2"/>
      <c r="D1645" s="2"/>
      <c r="E1645" s="2"/>
      <c r="F1645" s="2"/>
      <c r="G1645" s="2"/>
      <c r="H1645" s="2"/>
      <c r="I1645" s="2"/>
      <c r="J1645" s="2"/>
      <c r="K1645" s="2"/>
      <c r="L1645" s="2"/>
    </row>
    <row r="1646" spans="1:12" customFormat="1" ht="16" x14ac:dyDescent="0.2">
      <c r="A1646" t="s">
        <v>355</v>
      </c>
      <c r="B1646" s="2">
        <f>INDEX(Parameters!$B$6:$AL$54,MATCH(Inventories!$B$1640,Parameters!$A$6:$A$54,0),MATCH(Inventories!$A1646,Parameters!$B$4:$AL$4,0))</f>
        <v>126</v>
      </c>
      <c r="C1646" t="s">
        <v>315</v>
      </c>
      <c r="D1646" s="2"/>
      <c r="E1646" s="2"/>
      <c r="F1646" s="2"/>
      <c r="G1646" s="2"/>
      <c r="H1646" s="2"/>
      <c r="I1646" s="2"/>
      <c r="J1646" s="2"/>
      <c r="K1646" s="2"/>
      <c r="L1646" s="2"/>
    </row>
    <row r="1647" spans="1:12" customFormat="1" ht="16" x14ac:dyDescent="0.2">
      <c r="A1647" t="s">
        <v>356</v>
      </c>
      <c r="B1647" s="2">
        <f>INDEX(Parameters!$B$6:$AL$54,MATCH(Inventories!$B$1640,Parameters!$A$6:$A$54,0),MATCH(Inventories!$A1647,Parameters!$B$4:$AL$4,0))</f>
        <v>54</v>
      </c>
      <c r="C1647" t="s">
        <v>315</v>
      </c>
      <c r="D1647" s="2"/>
      <c r="E1647" s="2"/>
      <c r="F1647" s="2"/>
      <c r="G1647" s="2"/>
      <c r="H1647" s="2"/>
      <c r="I1647" s="2"/>
      <c r="J1647" s="2"/>
      <c r="K1647" s="2"/>
      <c r="L1647" s="2"/>
    </row>
    <row r="1648" spans="1:12" customFormat="1" ht="16" x14ac:dyDescent="0.2">
      <c r="A1648" t="s">
        <v>357</v>
      </c>
      <c r="B1648" s="2">
        <f>INDEX(Parameters!$B$6:$AL$54,MATCH(Inventories!$B$1640,Parameters!$A$6:$A$54,0),MATCH(Inventories!$A1648,Parameters!$B$4:$AL$4,0))</f>
        <v>158</v>
      </c>
      <c r="C1648" t="s">
        <v>315</v>
      </c>
      <c r="D1648" s="2"/>
      <c r="E1648" s="2"/>
      <c r="F1648" s="2"/>
      <c r="G1648" s="2"/>
      <c r="H1648" s="2"/>
      <c r="I1648" s="2"/>
      <c r="J1648" s="2"/>
      <c r="K1648" s="2"/>
      <c r="L1648" s="2"/>
    </row>
    <row r="1649" spans="1:12" customFormat="1" ht="16" x14ac:dyDescent="0.2">
      <c r="A1649" t="s">
        <v>319</v>
      </c>
      <c r="B1649" s="24">
        <f>INDEX(Parameters!$B$6:$AL$54,MATCH(Inventories!$B$1640,Parameters!$A$6:$A$54,0),MATCH(Inventories!$A1649,Parameters!$B$4:$AL$4,0))</f>
        <v>200000</v>
      </c>
      <c r="C1649" t="s">
        <v>316</v>
      </c>
      <c r="D1649" s="2"/>
      <c r="E1649" s="2"/>
      <c r="F1649" s="2"/>
      <c r="G1649" s="2"/>
      <c r="H1649" s="2"/>
      <c r="I1649" s="2"/>
      <c r="J1649" s="2"/>
      <c r="K1649" s="2"/>
      <c r="L1649" s="2"/>
    </row>
    <row r="1650" spans="1:12" customFormat="1" ht="16" x14ac:dyDescent="0.2">
      <c r="A1650" t="s">
        <v>320</v>
      </c>
      <c r="B1650" s="24">
        <f>INDEX(Parameters!$B$6:$AL$54,MATCH(Inventories!$B$1640,Parameters!$A$6:$A$54,0),MATCH(Inventories!$A1650,Parameters!$B$4:$AL$4,0))</f>
        <v>160000</v>
      </c>
      <c r="C1650" t="s">
        <v>316</v>
      </c>
      <c r="D1650" s="2"/>
      <c r="E1650" s="2"/>
      <c r="F1650" s="2"/>
      <c r="G1650" s="2"/>
      <c r="H1650" s="2"/>
      <c r="I1650" s="2"/>
      <c r="J1650" s="2"/>
      <c r="K1650" s="2"/>
      <c r="L1650" s="2"/>
    </row>
    <row r="1651" spans="1:12" customFormat="1" ht="16" x14ac:dyDescent="0.2">
      <c r="A1651" t="s">
        <v>321</v>
      </c>
      <c r="B1651" s="24">
        <f>INDEX(Parameters!$B$6:$AL$54,MATCH(Inventories!$B$1640,Parameters!$A$6:$A$54,0),MATCH(Inventories!$A1651,Parameters!$B$4:$AL$4,0))</f>
        <v>250000</v>
      </c>
      <c r="C1651" t="s">
        <v>316</v>
      </c>
      <c r="D1651" s="2"/>
      <c r="E1651" s="2"/>
      <c r="F1651" s="2"/>
      <c r="G1651" s="2"/>
      <c r="H1651" s="2"/>
      <c r="I1651" s="2"/>
      <c r="J1651" s="2"/>
      <c r="K1651" s="2"/>
      <c r="L1651" s="2"/>
    </row>
    <row r="1652" spans="1:12" customFormat="1" ht="16" x14ac:dyDescent="0.2">
      <c r="A1652" t="s">
        <v>322</v>
      </c>
      <c r="B1652" s="2">
        <f>INDEX(Parameters!$B$6:$AL$54,MATCH(Inventories!$B$1640,Parameters!$A$6:$A$54,0),MATCH(Inventories!$A1652,Parameters!$B$4:$AL$4,0))</f>
        <v>2250</v>
      </c>
      <c r="C1652" t="s">
        <v>317</v>
      </c>
      <c r="D1652" s="2"/>
      <c r="E1652" s="2"/>
      <c r="F1652" s="2"/>
      <c r="G1652" s="2"/>
      <c r="H1652" s="2"/>
      <c r="I1652" s="2"/>
      <c r="J1652" s="2"/>
      <c r="K1652" s="2"/>
      <c r="L1652" s="2"/>
    </row>
    <row r="1653" spans="1:12" customFormat="1" ht="16" x14ac:dyDescent="0.2">
      <c r="A1653" t="s">
        <v>323</v>
      </c>
      <c r="B1653" s="2">
        <f>INDEX(Parameters!$B$6:$AL$54,MATCH(Inventories!$B$1640,Parameters!$A$6:$A$54,0),MATCH(Inventories!$A1653,Parameters!$B$4:$AL$4,0))</f>
        <v>1500</v>
      </c>
      <c r="C1653" t="s">
        <v>317</v>
      </c>
      <c r="D1653" s="2"/>
      <c r="E1653" s="2"/>
      <c r="F1653" s="2"/>
      <c r="G1653" s="2"/>
      <c r="H1653" s="2"/>
      <c r="I1653" s="2"/>
      <c r="J1653" s="2"/>
      <c r="K1653" s="2"/>
      <c r="L1653" s="2"/>
    </row>
    <row r="1654" spans="1:12" customFormat="1" ht="16" x14ac:dyDescent="0.2">
      <c r="A1654" t="s">
        <v>324</v>
      </c>
      <c r="B1654" s="2">
        <f>INDEX(Parameters!$B$6:$AL$54,MATCH(Inventories!$B$1640,Parameters!$A$6:$A$54,0),MATCH(Inventories!$A1654,Parameters!$B$4:$AL$4,0))</f>
        <v>2900</v>
      </c>
      <c r="C1654" t="s">
        <v>317</v>
      </c>
      <c r="D1654" s="2"/>
      <c r="E1654" s="2"/>
      <c r="F1654" s="2"/>
      <c r="G1654" s="2"/>
      <c r="H1654" s="2"/>
      <c r="I1654" s="2"/>
      <c r="J1654" s="2"/>
      <c r="K1654" s="2"/>
      <c r="L1654" s="2"/>
    </row>
    <row r="1655" spans="1:12" customFormat="1" ht="16" x14ac:dyDescent="0.2">
      <c r="A1655" t="s">
        <v>340</v>
      </c>
      <c r="B1655" s="2">
        <f>INDEX(Parameters!$B$6:$AL$54,MATCH(Inventories!$B$1640,Parameters!$A$6:$A$54,0),MATCH(Inventories!$A1655,Parameters!$B$4:$AL$4,0))</f>
        <v>0</v>
      </c>
      <c r="C1655" t="s">
        <v>339</v>
      </c>
      <c r="D1655" s="2"/>
      <c r="E1655" s="2"/>
      <c r="F1655" s="2"/>
      <c r="G1655" s="2"/>
      <c r="H1655" s="2"/>
      <c r="I1655" s="2"/>
      <c r="J1655" s="2"/>
      <c r="K1655" s="2"/>
      <c r="L1655" s="2"/>
    </row>
    <row r="1656" spans="1:12" customFormat="1" ht="16" x14ac:dyDescent="0.2">
      <c r="A1656" t="s">
        <v>341</v>
      </c>
      <c r="B1656" s="2">
        <f>INDEX(Parameters!$B$6:$AL$54,MATCH(Inventories!$B$1640,Parameters!$A$6:$A$54,0),MATCH(Inventories!$A1656,Parameters!$B$4:$AL$4,0))</f>
        <v>0</v>
      </c>
      <c r="C1656" t="s">
        <v>339</v>
      </c>
      <c r="D1656" s="2"/>
      <c r="E1656" s="2"/>
      <c r="F1656" s="2"/>
      <c r="G1656" s="2"/>
      <c r="H1656" s="2"/>
      <c r="I1656" s="2"/>
      <c r="J1656" s="2"/>
      <c r="K1656" s="2"/>
      <c r="L1656" s="2"/>
    </row>
    <row r="1657" spans="1:12" customFormat="1" ht="16" x14ac:dyDescent="0.2">
      <c r="A1657" t="s">
        <v>342</v>
      </c>
      <c r="B1657" s="2">
        <f>INDEX(Parameters!$B$6:$AL$54,MATCH(Inventories!$B$1640,Parameters!$A$6:$A$54,0),MATCH(Inventories!$A1657,Parameters!$B$4:$AL$4,0))</f>
        <v>0</v>
      </c>
      <c r="C1657" t="s">
        <v>339</v>
      </c>
      <c r="D1657" s="2"/>
      <c r="E1657" s="2"/>
      <c r="F1657" s="2"/>
      <c r="G1657" s="2"/>
      <c r="H1657" s="2"/>
      <c r="I1657" s="2"/>
      <c r="J1657" s="2"/>
      <c r="K1657" s="2"/>
      <c r="L1657" s="2"/>
    </row>
    <row r="1658" spans="1:12" customFormat="1" ht="16" x14ac:dyDescent="0.2">
      <c r="A1658" t="s">
        <v>343</v>
      </c>
      <c r="B1658" s="2">
        <f>INDEX(Parameters!$B$6:$AL$54,MATCH(Inventories!$B$1640,Parameters!$A$6:$A$54,0),MATCH(Inventories!$A1658,Parameters!$B$4:$AL$4,0))</f>
        <v>169</v>
      </c>
      <c r="C1658" t="s">
        <v>339</v>
      </c>
      <c r="D1658" s="2"/>
      <c r="E1658" s="2"/>
      <c r="F1658" s="2"/>
      <c r="G1658" s="2"/>
      <c r="H1658" s="2"/>
      <c r="I1658" s="2"/>
      <c r="J1658" s="2"/>
      <c r="K1658" s="2"/>
      <c r="L1658" s="2"/>
    </row>
    <row r="1659" spans="1:12" customFormat="1" ht="16" x14ac:dyDescent="0.2">
      <c r="A1659" t="s">
        <v>344</v>
      </c>
      <c r="B1659" s="2">
        <f>INDEX(Parameters!$B$6:$AL$54,MATCH(Inventories!$B$1640,Parameters!$A$6:$A$54,0),MATCH(Inventories!$A1659,Parameters!$B$4:$AL$4,0))</f>
        <v>111</v>
      </c>
      <c r="C1659" t="s">
        <v>339</v>
      </c>
      <c r="D1659" s="2"/>
      <c r="E1659" s="2"/>
      <c r="F1659" s="2"/>
      <c r="G1659" s="2"/>
      <c r="H1659" s="2"/>
      <c r="I1659" s="2"/>
      <c r="J1659" s="2"/>
      <c r="K1659" s="2"/>
      <c r="L1659" s="2"/>
    </row>
    <row r="1660" spans="1:12" customFormat="1" ht="16" x14ac:dyDescent="0.2">
      <c r="A1660" t="s">
        <v>345</v>
      </c>
      <c r="B1660" s="2">
        <f>INDEX(Parameters!$B$6:$AL$54,MATCH(Inventories!$B$1640,Parameters!$A$6:$A$54,0),MATCH(Inventories!$A1660,Parameters!$B$4:$AL$4,0))</f>
        <v>194</v>
      </c>
      <c r="C1660" t="s">
        <v>339</v>
      </c>
      <c r="D1660" s="2"/>
      <c r="E1660" s="2"/>
      <c r="F1660" s="2"/>
      <c r="G1660" s="2"/>
      <c r="H1660" s="2"/>
      <c r="I1660" s="2"/>
      <c r="J1660" s="2"/>
      <c r="K1660" s="2"/>
      <c r="L1660" s="2"/>
    </row>
    <row r="1661" spans="1:12" customFormat="1" ht="16" x14ac:dyDescent="0.2">
      <c r="A1661" t="s">
        <v>336</v>
      </c>
      <c r="B1661" s="2">
        <f>INDEX(Parameters!$B$6:$AL$54,MATCH(Inventories!$B$1640,Parameters!$A$6:$A$54,0),MATCH(Inventories!$A1661,Parameters!$B$4:$AL$4,0))</f>
        <v>48</v>
      </c>
      <c r="C1661" t="s">
        <v>339</v>
      </c>
      <c r="D1661" s="2"/>
      <c r="E1661" s="2"/>
      <c r="F1661" s="2"/>
      <c r="G1661" s="2"/>
      <c r="H1661" s="2"/>
      <c r="I1661" s="2"/>
      <c r="J1661" s="2"/>
      <c r="K1661" s="2"/>
      <c r="L1661" s="2"/>
    </row>
    <row r="1662" spans="1:12" customFormat="1" ht="16" x14ac:dyDescent="0.2">
      <c r="A1662" t="s">
        <v>337</v>
      </c>
      <c r="B1662" s="2">
        <f>INDEX(Parameters!$B$6:$AL$54,MATCH(Inventories!$B$1640,Parameters!$A$6:$A$54,0),MATCH(Inventories!$A1662,Parameters!$B$4:$AL$4,0))</f>
        <v>30</v>
      </c>
      <c r="C1662" t="s">
        <v>339</v>
      </c>
      <c r="D1662" s="2"/>
      <c r="E1662" s="2"/>
      <c r="F1662" s="2"/>
      <c r="G1662" s="2"/>
      <c r="H1662" s="2"/>
      <c r="I1662" s="2"/>
      <c r="J1662" s="2"/>
      <c r="K1662" s="2"/>
      <c r="L1662" s="2"/>
    </row>
    <row r="1663" spans="1:12" customFormat="1" ht="16" x14ac:dyDescent="0.2">
      <c r="A1663" t="s">
        <v>338</v>
      </c>
      <c r="B1663" s="2">
        <f>INDEX(Parameters!$B$6:$AL$54,MATCH(Inventories!$B$1640,Parameters!$A$6:$A$54,0),MATCH(Inventories!$A1663,Parameters!$B$4:$AL$4,0))</f>
        <v>48</v>
      </c>
      <c r="C1663" t="s">
        <v>339</v>
      </c>
      <c r="D1663" s="2"/>
      <c r="E1663" s="2"/>
      <c r="F1663" s="2"/>
      <c r="G1663" s="2"/>
      <c r="H1663" s="2"/>
      <c r="I1663" s="2"/>
      <c r="J1663" s="2"/>
      <c r="K1663" s="2"/>
      <c r="L1663" s="2"/>
    </row>
    <row r="1664" spans="1:12" customFormat="1" ht="16" x14ac:dyDescent="0.2">
      <c r="A1664" t="s">
        <v>325</v>
      </c>
      <c r="B1664" s="2">
        <f>INDEX(Parameters!$B$6:$AL$54,MATCH(Inventories!$B$1640,Parameters!$A$6:$A$54,0),MATCH(Inventories!$A1664,Parameters!$B$4:$AL$4,0))</f>
        <v>0</v>
      </c>
      <c r="C1664" t="s">
        <v>318</v>
      </c>
      <c r="D1664" s="2"/>
      <c r="E1664" s="2"/>
      <c r="F1664" s="2"/>
      <c r="G1664" s="2"/>
      <c r="H1664" s="2"/>
      <c r="I1664" s="2"/>
      <c r="J1664" s="2"/>
      <c r="K1664" s="2"/>
      <c r="L1664" s="2"/>
    </row>
    <row r="1665" spans="1:12" customFormat="1" ht="16" x14ac:dyDescent="0.2">
      <c r="A1665" t="s">
        <v>326</v>
      </c>
      <c r="B1665" s="2">
        <f>INDEX(Parameters!$B$6:$AL$54,MATCH(Inventories!$B$1640,Parameters!$A$6:$A$54,0),MATCH(Inventories!$A1665,Parameters!$B$4:$AL$4,0))</f>
        <v>0</v>
      </c>
      <c r="C1665" t="s">
        <v>318</v>
      </c>
      <c r="D1665" s="2"/>
      <c r="E1665" s="2"/>
      <c r="F1665" s="2"/>
      <c r="G1665" s="2"/>
      <c r="H1665" s="2"/>
      <c r="I1665" s="2"/>
      <c r="J1665" s="2"/>
      <c r="K1665" s="2"/>
      <c r="L1665" s="2"/>
    </row>
    <row r="1666" spans="1:12" customFormat="1" ht="16" x14ac:dyDescent="0.2">
      <c r="A1666" t="s">
        <v>327</v>
      </c>
      <c r="B1666" s="2">
        <f>INDEX(Parameters!$B$6:$AL$54,MATCH(Inventories!$B$1640,Parameters!$A$6:$A$54,0),MATCH(Inventories!$A1666,Parameters!$B$4:$AL$4,0))</f>
        <v>0</v>
      </c>
      <c r="C1666" t="s">
        <v>318</v>
      </c>
      <c r="D1666" s="2"/>
      <c r="E1666" s="2"/>
      <c r="F1666" s="2"/>
      <c r="G1666" s="2"/>
      <c r="H1666" s="2"/>
      <c r="I1666" s="2"/>
      <c r="J1666" s="2"/>
      <c r="K1666" s="2"/>
      <c r="L1666" s="2"/>
    </row>
    <row r="1667" spans="1:12" customFormat="1" ht="16" x14ac:dyDescent="0.2">
      <c r="A1667" t="s">
        <v>333</v>
      </c>
      <c r="B1667" s="2">
        <f>INDEX(Parameters!$B$6:$AL$54,MATCH(Inventories!$B$1640,Parameters!$A$6:$A$54,0),MATCH(Inventories!$A1667,Parameters!$B$4:$AL$4,0))</f>
        <v>0</v>
      </c>
      <c r="C1667" t="s">
        <v>8</v>
      </c>
      <c r="D1667" s="2"/>
      <c r="E1667" s="2"/>
      <c r="F1667" s="2"/>
      <c r="G1667" s="2"/>
      <c r="H1667" s="2"/>
      <c r="I1667" s="2"/>
      <c r="J1667" s="2"/>
      <c r="K1667" s="2"/>
      <c r="L1667" s="2"/>
    </row>
    <row r="1668" spans="1:12" customFormat="1" ht="16" x14ac:dyDescent="0.2">
      <c r="A1668" t="s">
        <v>334</v>
      </c>
      <c r="B1668" s="2">
        <f>INDEX(Parameters!$B$6:$AL$54,MATCH(Inventories!$B$1640,Parameters!$A$6:$A$54,0),MATCH(Inventories!$A1668,Parameters!$B$4:$AL$4,0))</f>
        <v>0</v>
      </c>
      <c r="C1668" t="s">
        <v>8</v>
      </c>
      <c r="D1668" s="2"/>
      <c r="E1668" s="2"/>
      <c r="F1668" s="2"/>
      <c r="G1668" s="2"/>
      <c r="H1668" s="2"/>
      <c r="I1668" s="2"/>
      <c r="J1668" s="2"/>
      <c r="K1668" s="2"/>
      <c r="L1668" s="2"/>
    </row>
    <row r="1669" spans="1:12" customFormat="1" ht="16" x14ac:dyDescent="0.2">
      <c r="A1669" t="s">
        <v>335</v>
      </c>
      <c r="B1669" s="2">
        <f>INDEX(Parameters!$B$6:$AL$54,MATCH(Inventories!$B$1640,Parameters!$A$6:$A$54,0),MATCH(Inventories!$A1669,Parameters!$B$4:$AL$4,0))</f>
        <v>0</v>
      </c>
      <c r="C1669" t="s">
        <v>8</v>
      </c>
      <c r="D1669" s="2"/>
      <c r="E1669" s="2"/>
      <c r="F1669" s="2"/>
      <c r="G1669" s="2"/>
      <c r="H1669" s="2"/>
      <c r="I1669" s="2"/>
      <c r="J1669" s="2"/>
      <c r="K1669" s="2"/>
      <c r="L1669" s="2"/>
    </row>
    <row r="1670" spans="1:12" customFormat="1" ht="16" x14ac:dyDescent="0.2">
      <c r="A1670" t="s">
        <v>349</v>
      </c>
      <c r="B1670" s="2">
        <f>INDEX(Parameters!$B$6:$AL$54,MATCH(Inventories!$B$1640,Parameters!$A$6:$A$54,0),MATCH(Inventories!$A1670,Parameters!$B$4:$AL$4,0))</f>
        <v>0</v>
      </c>
      <c r="C1670" t="s">
        <v>315</v>
      </c>
      <c r="D1670" s="2"/>
      <c r="E1670" s="2"/>
      <c r="F1670" s="2"/>
      <c r="G1670" s="2"/>
      <c r="H1670" s="2"/>
      <c r="I1670" s="2"/>
      <c r="J1670" s="2"/>
      <c r="K1670" s="2"/>
      <c r="L1670" s="2"/>
    </row>
    <row r="1671" spans="1:12" customFormat="1" ht="16" x14ac:dyDescent="0.2">
      <c r="A1671" t="s">
        <v>350</v>
      </c>
      <c r="B1671" s="2">
        <f>INDEX(Parameters!$B$6:$AL$54,MATCH(Inventories!$B$1640,Parameters!$A$6:$A$54,0),MATCH(Inventories!$A1671,Parameters!$B$4:$AL$4,0))</f>
        <v>0</v>
      </c>
      <c r="C1671" t="s">
        <v>315</v>
      </c>
      <c r="D1671" s="2"/>
      <c r="E1671" s="12"/>
      <c r="F1671" s="2"/>
      <c r="G1671" s="2"/>
      <c r="H1671" s="2"/>
      <c r="I1671" s="2"/>
      <c r="J1671" s="2"/>
      <c r="K1671" s="2"/>
      <c r="L1671" s="2"/>
    </row>
    <row r="1672" spans="1:12" customFormat="1" ht="16" x14ac:dyDescent="0.2">
      <c r="A1672" t="s">
        <v>351</v>
      </c>
      <c r="B1672" s="2">
        <f>INDEX(Parameters!$B$6:$AL$54,MATCH(Inventories!$B$1640,Parameters!$A$6:$A$54,0),MATCH(Inventories!$A1672,Parameters!$B$4:$AL$4,0))</f>
        <v>0</v>
      </c>
      <c r="C1672" t="s">
        <v>315</v>
      </c>
      <c r="D1672" s="2"/>
      <c r="E1672" s="2"/>
      <c r="F1672" s="2"/>
      <c r="G1672" s="2"/>
      <c r="H1672" s="2"/>
      <c r="I1672" s="2"/>
      <c r="J1672" s="2"/>
      <c r="K1672" s="2"/>
      <c r="L1672" s="2"/>
    </row>
    <row r="1673" spans="1:12" customFormat="1" ht="16" x14ac:dyDescent="0.2">
      <c r="A1673" t="s">
        <v>352</v>
      </c>
      <c r="B1673" s="2">
        <f>INDEX(Parameters!$B$6:$AL$54,MATCH(Inventories!$B$1640,Parameters!$A$6:$A$54,0),MATCH(Inventories!$A1673,Parameters!$B$4:$AL$4,0))</f>
        <v>0</v>
      </c>
      <c r="C1673" t="s">
        <v>8</v>
      </c>
      <c r="D1673" s="2"/>
      <c r="E1673" s="2"/>
      <c r="F1673" s="2"/>
      <c r="G1673" s="2"/>
      <c r="H1673" s="2"/>
      <c r="I1673" s="2"/>
      <c r="J1673" s="2"/>
      <c r="K1673" s="2"/>
      <c r="L1673" s="2"/>
    </row>
    <row r="1674" spans="1:12" customFormat="1" ht="16" x14ac:dyDescent="0.2">
      <c r="A1674" t="s">
        <v>353</v>
      </c>
      <c r="B1674" s="2">
        <f>INDEX(Parameters!$B$6:$AL$54,MATCH(Inventories!$B$1640,Parameters!$A$6:$A$54,0),MATCH(Inventories!$A1674,Parameters!$B$4:$AL$4,0))</f>
        <v>0</v>
      </c>
      <c r="C1674" t="s">
        <v>8</v>
      </c>
      <c r="D1674" s="2"/>
      <c r="E1674" s="2"/>
      <c r="F1674" s="2"/>
      <c r="G1674" s="2"/>
      <c r="H1674" s="2"/>
      <c r="I1674" s="2"/>
      <c r="J1674" s="2"/>
      <c r="K1674" s="2"/>
      <c r="L1674" s="2"/>
    </row>
    <row r="1675" spans="1:12" customFormat="1" ht="16" x14ac:dyDescent="0.2">
      <c r="A1675" t="s">
        <v>354</v>
      </c>
      <c r="B1675" s="2">
        <f>INDEX(Parameters!$B$6:$AL$54,MATCH(Inventories!$B$1640,Parameters!$A$6:$A$54,0),MATCH(Inventories!$A1675,Parameters!$B$4:$AL$4,0))</f>
        <v>0</v>
      </c>
      <c r="C1675" t="s">
        <v>8</v>
      </c>
      <c r="D1675" s="2"/>
      <c r="E1675" s="2"/>
      <c r="F1675" s="2"/>
      <c r="G1675" s="2"/>
      <c r="H1675" s="2"/>
      <c r="I1675" s="2"/>
      <c r="J1675" s="2"/>
      <c r="K1675" s="2"/>
      <c r="L1675" s="2"/>
    </row>
    <row r="1676" spans="1:12" customFormat="1" ht="16" x14ac:dyDescent="0.2">
      <c r="A1676" t="s">
        <v>368</v>
      </c>
      <c r="B1676" s="2">
        <f>INDEX(Parameters!$B$6:$AL$54,MATCH(Inventories!$B$1640,Parameters!$A$6:$A$54,0),MATCH(Inventories!$A1676,Parameters!$B$4:$AL$4,0))</f>
        <v>0</v>
      </c>
      <c r="C1676" t="s">
        <v>339</v>
      </c>
      <c r="D1676" s="2"/>
      <c r="E1676" s="2"/>
      <c r="F1676" s="2"/>
      <c r="G1676" s="2"/>
      <c r="H1676" s="2"/>
      <c r="I1676" s="2"/>
      <c r="J1676" s="2"/>
      <c r="K1676" s="2"/>
      <c r="L1676" s="2"/>
    </row>
    <row r="1677" spans="1:12" customFormat="1" ht="16" x14ac:dyDescent="0.2">
      <c r="A1677" t="s">
        <v>369</v>
      </c>
      <c r="B1677" s="2">
        <f>INDEX(Parameters!$B$6:$AL$54,MATCH(Inventories!$B$1640,Parameters!$A$6:$A$54,0),MATCH(Inventories!$A1677,Parameters!$B$4:$AL$4,0))</f>
        <v>0</v>
      </c>
      <c r="C1677" t="s">
        <v>339</v>
      </c>
      <c r="D1677" s="2"/>
      <c r="E1677" s="2"/>
      <c r="F1677" s="2"/>
      <c r="G1677" s="2"/>
      <c r="H1677" s="2"/>
      <c r="I1677" s="2"/>
      <c r="J1677" s="2"/>
      <c r="K1677" s="2"/>
      <c r="L1677" s="2"/>
    </row>
    <row r="1678" spans="1:12" customFormat="1" ht="16" x14ac:dyDescent="0.2">
      <c r="A1678" t="s">
        <v>370</v>
      </c>
      <c r="B1678" s="2">
        <f>INDEX(Parameters!$B$6:$AL$54,MATCH(Inventories!$B$1640,Parameters!$A$6:$A$54,0),MATCH(Inventories!$A1678,Parameters!$B$4:$AL$4,0))</f>
        <v>0</v>
      </c>
      <c r="C1678" t="s">
        <v>339</v>
      </c>
      <c r="D1678" s="2"/>
      <c r="E1678" s="2"/>
      <c r="F1678" s="2"/>
      <c r="G1678" s="2"/>
      <c r="H1678" s="2"/>
      <c r="I1678" s="2"/>
      <c r="J1678" s="2"/>
      <c r="K1678" s="2"/>
      <c r="L1678" s="2"/>
    </row>
    <row r="1679" spans="1:12" customFormat="1" ht="16" x14ac:dyDescent="0.2">
      <c r="A1679" t="s">
        <v>371</v>
      </c>
      <c r="B1679" s="2">
        <f>INDEX(Parameters!$B$6:$AL$54,MATCH(Inventories!$B$1640,Parameters!$A$6:$A$54,0),MATCH(Inventories!$A1679,Parameters!$B$4:$AL$4,0))</f>
        <v>0</v>
      </c>
      <c r="C1679" t="s">
        <v>339</v>
      </c>
      <c r="D1679" s="2"/>
      <c r="E1679" s="2"/>
      <c r="F1679" s="2"/>
      <c r="G1679" s="2"/>
      <c r="H1679" s="2"/>
      <c r="I1679" s="2"/>
      <c r="J1679" s="2"/>
      <c r="K1679" s="2"/>
      <c r="L1679" s="2"/>
    </row>
    <row r="1680" spans="1:12" customFormat="1" ht="16" x14ac:dyDescent="0.2">
      <c r="A1680" t="s">
        <v>372</v>
      </c>
      <c r="B1680" s="2">
        <f>INDEX(Parameters!$B$6:$AL$54,MATCH(Inventories!$B$1640,Parameters!$A$6:$A$54,0),MATCH(Inventories!$A1680,Parameters!$B$4:$AL$4,0))</f>
        <v>0</v>
      </c>
      <c r="C1680" t="s">
        <v>339</v>
      </c>
      <c r="D1680" s="2"/>
      <c r="E1680" s="2"/>
      <c r="F1680" s="2"/>
      <c r="G1680" s="2"/>
      <c r="H1680" s="2"/>
      <c r="I1680" s="2"/>
      <c r="J1680" s="2"/>
      <c r="K1680" s="2"/>
      <c r="L1680" s="2"/>
    </row>
    <row r="1681" spans="1:12" customFormat="1" ht="16" x14ac:dyDescent="0.2">
      <c r="A1681" t="s">
        <v>347</v>
      </c>
      <c r="B1681" s="12">
        <f>INDEX(Parameters!$B$6:$AL$54,MATCH(Inventories!$B$1640,Parameters!$A$6:$A$54,0),MATCH(Inventories!$A1681,Parameters!$B$4:$AL$4,0))</f>
        <v>7.5871860000000001E-3</v>
      </c>
      <c r="C1681" t="s">
        <v>348</v>
      </c>
      <c r="D1681" s="2"/>
      <c r="E1681" s="2"/>
      <c r="F1681" s="2"/>
      <c r="G1681" s="2"/>
      <c r="H1681" s="2"/>
      <c r="I1681" s="2"/>
      <c r="J1681" s="2"/>
      <c r="K1681" s="2"/>
      <c r="L1681" s="2"/>
    </row>
    <row r="1682" spans="1:12" customFormat="1" ht="16" x14ac:dyDescent="0.2">
      <c r="A1682" t="s">
        <v>346</v>
      </c>
      <c r="B1682" s="12">
        <f>INDEX(Parameters!$B$6:$AL$54,MATCH(Inventories!$B$1640,Parameters!$A$6:$A$54,0),MATCH(Inventories!$A1682,Parameters!$B$4:$AL$4,0))</f>
        <v>2.21361E-4</v>
      </c>
      <c r="C1682" t="s">
        <v>348</v>
      </c>
      <c r="D1682" s="2"/>
      <c r="E1682" s="2"/>
      <c r="F1682" s="2"/>
      <c r="G1682" s="2"/>
      <c r="H1682" s="2"/>
      <c r="I1682" s="2"/>
      <c r="J1682" s="2"/>
      <c r="K1682" s="2"/>
      <c r="L1682" s="2"/>
    </row>
    <row r="1683" spans="1:12" customFormat="1" ht="16" x14ac:dyDescent="0.2">
      <c r="A1683" s="1" t="s">
        <v>10</v>
      </c>
      <c r="B1683" s="2"/>
      <c r="C1683" s="2"/>
      <c r="D1683" s="2"/>
      <c r="E1683" s="2"/>
      <c r="F1683" s="2"/>
      <c r="G1683" s="2"/>
      <c r="H1683" s="2"/>
      <c r="I1683" s="2"/>
      <c r="J1683" s="2"/>
      <c r="K1683" s="2"/>
      <c r="L1683" s="2"/>
    </row>
    <row r="1684" spans="1:12" x14ac:dyDescent="0.2">
      <c r="A1684" s="17" t="s">
        <v>11</v>
      </c>
      <c r="B1684" s="17" t="s">
        <v>12</v>
      </c>
      <c r="C1684" s="17" t="s">
        <v>3</v>
      </c>
      <c r="D1684" s="17" t="s">
        <v>13</v>
      </c>
      <c r="E1684" s="17" t="s">
        <v>8</v>
      </c>
      <c r="F1684" s="17" t="s">
        <v>6</v>
      </c>
      <c r="G1684" s="17" t="s">
        <v>5</v>
      </c>
      <c r="H1684" s="17" t="s">
        <v>153</v>
      </c>
      <c r="I1684" s="17" t="s">
        <v>182</v>
      </c>
      <c r="J1684" s="17" t="s">
        <v>183</v>
      </c>
      <c r="K1684" s="17" t="s">
        <v>184</v>
      </c>
      <c r="L1684" s="17" t="s">
        <v>185</v>
      </c>
    </row>
    <row r="1685" spans="1:12" customFormat="1" ht="16" x14ac:dyDescent="0.2">
      <c r="A1685" s="2" t="str">
        <f>B1640</f>
        <v>biodiesel, burned in passenger car</v>
      </c>
      <c r="B1685" s="2">
        <v>1</v>
      </c>
      <c r="C1685" s="2" t="str">
        <f>B1641</f>
        <v>RER</v>
      </c>
      <c r="D1685" s="2"/>
      <c r="E1685" s="2" t="str">
        <f>B1645</f>
        <v>megajoule</v>
      </c>
      <c r="F1685" s="2" t="s">
        <v>19</v>
      </c>
      <c r="G1685" s="2" t="str">
        <f>B1643</f>
        <v>heat</v>
      </c>
      <c r="H1685" s="2"/>
      <c r="I1685" s="2"/>
      <c r="J1685" s="2"/>
      <c r="K1685" s="2"/>
      <c r="L1685" s="2"/>
    </row>
    <row r="1686" spans="1:12" customFormat="1" ht="16" x14ac:dyDescent="0.2">
      <c r="A1686" s="2" t="s">
        <v>178</v>
      </c>
      <c r="B1686">
        <f>1/43</f>
        <v>2.3255813953488372E-2</v>
      </c>
      <c r="C1686" t="s">
        <v>18</v>
      </c>
      <c r="E1686" t="s">
        <v>9</v>
      </c>
      <c r="F1686" t="s">
        <v>23</v>
      </c>
      <c r="G1686" t="s">
        <v>179</v>
      </c>
      <c r="I1686" s="2"/>
    </row>
    <row r="1687" spans="1:12" customFormat="1" ht="16" x14ac:dyDescent="0.2">
      <c r="A1687" s="2" t="s">
        <v>144</v>
      </c>
      <c r="B1687" s="27">
        <f>(B1658/B1649)/(B1652/1000)</f>
        <v>3.7555555555555557E-4</v>
      </c>
      <c r="C1687" t="s">
        <v>114</v>
      </c>
      <c r="E1687" t="s">
        <v>9</v>
      </c>
      <c r="F1687" t="s">
        <v>23</v>
      </c>
      <c r="G1687" t="s">
        <v>145</v>
      </c>
      <c r="I1687" s="2">
        <v>5</v>
      </c>
      <c r="J1687" s="27">
        <f>B1687</f>
        <v>3.7555555555555557E-4</v>
      </c>
      <c r="K1687" s="3">
        <f>(B1659/B1651)/(B1654/1000)</f>
        <v>1.5310344827586207E-4</v>
      </c>
      <c r="L1687" s="3">
        <f>(B1660/B1650)/(B1653/1000)</f>
        <v>8.0833333333333332E-4</v>
      </c>
    </row>
    <row r="1688" spans="1:12" customFormat="1" ht="16" x14ac:dyDescent="0.2">
      <c r="A1688" s="2" t="s">
        <v>361</v>
      </c>
      <c r="B1688" s="3">
        <f>(B1661/B1649)/(B1652/1000)</f>
        <v>1.0666666666666667E-4</v>
      </c>
      <c r="C1688" t="s">
        <v>114</v>
      </c>
      <c r="E1688" t="s">
        <v>9</v>
      </c>
      <c r="F1688" t="s">
        <v>23</v>
      </c>
      <c r="G1688" s="2" t="s">
        <v>360</v>
      </c>
      <c r="H1688" s="2" t="s">
        <v>364</v>
      </c>
      <c r="I1688">
        <v>5</v>
      </c>
      <c r="J1688" s="27">
        <f>B1688</f>
        <v>1.0666666666666667E-4</v>
      </c>
      <c r="K1688" s="3">
        <f>(B1662/B1651)/(B1654/1000)</f>
        <v>4.1379310344827587E-5</v>
      </c>
      <c r="L1688" s="3">
        <f>(B1663/B1650)/(B1653/1000)</f>
        <v>1.9999999999999998E-4</v>
      </c>
    </row>
    <row r="1689" spans="1:12" customFormat="1" ht="16" x14ac:dyDescent="0.2">
      <c r="A1689" s="2" t="s">
        <v>362</v>
      </c>
      <c r="B1689" s="3">
        <f>B1688</f>
        <v>1.0666666666666667E-4</v>
      </c>
      <c r="C1689" t="s">
        <v>114</v>
      </c>
      <c r="E1689" t="s">
        <v>9</v>
      </c>
      <c r="F1689" t="s">
        <v>23</v>
      </c>
      <c r="G1689" s="2" t="s">
        <v>363</v>
      </c>
      <c r="H1689" s="2" t="s">
        <v>364</v>
      </c>
      <c r="I1689">
        <v>5</v>
      </c>
      <c r="J1689" s="27">
        <f>B1689</f>
        <v>1.0666666666666667E-4</v>
      </c>
      <c r="K1689" s="3">
        <f>K1688</f>
        <v>4.1379310344827587E-5</v>
      </c>
      <c r="L1689" s="3">
        <f>L1688</f>
        <v>1.9999999999999998E-4</v>
      </c>
    </row>
    <row r="1690" spans="1:12" customFormat="1" ht="16" x14ac:dyDescent="0.2">
      <c r="A1690" t="s">
        <v>45</v>
      </c>
      <c r="B1690" s="3">
        <v>7.1455665432553858E-7</v>
      </c>
      <c r="D1690" t="s">
        <v>14</v>
      </c>
      <c r="E1690" t="s">
        <v>9</v>
      </c>
      <c r="F1690" s="2" t="s">
        <v>15</v>
      </c>
      <c r="I1690" s="2"/>
    </row>
    <row r="1691" spans="1:12" customFormat="1" ht="16" x14ac:dyDescent="0.2">
      <c r="A1691" t="s">
        <v>46</v>
      </c>
      <c r="B1691" s="3">
        <v>3.2468920124586623E-7</v>
      </c>
      <c r="D1691" t="s">
        <v>14</v>
      </c>
      <c r="E1691" t="s">
        <v>9</v>
      </c>
      <c r="F1691" s="2" t="s">
        <v>15</v>
      </c>
      <c r="I1691" s="2"/>
    </row>
    <row r="1692" spans="1:12" customFormat="1" ht="16" x14ac:dyDescent="0.2">
      <c r="A1692" t="s">
        <v>47</v>
      </c>
      <c r="B1692" s="3">
        <v>3.9534349472964383E-7</v>
      </c>
      <c r="D1692" t="s">
        <v>14</v>
      </c>
      <c r="E1692" t="s">
        <v>9</v>
      </c>
      <c r="F1692" s="2" t="s">
        <v>15</v>
      </c>
      <c r="I1692" s="2"/>
    </row>
    <row r="1693" spans="1:12" customFormat="1" ht="16" x14ac:dyDescent="0.2">
      <c r="A1693" t="s">
        <v>48</v>
      </c>
      <c r="B1693" s="3">
        <v>3.7209280955662761E-7</v>
      </c>
      <c r="D1693" t="s">
        <v>14</v>
      </c>
      <c r="E1693" t="s">
        <v>9</v>
      </c>
      <c r="F1693" s="2" t="s">
        <v>15</v>
      </c>
      <c r="I1693" s="2"/>
    </row>
    <row r="1694" spans="1:12" customFormat="1" ht="16" x14ac:dyDescent="0.2">
      <c r="A1694" t="s">
        <v>49</v>
      </c>
      <c r="B1694" s="3">
        <v>9.4995966427857817E-8</v>
      </c>
      <c r="D1694" t="s">
        <v>14</v>
      </c>
      <c r="E1694" t="s">
        <v>9</v>
      </c>
      <c r="F1694" s="2" t="s">
        <v>15</v>
      </c>
      <c r="I1694" s="2"/>
    </row>
    <row r="1695" spans="1:12" customFormat="1" ht="16" x14ac:dyDescent="0.2">
      <c r="A1695" t="s">
        <v>50</v>
      </c>
      <c r="B1695" s="3">
        <v>2.186743705223342E-7</v>
      </c>
      <c r="D1695" t="s">
        <v>14</v>
      </c>
      <c r="E1695" t="s">
        <v>9</v>
      </c>
      <c r="F1695" s="2" t="s">
        <v>15</v>
      </c>
      <c r="I1695" s="2"/>
    </row>
    <row r="1696" spans="1:12" customFormat="1" ht="16" x14ac:dyDescent="0.2">
      <c r="A1696" t="s">
        <v>51</v>
      </c>
      <c r="B1696" s="3">
        <v>1.2147463123534157E-8</v>
      </c>
      <c r="D1696" t="s">
        <v>14</v>
      </c>
      <c r="E1696" t="s">
        <v>9</v>
      </c>
      <c r="F1696" s="2" t="s">
        <v>15</v>
      </c>
      <c r="I1696" s="2"/>
    </row>
    <row r="1697" spans="1:9" customFormat="1" ht="16" x14ac:dyDescent="0.2">
      <c r="A1697" t="s">
        <v>52</v>
      </c>
      <c r="B1697" s="3">
        <v>2.3255800597289225E-10</v>
      </c>
      <c r="D1697" t="s">
        <v>14</v>
      </c>
      <c r="E1697" t="s">
        <v>9</v>
      </c>
      <c r="F1697" s="2" t="s">
        <v>15</v>
      </c>
      <c r="I1697" s="2"/>
    </row>
    <row r="1698" spans="1:9" customFormat="1" ht="16" x14ac:dyDescent="0.2">
      <c r="A1698" t="s">
        <v>123</v>
      </c>
      <c r="B1698" s="25">
        <f>B1686*3.15</f>
        <v>7.3255813953488375E-2</v>
      </c>
      <c r="D1698" t="s">
        <v>14</v>
      </c>
      <c r="E1698" t="s">
        <v>9</v>
      </c>
      <c r="F1698" s="2" t="s">
        <v>15</v>
      </c>
      <c r="I1698" s="2"/>
    </row>
    <row r="1699" spans="1:9" customFormat="1" ht="16" x14ac:dyDescent="0.2">
      <c r="A1699" t="s">
        <v>124</v>
      </c>
      <c r="B1699" s="3">
        <v>2.1069404153243686E-5</v>
      </c>
      <c r="D1699" t="s">
        <v>14</v>
      </c>
      <c r="E1699" t="s">
        <v>9</v>
      </c>
      <c r="F1699" s="2" t="s">
        <v>15</v>
      </c>
      <c r="I1699" s="2"/>
    </row>
    <row r="1700" spans="1:9" customFormat="1" ht="16" x14ac:dyDescent="0.2">
      <c r="A1700" t="s">
        <v>55</v>
      </c>
      <c r="B1700" s="3">
        <v>1.1627900298644613E-9</v>
      </c>
      <c r="D1700" t="s">
        <v>14</v>
      </c>
      <c r="E1700" t="s">
        <v>9</v>
      </c>
      <c r="F1700" s="2" t="s">
        <v>15</v>
      </c>
      <c r="I1700" s="2"/>
    </row>
    <row r="1701" spans="1:9" customFormat="1" ht="16" x14ac:dyDescent="0.2">
      <c r="A1701" t="s">
        <v>56</v>
      </c>
      <c r="B1701" s="3">
        <v>2.3255800597289222E-12</v>
      </c>
      <c r="D1701" t="s">
        <v>14</v>
      </c>
      <c r="E1701" t="s">
        <v>9</v>
      </c>
      <c r="F1701" s="2" t="s">
        <v>15</v>
      </c>
      <c r="I1701" s="2"/>
    </row>
    <row r="1702" spans="1:9" customFormat="1" ht="16" x14ac:dyDescent="0.2">
      <c r="A1702" t="s">
        <v>57</v>
      </c>
      <c r="B1702" s="3">
        <v>3.9534861015391682E-8</v>
      </c>
      <c r="D1702" t="s">
        <v>14</v>
      </c>
      <c r="E1702" t="s">
        <v>9</v>
      </c>
      <c r="F1702" s="2" t="s">
        <v>15</v>
      </c>
      <c r="I1702" s="2"/>
    </row>
    <row r="1703" spans="1:9" customFormat="1" ht="16" x14ac:dyDescent="0.2">
      <c r="A1703" t="s">
        <v>152</v>
      </c>
      <c r="B1703" s="3">
        <v>7.1789570411210658E-8</v>
      </c>
      <c r="D1703" t="s">
        <v>14</v>
      </c>
      <c r="E1703" t="s">
        <v>9</v>
      </c>
      <c r="F1703" s="2" t="s">
        <v>15</v>
      </c>
      <c r="I1703" s="2"/>
    </row>
    <row r="1704" spans="1:9" customFormat="1" ht="16" x14ac:dyDescent="0.2">
      <c r="A1704" t="s">
        <v>58</v>
      </c>
      <c r="B1704" s="3">
        <v>1.1627900298644611E-6</v>
      </c>
      <c r="D1704" t="s">
        <v>14</v>
      </c>
      <c r="E1704" t="s">
        <v>9</v>
      </c>
      <c r="F1704" s="2" t="s">
        <v>15</v>
      </c>
      <c r="I1704" s="2"/>
    </row>
    <row r="1705" spans="1:9" customFormat="1" ht="16" x14ac:dyDescent="0.2">
      <c r="A1705" t="s">
        <v>59</v>
      </c>
      <c r="B1705" s="3">
        <v>3.646242366932188E-8</v>
      </c>
      <c r="D1705" t="s">
        <v>14</v>
      </c>
      <c r="E1705" t="s">
        <v>9</v>
      </c>
      <c r="F1705" s="2" t="s">
        <v>15</v>
      </c>
      <c r="I1705" s="2"/>
    </row>
    <row r="1706" spans="1:9" customFormat="1" ht="16" x14ac:dyDescent="0.2">
      <c r="A1706" t="s">
        <v>60</v>
      </c>
      <c r="B1706" s="3">
        <v>1.2114072625668476E-6</v>
      </c>
      <c r="D1706" t="s">
        <v>14</v>
      </c>
      <c r="E1706" t="s">
        <v>9</v>
      </c>
      <c r="F1706" s="2" t="s">
        <v>15</v>
      </c>
      <c r="I1706" s="2"/>
    </row>
    <row r="1707" spans="1:9" customFormat="1" ht="16" x14ac:dyDescent="0.2">
      <c r="A1707" t="s">
        <v>61</v>
      </c>
      <c r="B1707" s="3">
        <v>1.3252688602888143E-6</v>
      </c>
      <c r="D1707" t="s">
        <v>14</v>
      </c>
      <c r="E1707" t="s">
        <v>9</v>
      </c>
      <c r="F1707" s="2" t="s">
        <v>15</v>
      </c>
      <c r="I1707" s="2"/>
    </row>
    <row r="1708" spans="1:9" customFormat="1" ht="16" x14ac:dyDescent="0.2">
      <c r="A1708" t="s">
        <v>62</v>
      </c>
      <c r="B1708" s="3">
        <v>2.2087814338146904E-8</v>
      </c>
      <c r="D1708" t="s">
        <v>14</v>
      </c>
      <c r="E1708" t="s">
        <v>9</v>
      </c>
      <c r="F1708" s="2" t="s">
        <v>15</v>
      </c>
      <c r="I1708" s="2"/>
    </row>
    <row r="1709" spans="1:9" customFormat="1" ht="16" x14ac:dyDescent="0.2">
      <c r="A1709" t="s">
        <v>63</v>
      </c>
      <c r="B1709" s="3">
        <v>1.9186035492763611E-15</v>
      </c>
      <c r="D1709" t="s">
        <v>14</v>
      </c>
      <c r="E1709" t="s">
        <v>9</v>
      </c>
      <c r="F1709" s="2" t="s">
        <v>15</v>
      </c>
      <c r="I1709" s="2"/>
    </row>
    <row r="1710" spans="1:9" customFormat="1" ht="16" x14ac:dyDescent="0.2">
      <c r="A1710" t="s">
        <v>64</v>
      </c>
      <c r="B1710" s="3">
        <v>4.6511601194578451E-13</v>
      </c>
      <c r="D1710" t="s">
        <v>14</v>
      </c>
      <c r="E1710" t="s">
        <v>9</v>
      </c>
      <c r="F1710" s="2" t="s">
        <v>15</v>
      </c>
      <c r="I1710" s="2"/>
    </row>
    <row r="1711" spans="1:9" customFormat="1" ht="16" x14ac:dyDescent="0.2">
      <c r="A1711" t="s">
        <v>180</v>
      </c>
      <c r="B1711" s="3">
        <v>6.6447090752701953E-7</v>
      </c>
      <c r="D1711" t="s">
        <v>14</v>
      </c>
      <c r="E1711" t="s">
        <v>9</v>
      </c>
      <c r="F1711" s="2" t="s">
        <v>15</v>
      </c>
      <c r="I1711" s="2"/>
    </row>
    <row r="1712" spans="1:9" customFormat="1" ht="16" x14ac:dyDescent="0.2">
      <c r="A1712" t="s">
        <v>66</v>
      </c>
      <c r="B1712" s="3">
        <v>1.3252688602888143E-7</v>
      </c>
      <c r="D1712" t="s">
        <v>14</v>
      </c>
      <c r="E1712" t="s">
        <v>9</v>
      </c>
      <c r="F1712" s="2" t="s">
        <v>15</v>
      </c>
      <c r="I1712" s="2"/>
    </row>
    <row r="1713" spans="1:9" customFormat="1" ht="16" x14ac:dyDescent="0.2">
      <c r="A1713" t="s">
        <v>67</v>
      </c>
      <c r="B1713" s="3">
        <v>5.8566933256401625E-6</v>
      </c>
      <c r="D1713" t="s">
        <v>14</v>
      </c>
      <c r="E1713" t="s">
        <v>9</v>
      </c>
      <c r="F1713" s="2" t="s">
        <v>15</v>
      </c>
      <c r="I1713" s="2"/>
    </row>
    <row r="1714" spans="1:9" customFormat="1" ht="16" x14ac:dyDescent="0.2">
      <c r="A1714" t="s">
        <v>68</v>
      </c>
      <c r="B1714" s="3">
        <v>1.6279060418102458E-9</v>
      </c>
      <c r="D1714" t="s">
        <v>14</v>
      </c>
      <c r="E1714" t="s">
        <v>9</v>
      </c>
      <c r="F1714" s="2" t="s">
        <v>15</v>
      </c>
      <c r="I1714" s="2"/>
    </row>
    <row r="1715" spans="1:9" customFormat="1" ht="16" x14ac:dyDescent="0.2">
      <c r="A1715" t="s">
        <v>69</v>
      </c>
      <c r="B1715" s="3">
        <f>B1681/1000</f>
        <v>7.587186E-6</v>
      </c>
      <c r="D1715" t="s">
        <v>14</v>
      </c>
      <c r="E1715" t="s">
        <v>9</v>
      </c>
      <c r="F1715" s="2" t="s">
        <v>15</v>
      </c>
      <c r="I1715" s="2"/>
    </row>
    <row r="1716" spans="1:9" customFormat="1" ht="16" x14ac:dyDescent="0.2">
      <c r="A1716" t="s">
        <v>70</v>
      </c>
      <c r="B1716" s="3">
        <v>4.2883696301401334E-9</v>
      </c>
      <c r="D1716" t="s">
        <v>14</v>
      </c>
      <c r="E1716" t="s">
        <v>9</v>
      </c>
      <c r="F1716" s="2" t="s">
        <v>15</v>
      </c>
      <c r="I1716" s="2"/>
    </row>
    <row r="1717" spans="1:9" customFormat="1" ht="16" x14ac:dyDescent="0.2">
      <c r="A1717" t="s">
        <v>71</v>
      </c>
      <c r="B1717" s="3">
        <f>B1682/1000</f>
        <v>2.2136099999999999E-7</v>
      </c>
      <c r="D1717" t="s">
        <v>14</v>
      </c>
      <c r="E1717" t="s">
        <v>9</v>
      </c>
      <c r="F1717" s="2" t="s">
        <v>15</v>
      </c>
      <c r="I1717" s="2"/>
    </row>
    <row r="1718" spans="1:9" customFormat="1" ht="16" x14ac:dyDescent="0.2">
      <c r="A1718" t="s">
        <v>72</v>
      </c>
      <c r="B1718" s="3">
        <v>4.417562867629381E-9</v>
      </c>
      <c r="D1718" t="s">
        <v>14</v>
      </c>
      <c r="E1718" t="s">
        <v>9</v>
      </c>
      <c r="F1718" s="2" t="s">
        <v>15</v>
      </c>
      <c r="I1718" s="2"/>
    </row>
    <row r="1719" spans="1:9" customFormat="1" ht="16" x14ac:dyDescent="0.2">
      <c r="A1719" t="s">
        <v>73</v>
      </c>
      <c r="B1719" s="3">
        <v>1.2147463123534157E-8</v>
      </c>
      <c r="D1719" t="s">
        <v>14</v>
      </c>
      <c r="E1719" t="s">
        <v>9</v>
      </c>
      <c r="F1719" s="2" t="s">
        <v>15</v>
      </c>
      <c r="I1719" s="2"/>
    </row>
    <row r="1720" spans="1:9" customFormat="1" ht="16" x14ac:dyDescent="0.2">
      <c r="A1720" t="s">
        <v>74</v>
      </c>
      <c r="B1720" s="3">
        <v>3.9768082958024133E-7</v>
      </c>
      <c r="D1720" t="s">
        <v>14</v>
      </c>
      <c r="E1720" t="s">
        <v>9</v>
      </c>
      <c r="F1720" s="2" t="s">
        <v>15</v>
      </c>
      <c r="I1720" s="2"/>
    </row>
    <row r="1721" spans="1:9" customFormat="1" ht="16" x14ac:dyDescent="0.2">
      <c r="A1721" t="s">
        <v>75</v>
      </c>
      <c r="B1721" s="3">
        <v>2.3255800597289225E-10</v>
      </c>
      <c r="D1721" t="s">
        <v>14</v>
      </c>
      <c r="E1721" t="s">
        <v>9</v>
      </c>
      <c r="F1721" s="2" t="s">
        <v>15</v>
      </c>
      <c r="I1721" s="2"/>
    </row>
    <row r="1722" spans="1:9" customFormat="1" ht="16" x14ac:dyDescent="0.2">
      <c r="A1722" t="s">
        <v>76</v>
      </c>
      <c r="B1722" s="3">
        <v>4.0869969387591558E-8</v>
      </c>
      <c r="D1722" t="s">
        <v>14</v>
      </c>
      <c r="E1722" t="s">
        <v>9</v>
      </c>
      <c r="F1722" s="2" t="s">
        <v>15</v>
      </c>
      <c r="I1722" s="2"/>
    </row>
    <row r="1723" spans="1:9" customFormat="1" ht="16" x14ac:dyDescent="0.2">
      <c r="A1723" t="s">
        <v>77</v>
      </c>
      <c r="B1723" s="3">
        <v>4.651160119457845E-7</v>
      </c>
      <c r="D1723" t="s">
        <v>14</v>
      </c>
      <c r="E1723" t="s">
        <v>9</v>
      </c>
      <c r="F1723" s="2" t="s">
        <v>15</v>
      </c>
      <c r="I1723" s="2"/>
    </row>
    <row r="1724" spans="1:9" customFormat="1" ht="16" x14ac:dyDescent="0.2">
      <c r="A1724" t="s">
        <v>78</v>
      </c>
      <c r="B1724" s="3">
        <v>7.619711612948033E-8</v>
      </c>
      <c r="D1724" t="s">
        <v>14</v>
      </c>
      <c r="E1724" t="s">
        <v>9</v>
      </c>
      <c r="F1724" s="2" t="s">
        <v>15</v>
      </c>
      <c r="I1724" s="2"/>
    </row>
    <row r="1725" spans="1:9" customFormat="1" ht="16" x14ac:dyDescent="0.2">
      <c r="A1725" t="s">
        <v>79</v>
      </c>
      <c r="B1725" s="3">
        <v>2.3255800597289226E-8</v>
      </c>
      <c r="D1725" t="s">
        <v>14</v>
      </c>
      <c r="E1725" t="s">
        <v>9</v>
      </c>
      <c r="F1725" s="2" t="s">
        <v>15</v>
      </c>
      <c r="I1725" s="2"/>
    </row>
    <row r="1726" spans="1:9" customFormat="1" ht="16" x14ac:dyDescent="0.2">
      <c r="A1726" t="s">
        <v>80</v>
      </c>
      <c r="B1726" s="3">
        <v>6.7382024692940973E-8</v>
      </c>
      <c r="D1726" t="s">
        <v>14</v>
      </c>
      <c r="E1726" t="s">
        <v>9</v>
      </c>
      <c r="F1726" s="2" t="s">
        <v>15</v>
      </c>
      <c r="I1726" s="2"/>
    </row>
    <row r="1727" spans="1:9" customFormat="1" ht="16" x14ac:dyDescent="0.2">
      <c r="A1727" t="s">
        <v>81</v>
      </c>
      <c r="B1727" s="3">
        <v>2.9821053643838246E-8</v>
      </c>
      <c r="D1727" t="s">
        <v>14</v>
      </c>
      <c r="E1727" t="s">
        <v>9</v>
      </c>
      <c r="F1727" s="2" t="s">
        <v>15</v>
      </c>
      <c r="I1727" s="2"/>
    </row>
    <row r="1728" spans="1:9" customFormat="1" ht="16" x14ac:dyDescent="0.2">
      <c r="F1728" s="2"/>
      <c r="H1728" s="3"/>
    </row>
    <row r="1729" spans="1:12" x14ac:dyDescent="0.2">
      <c r="A1729" s="17" t="s">
        <v>2</v>
      </c>
      <c r="B1729" s="17" t="s">
        <v>279</v>
      </c>
    </row>
    <row r="1730" spans="1:12" customFormat="1" ht="16" x14ac:dyDescent="0.2">
      <c r="A1730" s="2" t="s">
        <v>3</v>
      </c>
      <c r="B1730" s="2" t="s">
        <v>18</v>
      </c>
      <c r="C1730" s="2"/>
      <c r="D1730" s="2"/>
      <c r="E1730" s="2"/>
      <c r="F1730" s="2"/>
      <c r="G1730" s="2"/>
      <c r="H1730" s="2"/>
      <c r="I1730" s="2"/>
      <c r="J1730" s="2"/>
      <c r="K1730" s="2"/>
      <c r="L1730" s="2"/>
    </row>
    <row r="1731" spans="1:12" customFormat="1" ht="16" x14ac:dyDescent="0.2">
      <c r="A1731" s="2" t="s">
        <v>4</v>
      </c>
      <c r="B1731" s="2">
        <v>1</v>
      </c>
      <c r="C1731" s="2"/>
      <c r="D1731" s="2"/>
      <c r="E1731" s="2"/>
      <c r="F1731" s="2"/>
      <c r="G1731" s="2"/>
      <c r="H1731" s="2"/>
      <c r="I1731" s="2"/>
      <c r="J1731" s="2"/>
      <c r="K1731" s="2"/>
      <c r="L1731" s="2"/>
    </row>
    <row r="1732" spans="1:12" customFormat="1" ht="16" x14ac:dyDescent="0.2">
      <c r="A1732" s="2" t="s">
        <v>5</v>
      </c>
      <c r="B1732" s="2" t="s">
        <v>1</v>
      </c>
      <c r="C1732" s="2"/>
      <c r="D1732" s="2"/>
      <c r="E1732" s="2"/>
      <c r="F1732" s="2"/>
      <c r="G1732" s="2"/>
      <c r="H1732" s="2"/>
      <c r="I1732" s="2"/>
      <c r="J1732" s="2"/>
    </row>
    <row r="1733" spans="1:12" customFormat="1" ht="16" x14ac:dyDescent="0.2">
      <c r="A1733" s="2" t="s">
        <v>6</v>
      </c>
      <c r="B1733" s="2" t="s">
        <v>7</v>
      </c>
      <c r="C1733" s="2"/>
      <c r="D1733" s="2"/>
      <c r="E1733" s="2"/>
      <c r="F1733" s="2"/>
      <c r="G1733" s="2"/>
      <c r="H1733" s="2"/>
      <c r="I1733" s="2"/>
      <c r="J1733" s="2"/>
      <c r="K1733" s="2"/>
      <c r="L1733" s="2"/>
    </row>
    <row r="1734" spans="1:12" customFormat="1" ht="16" x14ac:dyDescent="0.2">
      <c r="A1734" s="2" t="s">
        <v>8</v>
      </c>
      <c r="B1734" s="2" t="s">
        <v>17</v>
      </c>
      <c r="C1734" s="2"/>
      <c r="D1734" s="2"/>
      <c r="E1734" s="2"/>
      <c r="F1734" s="2"/>
      <c r="G1734" s="2"/>
      <c r="H1734" s="2"/>
      <c r="I1734" s="2"/>
      <c r="J1734" s="2"/>
      <c r="K1734" s="2"/>
      <c r="L1734" s="2"/>
    </row>
    <row r="1735" spans="1:12" customFormat="1" ht="16" x14ac:dyDescent="0.2">
      <c r="A1735" t="s">
        <v>355</v>
      </c>
      <c r="B1735" s="2">
        <f>INDEX(Parameters!$B$6:$AL$54,MATCH(Inventories!$B$1729,Parameters!$A$6:$A$54,0),MATCH(Inventories!$A1735,Parameters!$B$4:$AL$4,0))</f>
        <v>126</v>
      </c>
      <c r="C1735" t="s">
        <v>315</v>
      </c>
      <c r="D1735" s="2"/>
      <c r="E1735" s="2"/>
      <c r="F1735" s="2"/>
      <c r="G1735" s="2"/>
      <c r="H1735" s="2"/>
      <c r="I1735" s="2"/>
      <c r="J1735" s="2"/>
      <c r="K1735" s="2"/>
      <c r="L1735" s="2"/>
    </row>
    <row r="1736" spans="1:12" customFormat="1" ht="16" x14ac:dyDescent="0.2">
      <c r="A1736" t="s">
        <v>356</v>
      </c>
      <c r="B1736" s="2">
        <f>INDEX(Parameters!$B$6:$AL$54,MATCH(Inventories!$B$1729,Parameters!$A$6:$A$54,0),MATCH(Inventories!$A1736,Parameters!$B$4:$AL$4,0))</f>
        <v>54</v>
      </c>
      <c r="C1736" t="s">
        <v>315</v>
      </c>
      <c r="D1736" s="2"/>
      <c r="E1736" s="2"/>
      <c r="F1736" s="2"/>
      <c r="G1736" s="2"/>
      <c r="H1736" s="2"/>
      <c r="I1736" s="2"/>
      <c r="J1736" s="2"/>
      <c r="K1736" s="2"/>
      <c r="L1736" s="2"/>
    </row>
    <row r="1737" spans="1:12" customFormat="1" ht="16" x14ac:dyDescent="0.2">
      <c r="A1737" t="s">
        <v>357</v>
      </c>
      <c r="B1737" s="2">
        <f>INDEX(Parameters!$B$6:$AL$54,MATCH(Inventories!$B$1729,Parameters!$A$6:$A$54,0),MATCH(Inventories!$A1737,Parameters!$B$4:$AL$4,0))</f>
        <v>158</v>
      </c>
      <c r="C1737" t="s">
        <v>315</v>
      </c>
      <c r="D1737" s="2"/>
      <c r="E1737" s="2"/>
      <c r="F1737" s="2"/>
      <c r="G1737" s="2"/>
      <c r="H1737" s="2"/>
      <c r="I1737" s="2"/>
      <c r="J1737" s="2"/>
      <c r="K1737" s="2"/>
      <c r="L1737" s="2"/>
    </row>
    <row r="1738" spans="1:12" customFormat="1" ht="16" x14ac:dyDescent="0.2">
      <c r="A1738" t="s">
        <v>319</v>
      </c>
      <c r="B1738" s="24">
        <f>INDEX(Parameters!$B$6:$AL$54,MATCH(Inventories!$B$1729,Parameters!$A$6:$A$54,0),MATCH(Inventories!$A1738,Parameters!$B$4:$AL$4,0))</f>
        <v>200000</v>
      </c>
      <c r="C1738" t="s">
        <v>316</v>
      </c>
      <c r="D1738" s="2"/>
      <c r="E1738" s="2"/>
      <c r="F1738" s="2"/>
      <c r="G1738" s="2"/>
      <c r="H1738" s="2"/>
      <c r="I1738" s="2"/>
      <c r="J1738" s="2"/>
      <c r="K1738" s="2"/>
      <c r="L1738" s="2"/>
    </row>
    <row r="1739" spans="1:12" customFormat="1" ht="16" x14ac:dyDescent="0.2">
      <c r="A1739" t="s">
        <v>320</v>
      </c>
      <c r="B1739" s="24">
        <f>INDEX(Parameters!$B$6:$AL$54,MATCH(Inventories!$B$1729,Parameters!$A$6:$A$54,0),MATCH(Inventories!$A1739,Parameters!$B$4:$AL$4,0))</f>
        <v>160000</v>
      </c>
      <c r="C1739" t="s">
        <v>316</v>
      </c>
      <c r="D1739" s="2"/>
      <c r="E1739" s="2"/>
      <c r="F1739" s="2"/>
      <c r="G1739" s="2"/>
      <c r="H1739" s="2"/>
      <c r="I1739" s="2"/>
      <c r="J1739" s="2"/>
      <c r="K1739" s="2"/>
      <c r="L1739" s="2"/>
    </row>
    <row r="1740" spans="1:12" customFormat="1" ht="16" x14ac:dyDescent="0.2">
      <c r="A1740" t="s">
        <v>321</v>
      </c>
      <c r="B1740" s="24">
        <f>INDEX(Parameters!$B$6:$AL$54,MATCH(Inventories!$B$1729,Parameters!$A$6:$A$54,0),MATCH(Inventories!$A1740,Parameters!$B$4:$AL$4,0))</f>
        <v>250000</v>
      </c>
      <c r="C1740" t="s">
        <v>316</v>
      </c>
      <c r="D1740" s="2"/>
      <c r="E1740" s="2"/>
      <c r="F1740" s="2"/>
      <c r="G1740" s="2"/>
      <c r="H1740" s="2"/>
      <c r="I1740" s="2"/>
      <c r="J1740" s="2"/>
      <c r="K1740" s="2"/>
      <c r="L1740" s="2"/>
    </row>
    <row r="1741" spans="1:12" customFormat="1" ht="16" x14ac:dyDescent="0.2">
      <c r="A1741" t="s">
        <v>322</v>
      </c>
      <c r="B1741" s="2">
        <f>INDEX(Parameters!$B$6:$AL$54,MATCH(Inventories!$B$1729,Parameters!$A$6:$A$54,0),MATCH(Inventories!$A1741,Parameters!$B$4:$AL$4,0))</f>
        <v>2250</v>
      </c>
      <c r="C1741" t="s">
        <v>317</v>
      </c>
      <c r="D1741" s="2"/>
      <c r="E1741" s="2"/>
      <c r="F1741" s="2"/>
      <c r="G1741" s="2"/>
      <c r="H1741" s="2"/>
      <c r="I1741" s="2"/>
      <c r="J1741" s="2"/>
      <c r="K1741" s="2"/>
      <c r="L1741" s="2"/>
    </row>
    <row r="1742" spans="1:12" customFormat="1" ht="16" x14ac:dyDescent="0.2">
      <c r="A1742" t="s">
        <v>323</v>
      </c>
      <c r="B1742" s="2">
        <f>INDEX(Parameters!$B$6:$AL$54,MATCH(Inventories!$B$1729,Parameters!$A$6:$A$54,0),MATCH(Inventories!$A1742,Parameters!$B$4:$AL$4,0))</f>
        <v>1500</v>
      </c>
      <c r="C1742" t="s">
        <v>317</v>
      </c>
      <c r="D1742" s="2"/>
      <c r="E1742" s="2"/>
      <c r="F1742" s="2"/>
      <c r="G1742" s="2"/>
      <c r="H1742" s="2"/>
      <c r="I1742" s="2"/>
      <c r="J1742" s="2"/>
      <c r="K1742" s="2"/>
      <c r="L1742" s="2"/>
    </row>
    <row r="1743" spans="1:12" customFormat="1" ht="16" x14ac:dyDescent="0.2">
      <c r="A1743" t="s">
        <v>324</v>
      </c>
      <c r="B1743" s="2">
        <f>INDEX(Parameters!$B$6:$AL$54,MATCH(Inventories!$B$1729,Parameters!$A$6:$A$54,0),MATCH(Inventories!$A1743,Parameters!$B$4:$AL$4,0))</f>
        <v>2900</v>
      </c>
      <c r="C1743" t="s">
        <v>317</v>
      </c>
      <c r="D1743" s="2"/>
      <c r="E1743" s="2"/>
      <c r="F1743" s="2"/>
      <c r="G1743" s="2"/>
      <c r="H1743" s="2"/>
      <c r="I1743" s="2"/>
      <c r="J1743" s="2"/>
      <c r="K1743" s="2"/>
      <c r="L1743" s="2"/>
    </row>
    <row r="1744" spans="1:12" customFormat="1" ht="16" x14ac:dyDescent="0.2">
      <c r="A1744" t="s">
        <v>340</v>
      </c>
      <c r="B1744" s="2">
        <f>INDEX(Parameters!$B$6:$AL$54,MATCH(Inventories!$B$1729,Parameters!$A$6:$A$54,0),MATCH(Inventories!$A1744,Parameters!$B$4:$AL$4,0))</f>
        <v>0</v>
      </c>
      <c r="C1744" t="s">
        <v>339</v>
      </c>
      <c r="D1744" s="2"/>
      <c r="E1744" s="2"/>
      <c r="F1744" s="2"/>
      <c r="G1744" s="2"/>
      <c r="H1744" s="2"/>
      <c r="I1744" s="2"/>
      <c r="J1744" s="2"/>
      <c r="K1744" s="2"/>
      <c r="L1744" s="2"/>
    </row>
    <row r="1745" spans="1:12" customFormat="1" ht="16" x14ac:dyDescent="0.2">
      <c r="A1745" t="s">
        <v>341</v>
      </c>
      <c r="B1745" s="2">
        <f>INDEX(Parameters!$B$6:$AL$54,MATCH(Inventories!$B$1729,Parameters!$A$6:$A$54,0),MATCH(Inventories!$A1745,Parameters!$B$4:$AL$4,0))</f>
        <v>0</v>
      </c>
      <c r="C1745" t="s">
        <v>339</v>
      </c>
      <c r="D1745" s="2"/>
      <c r="E1745" s="2"/>
      <c r="F1745" s="2"/>
      <c r="G1745" s="2"/>
      <c r="H1745" s="2"/>
      <c r="I1745" s="2"/>
      <c r="J1745" s="2"/>
      <c r="K1745" s="2"/>
      <c r="L1745" s="2"/>
    </row>
    <row r="1746" spans="1:12" customFormat="1" ht="16" x14ac:dyDescent="0.2">
      <c r="A1746" t="s">
        <v>342</v>
      </c>
      <c r="B1746" s="2">
        <f>INDEX(Parameters!$B$6:$AL$54,MATCH(Inventories!$B$1729,Parameters!$A$6:$A$54,0),MATCH(Inventories!$A1746,Parameters!$B$4:$AL$4,0))</f>
        <v>0</v>
      </c>
      <c r="C1746" t="s">
        <v>339</v>
      </c>
      <c r="D1746" s="2"/>
      <c r="E1746" s="2"/>
      <c r="F1746" s="2"/>
      <c r="G1746" s="2"/>
      <c r="H1746" s="2"/>
      <c r="I1746" s="2"/>
      <c r="J1746" s="2"/>
      <c r="K1746" s="2"/>
      <c r="L1746" s="2"/>
    </row>
    <row r="1747" spans="1:12" customFormat="1" ht="16" x14ac:dyDescent="0.2">
      <c r="A1747" t="s">
        <v>343</v>
      </c>
      <c r="B1747" s="2">
        <f>INDEX(Parameters!$B$6:$AL$54,MATCH(Inventories!$B$1729,Parameters!$A$6:$A$54,0),MATCH(Inventories!$A1747,Parameters!$B$4:$AL$4,0))</f>
        <v>169</v>
      </c>
      <c r="C1747" t="s">
        <v>339</v>
      </c>
      <c r="D1747" s="2"/>
      <c r="E1747" s="2"/>
      <c r="F1747" s="2"/>
      <c r="G1747" s="2"/>
      <c r="H1747" s="2"/>
      <c r="I1747" s="2"/>
      <c r="J1747" s="2"/>
      <c r="K1747" s="2"/>
      <c r="L1747" s="2"/>
    </row>
    <row r="1748" spans="1:12" customFormat="1" ht="16" x14ac:dyDescent="0.2">
      <c r="A1748" t="s">
        <v>344</v>
      </c>
      <c r="B1748" s="2">
        <f>INDEX(Parameters!$B$6:$AL$54,MATCH(Inventories!$B$1729,Parameters!$A$6:$A$54,0),MATCH(Inventories!$A1748,Parameters!$B$4:$AL$4,0))</f>
        <v>111</v>
      </c>
      <c r="C1748" t="s">
        <v>339</v>
      </c>
      <c r="D1748" s="2"/>
      <c r="E1748" s="2"/>
      <c r="F1748" s="2"/>
      <c r="G1748" s="2"/>
      <c r="H1748" s="2"/>
      <c r="I1748" s="2"/>
      <c r="J1748" s="2"/>
      <c r="K1748" s="2"/>
      <c r="L1748" s="2"/>
    </row>
    <row r="1749" spans="1:12" customFormat="1" ht="16" x14ac:dyDescent="0.2">
      <c r="A1749" t="s">
        <v>345</v>
      </c>
      <c r="B1749" s="2">
        <f>INDEX(Parameters!$B$6:$AL$54,MATCH(Inventories!$B$1729,Parameters!$A$6:$A$54,0),MATCH(Inventories!$A1749,Parameters!$B$4:$AL$4,0))</f>
        <v>194</v>
      </c>
      <c r="C1749" t="s">
        <v>339</v>
      </c>
      <c r="D1749" s="2"/>
      <c r="E1749" s="2"/>
      <c r="F1749" s="2"/>
      <c r="G1749" s="2"/>
      <c r="H1749" s="2"/>
      <c r="I1749" s="2"/>
      <c r="J1749" s="2"/>
      <c r="K1749" s="2"/>
      <c r="L1749" s="2"/>
    </row>
    <row r="1750" spans="1:12" customFormat="1" ht="16" x14ac:dyDescent="0.2">
      <c r="A1750" t="s">
        <v>336</v>
      </c>
      <c r="B1750" s="2">
        <f>INDEX(Parameters!$B$6:$AL$54,MATCH(Inventories!$B$1729,Parameters!$A$6:$A$54,0),MATCH(Inventories!$A1750,Parameters!$B$4:$AL$4,0))</f>
        <v>48</v>
      </c>
      <c r="C1750" t="s">
        <v>339</v>
      </c>
      <c r="D1750" s="2"/>
      <c r="E1750" s="2"/>
      <c r="F1750" s="2"/>
      <c r="G1750" s="2"/>
      <c r="H1750" s="2"/>
      <c r="I1750" s="2"/>
      <c r="J1750" s="2"/>
      <c r="K1750" s="2"/>
      <c r="L1750" s="2"/>
    </row>
    <row r="1751" spans="1:12" customFormat="1" ht="16" x14ac:dyDescent="0.2">
      <c r="A1751" t="s">
        <v>337</v>
      </c>
      <c r="B1751" s="2">
        <f>INDEX(Parameters!$B$6:$AL$54,MATCH(Inventories!$B$1729,Parameters!$A$6:$A$54,0),MATCH(Inventories!$A1751,Parameters!$B$4:$AL$4,0))</f>
        <v>30</v>
      </c>
      <c r="C1751" t="s">
        <v>339</v>
      </c>
      <c r="D1751" s="2"/>
      <c r="E1751" s="2"/>
      <c r="F1751" s="2"/>
      <c r="G1751" s="2"/>
      <c r="H1751" s="2"/>
      <c r="I1751" s="2"/>
      <c r="J1751" s="2"/>
      <c r="K1751" s="2"/>
      <c r="L1751" s="2"/>
    </row>
    <row r="1752" spans="1:12" customFormat="1" ht="16" x14ac:dyDescent="0.2">
      <c r="A1752" t="s">
        <v>338</v>
      </c>
      <c r="B1752" s="2">
        <f>INDEX(Parameters!$B$6:$AL$54,MATCH(Inventories!$B$1729,Parameters!$A$6:$A$54,0),MATCH(Inventories!$A1752,Parameters!$B$4:$AL$4,0))</f>
        <v>48</v>
      </c>
      <c r="C1752" t="s">
        <v>339</v>
      </c>
      <c r="D1752" s="2"/>
      <c r="E1752" s="2"/>
      <c r="F1752" s="2"/>
      <c r="G1752" s="2"/>
      <c r="H1752" s="2"/>
      <c r="I1752" s="2"/>
      <c r="J1752" s="2"/>
      <c r="K1752" s="2"/>
      <c r="L1752" s="2"/>
    </row>
    <row r="1753" spans="1:12" customFormat="1" ht="16" x14ac:dyDescent="0.2">
      <c r="A1753" t="s">
        <v>325</v>
      </c>
      <c r="B1753" s="2">
        <f>INDEX(Parameters!$B$6:$AL$54,MATCH(Inventories!$B$1729,Parameters!$A$6:$A$54,0),MATCH(Inventories!$A1753,Parameters!$B$4:$AL$4,0))</f>
        <v>0</v>
      </c>
      <c r="C1753" t="s">
        <v>318</v>
      </c>
      <c r="D1753" s="2"/>
      <c r="E1753" s="2"/>
      <c r="F1753" s="2"/>
      <c r="G1753" s="2"/>
      <c r="H1753" s="2"/>
      <c r="I1753" s="2"/>
      <c r="J1753" s="2"/>
      <c r="K1753" s="2"/>
      <c r="L1753" s="2"/>
    </row>
    <row r="1754" spans="1:12" customFormat="1" ht="16" x14ac:dyDescent="0.2">
      <c r="A1754" t="s">
        <v>326</v>
      </c>
      <c r="B1754" s="2">
        <f>INDEX(Parameters!$B$6:$AL$54,MATCH(Inventories!$B$1729,Parameters!$A$6:$A$54,0),MATCH(Inventories!$A1754,Parameters!$B$4:$AL$4,0))</f>
        <v>0</v>
      </c>
      <c r="C1754" t="s">
        <v>318</v>
      </c>
      <c r="D1754" s="2"/>
      <c r="E1754" s="2"/>
      <c r="F1754" s="2"/>
      <c r="G1754" s="2"/>
      <c r="H1754" s="2"/>
      <c r="I1754" s="2"/>
      <c r="J1754" s="2"/>
      <c r="K1754" s="2"/>
      <c r="L1754" s="2"/>
    </row>
    <row r="1755" spans="1:12" customFormat="1" ht="16" x14ac:dyDescent="0.2">
      <c r="A1755" t="s">
        <v>327</v>
      </c>
      <c r="B1755" s="2">
        <f>INDEX(Parameters!$B$6:$AL$54,MATCH(Inventories!$B$1729,Parameters!$A$6:$A$54,0),MATCH(Inventories!$A1755,Parameters!$B$4:$AL$4,0))</f>
        <v>0</v>
      </c>
      <c r="C1755" t="s">
        <v>318</v>
      </c>
      <c r="D1755" s="2"/>
      <c r="E1755" s="2"/>
      <c r="F1755" s="2"/>
      <c r="G1755" s="2"/>
      <c r="H1755" s="2"/>
      <c r="I1755" s="2"/>
      <c r="J1755" s="2"/>
      <c r="K1755" s="2"/>
      <c r="L1755" s="2"/>
    </row>
    <row r="1756" spans="1:12" customFormat="1" ht="16" x14ac:dyDescent="0.2">
      <c r="A1756" t="s">
        <v>333</v>
      </c>
      <c r="B1756" s="2">
        <f>INDEX(Parameters!$B$6:$AL$54,MATCH(Inventories!$B$1729,Parameters!$A$6:$A$54,0),MATCH(Inventories!$A1756,Parameters!$B$4:$AL$4,0))</f>
        <v>0</v>
      </c>
      <c r="C1756" t="s">
        <v>8</v>
      </c>
      <c r="D1756" s="2"/>
      <c r="E1756" s="2"/>
      <c r="F1756" s="2"/>
      <c r="G1756" s="2"/>
      <c r="H1756" s="2"/>
      <c r="I1756" s="2"/>
      <c r="J1756" s="2"/>
      <c r="K1756" s="2"/>
      <c r="L1756" s="2"/>
    </row>
    <row r="1757" spans="1:12" customFormat="1" ht="16" x14ac:dyDescent="0.2">
      <c r="A1757" t="s">
        <v>334</v>
      </c>
      <c r="B1757" s="2">
        <f>INDEX(Parameters!$B$6:$AL$54,MATCH(Inventories!$B$1729,Parameters!$A$6:$A$54,0),MATCH(Inventories!$A1757,Parameters!$B$4:$AL$4,0))</f>
        <v>0</v>
      </c>
      <c r="C1757" t="s">
        <v>8</v>
      </c>
      <c r="D1757" s="2"/>
      <c r="E1757" s="2"/>
      <c r="F1757" s="2"/>
      <c r="G1757" s="2"/>
      <c r="H1757" s="2"/>
      <c r="I1757" s="2"/>
      <c r="J1757" s="2"/>
      <c r="K1757" s="2"/>
      <c r="L1757" s="2"/>
    </row>
    <row r="1758" spans="1:12" customFormat="1" ht="16" x14ac:dyDescent="0.2">
      <c r="A1758" t="s">
        <v>335</v>
      </c>
      <c r="B1758" s="2">
        <f>INDEX(Parameters!$B$6:$AL$54,MATCH(Inventories!$B$1729,Parameters!$A$6:$A$54,0),MATCH(Inventories!$A1758,Parameters!$B$4:$AL$4,0))</f>
        <v>0</v>
      </c>
      <c r="C1758" t="s">
        <v>8</v>
      </c>
      <c r="D1758" s="2"/>
      <c r="E1758" s="2"/>
      <c r="F1758" s="2"/>
      <c r="G1758" s="2"/>
      <c r="H1758" s="2"/>
      <c r="I1758" s="2"/>
      <c r="J1758" s="2"/>
      <c r="K1758" s="2"/>
      <c r="L1758" s="2"/>
    </row>
    <row r="1759" spans="1:12" customFormat="1" ht="16" x14ac:dyDescent="0.2">
      <c r="A1759" t="s">
        <v>349</v>
      </c>
      <c r="B1759" s="2">
        <f>INDEX(Parameters!$B$6:$AL$54,MATCH(Inventories!$B$1729,Parameters!$A$6:$A$54,0),MATCH(Inventories!$A1759,Parameters!$B$4:$AL$4,0))</f>
        <v>0</v>
      </c>
      <c r="C1759" t="s">
        <v>315</v>
      </c>
      <c r="D1759" s="2"/>
      <c r="E1759" s="2"/>
      <c r="F1759" s="2"/>
      <c r="G1759" s="2"/>
      <c r="H1759" s="2"/>
      <c r="I1759" s="2"/>
      <c r="J1759" s="2"/>
      <c r="K1759" s="2"/>
      <c r="L1759" s="2"/>
    </row>
    <row r="1760" spans="1:12" customFormat="1" ht="16" x14ac:dyDescent="0.2">
      <c r="A1760" t="s">
        <v>350</v>
      </c>
      <c r="B1760" s="2">
        <f>INDEX(Parameters!$B$6:$AL$54,MATCH(Inventories!$B$1729,Parameters!$A$6:$A$54,0),MATCH(Inventories!$A1760,Parameters!$B$4:$AL$4,0))</f>
        <v>0</v>
      </c>
      <c r="C1760" t="s">
        <v>315</v>
      </c>
      <c r="D1760" s="2"/>
      <c r="E1760" s="12"/>
      <c r="F1760" s="2"/>
      <c r="G1760" s="2"/>
      <c r="H1760" s="2"/>
      <c r="I1760" s="2"/>
      <c r="J1760" s="2"/>
      <c r="K1760" s="2"/>
      <c r="L1760" s="2"/>
    </row>
    <row r="1761" spans="1:12" customFormat="1" ht="16" x14ac:dyDescent="0.2">
      <c r="A1761" t="s">
        <v>351</v>
      </c>
      <c r="B1761" s="2">
        <f>INDEX(Parameters!$B$6:$AL$54,MATCH(Inventories!$B$1729,Parameters!$A$6:$A$54,0),MATCH(Inventories!$A1761,Parameters!$B$4:$AL$4,0))</f>
        <v>0</v>
      </c>
      <c r="C1761" t="s">
        <v>315</v>
      </c>
      <c r="D1761" s="2"/>
      <c r="E1761" s="2"/>
      <c r="F1761" s="2"/>
      <c r="G1761" s="2"/>
      <c r="H1761" s="2"/>
      <c r="I1761" s="2"/>
      <c r="J1761" s="2"/>
      <c r="K1761" s="2"/>
      <c r="L1761" s="2"/>
    </row>
    <row r="1762" spans="1:12" customFormat="1" ht="16" x14ac:dyDescent="0.2">
      <c r="A1762" t="s">
        <v>352</v>
      </c>
      <c r="B1762" s="2">
        <f>INDEX(Parameters!$B$6:$AL$54,MATCH(Inventories!$B$1729,Parameters!$A$6:$A$54,0),MATCH(Inventories!$A1762,Parameters!$B$4:$AL$4,0))</f>
        <v>0</v>
      </c>
      <c r="C1762" t="s">
        <v>8</v>
      </c>
      <c r="D1762" s="2"/>
      <c r="E1762" s="2"/>
      <c r="F1762" s="2"/>
      <c r="G1762" s="2"/>
      <c r="H1762" s="2"/>
      <c r="I1762" s="2"/>
      <c r="J1762" s="2"/>
      <c r="K1762" s="2"/>
      <c r="L1762" s="2"/>
    </row>
    <row r="1763" spans="1:12" customFormat="1" ht="16" x14ac:dyDescent="0.2">
      <c r="A1763" t="s">
        <v>353</v>
      </c>
      <c r="B1763" s="2">
        <f>INDEX(Parameters!$B$6:$AL$54,MATCH(Inventories!$B$1729,Parameters!$A$6:$A$54,0),MATCH(Inventories!$A1763,Parameters!$B$4:$AL$4,0))</f>
        <v>0</v>
      </c>
      <c r="C1763" t="s">
        <v>8</v>
      </c>
      <c r="D1763" s="2"/>
      <c r="E1763" s="2"/>
      <c r="F1763" s="2"/>
      <c r="G1763" s="2"/>
      <c r="H1763" s="2"/>
      <c r="I1763" s="2"/>
      <c r="J1763" s="2"/>
      <c r="K1763" s="2"/>
      <c r="L1763" s="2"/>
    </row>
    <row r="1764" spans="1:12" customFormat="1" ht="16" x14ac:dyDescent="0.2">
      <c r="A1764" t="s">
        <v>354</v>
      </c>
      <c r="B1764" s="2">
        <f>INDEX(Parameters!$B$6:$AL$54,MATCH(Inventories!$B$1729,Parameters!$A$6:$A$54,0),MATCH(Inventories!$A1764,Parameters!$B$4:$AL$4,0))</f>
        <v>0</v>
      </c>
      <c r="C1764" t="s">
        <v>8</v>
      </c>
      <c r="D1764" s="2"/>
      <c r="E1764" s="2"/>
      <c r="F1764" s="2"/>
      <c r="G1764" s="2"/>
      <c r="H1764" s="2"/>
      <c r="I1764" s="2"/>
      <c r="J1764" s="2"/>
      <c r="K1764" s="2"/>
      <c r="L1764" s="2"/>
    </row>
    <row r="1765" spans="1:12" customFormat="1" ht="16" x14ac:dyDescent="0.2">
      <c r="A1765" t="s">
        <v>368</v>
      </c>
      <c r="B1765" s="2">
        <f>INDEX(Parameters!$B$6:$AL$54,MATCH(Inventories!$B$1729,Parameters!$A$6:$A$54,0),MATCH(Inventories!$A1765,Parameters!$B$4:$AL$4,0))</f>
        <v>0</v>
      </c>
      <c r="C1765" t="s">
        <v>339</v>
      </c>
      <c r="D1765" s="2"/>
      <c r="E1765" s="2"/>
      <c r="F1765" s="2"/>
      <c r="G1765" s="2"/>
      <c r="H1765" s="2"/>
      <c r="I1765" s="2"/>
      <c r="J1765" s="2"/>
      <c r="K1765" s="2"/>
      <c r="L1765" s="2"/>
    </row>
    <row r="1766" spans="1:12" customFormat="1" ht="16" x14ac:dyDescent="0.2">
      <c r="A1766" t="s">
        <v>369</v>
      </c>
      <c r="B1766" s="2">
        <f>INDEX(Parameters!$B$6:$AL$54,MATCH(Inventories!$B$1729,Parameters!$A$6:$A$54,0),MATCH(Inventories!$A1766,Parameters!$B$4:$AL$4,0))</f>
        <v>0</v>
      </c>
      <c r="C1766" t="s">
        <v>339</v>
      </c>
      <c r="D1766" s="2"/>
      <c r="E1766" s="2"/>
      <c r="F1766" s="2"/>
      <c r="G1766" s="2"/>
      <c r="H1766" s="2"/>
      <c r="I1766" s="2"/>
      <c r="J1766" s="2"/>
      <c r="K1766" s="2"/>
      <c r="L1766" s="2"/>
    </row>
    <row r="1767" spans="1:12" customFormat="1" ht="16" x14ac:dyDescent="0.2">
      <c r="A1767" t="s">
        <v>370</v>
      </c>
      <c r="B1767" s="2">
        <f>INDEX(Parameters!$B$6:$AL$54,MATCH(Inventories!$B$1729,Parameters!$A$6:$A$54,0),MATCH(Inventories!$A1767,Parameters!$B$4:$AL$4,0))</f>
        <v>0</v>
      </c>
      <c r="C1767" t="s">
        <v>339</v>
      </c>
      <c r="D1767" s="2"/>
      <c r="E1767" s="2"/>
      <c r="F1767" s="2"/>
      <c r="G1767" s="2"/>
      <c r="H1767" s="2"/>
      <c r="I1767" s="2"/>
      <c r="J1767" s="2"/>
      <c r="K1767" s="2"/>
      <c r="L1767" s="2"/>
    </row>
    <row r="1768" spans="1:12" customFormat="1" ht="16" x14ac:dyDescent="0.2">
      <c r="A1768" t="s">
        <v>371</v>
      </c>
      <c r="B1768" s="2">
        <f>INDEX(Parameters!$B$6:$AL$54,MATCH(Inventories!$B$1729,Parameters!$A$6:$A$54,0),MATCH(Inventories!$A1768,Parameters!$B$4:$AL$4,0))</f>
        <v>0</v>
      </c>
      <c r="C1768" t="s">
        <v>339</v>
      </c>
      <c r="D1768" s="2"/>
      <c r="E1768" s="2"/>
      <c r="F1768" s="2"/>
      <c r="G1768" s="2"/>
      <c r="H1768" s="2"/>
      <c r="I1768" s="2"/>
      <c r="J1768" s="2"/>
      <c r="K1768" s="2"/>
      <c r="L1768" s="2"/>
    </row>
    <row r="1769" spans="1:12" customFormat="1" ht="16" x14ac:dyDescent="0.2">
      <c r="A1769" t="s">
        <v>372</v>
      </c>
      <c r="B1769" s="2">
        <f>INDEX(Parameters!$B$6:$AL$54,MATCH(Inventories!$B$1729,Parameters!$A$6:$A$54,0),MATCH(Inventories!$A1769,Parameters!$B$4:$AL$4,0))</f>
        <v>0</v>
      </c>
      <c r="C1769" t="s">
        <v>339</v>
      </c>
      <c r="D1769" s="2"/>
      <c r="E1769" s="2"/>
      <c r="F1769" s="2"/>
      <c r="G1769" s="2"/>
      <c r="H1769" s="2"/>
      <c r="I1769" s="2"/>
      <c r="J1769" s="2"/>
      <c r="K1769" s="2"/>
      <c r="L1769" s="2"/>
    </row>
    <row r="1770" spans="1:12" customFormat="1" ht="16" x14ac:dyDescent="0.2">
      <c r="A1770" t="s">
        <v>347</v>
      </c>
      <c r="B1770" s="12">
        <f>INDEX(Parameters!$B$6:$AL$54,MATCH(Inventories!$B$1729,Parameters!$A$6:$A$54,0),MATCH(Inventories!$A1770,Parameters!$B$4:$AL$4,0))</f>
        <v>7.5871860000000001E-3</v>
      </c>
      <c r="C1770" t="s">
        <v>348</v>
      </c>
      <c r="D1770" s="2"/>
      <c r="E1770" s="2"/>
      <c r="F1770" s="2"/>
      <c r="G1770" s="2"/>
      <c r="H1770" s="2"/>
      <c r="I1770" s="2"/>
      <c r="J1770" s="2"/>
      <c r="K1770" s="2"/>
      <c r="L1770" s="2"/>
    </row>
    <row r="1771" spans="1:12" customFormat="1" ht="16" x14ac:dyDescent="0.2">
      <c r="A1771" t="s">
        <v>346</v>
      </c>
      <c r="B1771" s="12">
        <f>INDEX(Parameters!$B$6:$AL$54,MATCH(Inventories!$B$1729,Parameters!$A$6:$A$54,0),MATCH(Inventories!$A1771,Parameters!$B$4:$AL$4,0))</f>
        <v>2.21361E-4</v>
      </c>
      <c r="C1771" t="s">
        <v>348</v>
      </c>
      <c r="D1771" s="2"/>
      <c r="E1771" s="2"/>
      <c r="F1771" s="2"/>
      <c r="G1771" s="2"/>
      <c r="H1771" s="2"/>
      <c r="I1771" s="2"/>
      <c r="J1771" s="2"/>
      <c r="K1771" s="2"/>
      <c r="L1771" s="2"/>
    </row>
    <row r="1772" spans="1:12" customFormat="1" ht="16" x14ac:dyDescent="0.2">
      <c r="A1772" s="1" t="s">
        <v>10</v>
      </c>
      <c r="B1772" s="2"/>
      <c r="C1772" s="2"/>
      <c r="D1772" s="2"/>
      <c r="E1772" s="2"/>
      <c r="F1772" s="2"/>
      <c r="G1772" s="2"/>
      <c r="H1772" s="2"/>
      <c r="I1772" s="2"/>
      <c r="J1772" s="2"/>
      <c r="K1772" s="2"/>
      <c r="L1772" s="2"/>
    </row>
    <row r="1773" spans="1:12" x14ac:dyDescent="0.2">
      <c r="A1773" s="17" t="s">
        <v>11</v>
      </c>
      <c r="B1773" s="17" t="s">
        <v>12</v>
      </c>
      <c r="C1773" s="17" t="s">
        <v>3</v>
      </c>
      <c r="D1773" s="17" t="s">
        <v>13</v>
      </c>
      <c r="E1773" s="17" t="s">
        <v>8</v>
      </c>
      <c r="F1773" s="17" t="s">
        <v>6</v>
      </c>
      <c r="G1773" s="17" t="s">
        <v>5</v>
      </c>
      <c r="H1773" s="17" t="s">
        <v>153</v>
      </c>
      <c r="I1773" s="17" t="s">
        <v>182</v>
      </c>
      <c r="J1773" s="17" t="s">
        <v>183</v>
      </c>
      <c r="K1773" s="17" t="s">
        <v>184</v>
      </c>
      <c r="L1773" s="17" t="s">
        <v>185</v>
      </c>
    </row>
    <row r="1774" spans="1:12" customFormat="1" ht="16" x14ac:dyDescent="0.2">
      <c r="A1774" s="2" t="str">
        <f>B1729</f>
        <v>diesel, synthetic, burned in passenger car</v>
      </c>
      <c r="B1774" s="2">
        <v>1</v>
      </c>
      <c r="C1774" s="2" t="str">
        <f>B1730</f>
        <v>RER</v>
      </c>
      <c r="D1774" s="2"/>
      <c r="E1774" s="2" t="str">
        <f>B1734</f>
        <v>megajoule</v>
      </c>
      <c r="F1774" s="2" t="s">
        <v>19</v>
      </c>
      <c r="G1774" s="2" t="str">
        <f>B1732</f>
        <v>heat</v>
      </c>
      <c r="H1774" s="2"/>
      <c r="I1774" s="2"/>
      <c r="J1774" s="2"/>
      <c r="K1774" s="2"/>
      <c r="L1774" s="2"/>
    </row>
    <row r="1775" spans="1:12" customFormat="1" ht="16" x14ac:dyDescent="0.2">
      <c r="A1775" s="2" t="s">
        <v>276</v>
      </c>
      <c r="B1775" s="25">
        <f>1/43</f>
        <v>2.3255813953488372E-2</v>
      </c>
      <c r="C1775" t="s">
        <v>18</v>
      </c>
      <c r="E1775" t="s">
        <v>9</v>
      </c>
      <c r="F1775" t="s">
        <v>23</v>
      </c>
      <c r="G1775" t="s">
        <v>277</v>
      </c>
      <c r="H1775" s="2"/>
      <c r="I1775" s="2"/>
      <c r="J1775" s="2"/>
      <c r="K1775" s="2"/>
    </row>
    <row r="1776" spans="1:12" customFormat="1" ht="16" x14ac:dyDescent="0.2">
      <c r="A1776" s="2" t="s">
        <v>144</v>
      </c>
      <c r="B1776" s="27">
        <f>(B1747/B1738)/(B1741/1000)</f>
        <v>3.7555555555555557E-4</v>
      </c>
      <c r="C1776" t="s">
        <v>114</v>
      </c>
      <c r="E1776" t="s">
        <v>9</v>
      </c>
      <c r="F1776" t="s">
        <v>23</v>
      </c>
      <c r="G1776" t="s">
        <v>145</v>
      </c>
      <c r="I1776" s="2">
        <v>5</v>
      </c>
      <c r="J1776" s="27">
        <f>B1776</f>
        <v>3.7555555555555557E-4</v>
      </c>
      <c r="K1776" s="3">
        <f>(B1748/B1740)/(B1743/1000)</f>
        <v>1.5310344827586207E-4</v>
      </c>
      <c r="L1776" s="3">
        <f>(B1749/B1739)/(B1742/1000)</f>
        <v>8.0833333333333332E-4</v>
      </c>
    </row>
    <row r="1777" spans="1:12" customFormat="1" ht="16" x14ac:dyDescent="0.2">
      <c r="A1777" s="2" t="s">
        <v>361</v>
      </c>
      <c r="B1777" s="3">
        <f>(B1750/B1738)/(B1741/1000)</f>
        <v>1.0666666666666667E-4</v>
      </c>
      <c r="C1777" t="s">
        <v>114</v>
      </c>
      <c r="E1777" t="s">
        <v>9</v>
      </c>
      <c r="F1777" t="s">
        <v>23</v>
      </c>
      <c r="G1777" s="2" t="s">
        <v>360</v>
      </c>
      <c r="H1777" s="2" t="s">
        <v>364</v>
      </c>
      <c r="I1777">
        <v>5</v>
      </c>
      <c r="J1777" s="27">
        <f>B1777</f>
        <v>1.0666666666666667E-4</v>
      </c>
      <c r="K1777" s="3">
        <f>(B1751/B1740)/(B1743/1000)</f>
        <v>4.1379310344827587E-5</v>
      </c>
      <c r="L1777" s="3">
        <f>(B1752/B1739)/(B1742/1000)</f>
        <v>1.9999999999999998E-4</v>
      </c>
    </row>
    <row r="1778" spans="1:12" customFormat="1" ht="16" x14ac:dyDescent="0.2">
      <c r="A1778" s="2" t="s">
        <v>362</v>
      </c>
      <c r="B1778" s="3">
        <f>B1777</f>
        <v>1.0666666666666667E-4</v>
      </c>
      <c r="C1778" t="s">
        <v>114</v>
      </c>
      <c r="E1778" t="s">
        <v>9</v>
      </c>
      <c r="F1778" t="s">
        <v>23</v>
      </c>
      <c r="G1778" s="2" t="s">
        <v>363</v>
      </c>
      <c r="H1778" s="2" t="s">
        <v>364</v>
      </c>
      <c r="I1778">
        <v>5</v>
      </c>
      <c r="J1778" s="27">
        <f>B1778</f>
        <v>1.0666666666666667E-4</v>
      </c>
      <c r="K1778" s="3">
        <f>K1777</f>
        <v>4.1379310344827587E-5</v>
      </c>
      <c r="L1778" s="3">
        <f>L1777</f>
        <v>1.9999999999999998E-4</v>
      </c>
    </row>
    <row r="1779" spans="1:12" customFormat="1" ht="16" x14ac:dyDescent="0.2">
      <c r="A1779" t="s">
        <v>45</v>
      </c>
      <c r="B1779" s="3">
        <v>7.1455665432553858E-7</v>
      </c>
      <c r="D1779" t="s">
        <v>14</v>
      </c>
      <c r="E1779" t="s">
        <v>9</v>
      </c>
      <c r="F1779" s="2" t="s">
        <v>15</v>
      </c>
      <c r="H1779" s="2"/>
      <c r="I1779" s="2"/>
      <c r="J1779" s="2"/>
      <c r="K1779" s="2"/>
    </row>
    <row r="1780" spans="1:12" customFormat="1" ht="16" x14ac:dyDescent="0.2">
      <c r="A1780" t="s">
        <v>46</v>
      </c>
      <c r="B1780" s="3">
        <v>3.2468920124586623E-7</v>
      </c>
      <c r="D1780" t="s">
        <v>14</v>
      </c>
      <c r="E1780" t="s">
        <v>9</v>
      </c>
      <c r="F1780" s="2" t="s">
        <v>15</v>
      </c>
      <c r="H1780" s="2"/>
      <c r="I1780" s="2"/>
      <c r="J1780" s="2"/>
      <c r="K1780" s="2"/>
    </row>
    <row r="1781" spans="1:12" customFormat="1" ht="16" x14ac:dyDescent="0.2">
      <c r="A1781" t="s">
        <v>47</v>
      </c>
      <c r="B1781" s="3">
        <v>3.9534349472964383E-7</v>
      </c>
      <c r="D1781" t="s">
        <v>14</v>
      </c>
      <c r="E1781" t="s">
        <v>9</v>
      </c>
      <c r="F1781" s="2" t="s">
        <v>15</v>
      </c>
      <c r="H1781" s="2"/>
      <c r="I1781" s="2"/>
      <c r="J1781" s="2"/>
      <c r="K1781" s="2"/>
    </row>
    <row r="1782" spans="1:12" customFormat="1" ht="16" x14ac:dyDescent="0.2">
      <c r="A1782" t="s">
        <v>48</v>
      </c>
      <c r="B1782" s="3">
        <v>3.7209280955662761E-7</v>
      </c>
      <c r="D1782" t="s">
        <v>14</v>
      </c>
      <c r="E1782" t="s">
        <v>9</v>
      </c>
      <c r="F1782" s="2" t="s">
        <v>15</v>
      </c>
      <c r="H1782" s="2"/>
      <c r="I1782" s="2"/>
      <c r="J1782" s="2"/>
      <c r="K1782" s="2"/>
    </row>
    <row r="1783" spans="1:12" customFormat="1" ht="16" x14ac:dyDescent="0.2">
      <c r="A1783" t="s">
        <v>49</v>
      </c>
      <c r="B1783" s="3">
        <v>9.4995966427857817E-8</v>
      </c>
      <c r="D1783" t="s">
        <v>14</v>
      </c>
      <c r="E1783" t="s">
        <v>9</v>
      </c>
      <c r="F1783" s="2" t="s">
        <v>15</v>
      </c>
      <c r="H1783" s="2"/>
      <c r="I1783" s="2"/>
      <c r="J1783" s="2"/>
      <c r="K1783" s="2"/>
    </row>
    <row r="1784" spans="1:12" customFormat="1" ht="16" x14ac:dyDescent="0.2">
      <c r="A1784" t="s">
        <v>50</v>
      </c>
      <c r="B1784" s="3">
        <v>2.186743705223342E-7</v>
      </c>
      <c r="D1784" t="s">
        <v>14</v>
      </c>
      <c r="E1784" t="s">
        <v>9</v>
      </c>
      <c r="F1784" s="2" t="s">
        <v>15</v>
      </c>
      <c r="H1784" s="2"/>
      <c r="I1784" s="2"/>
      <c r="J1784" s="2"/>
      <c r="K1784" s="2"/>
    </row>
    <row r="1785" spans="1:12" customFormat="1" ht="16" x14ac:dyDescent="0.2">
      <c r="A1785" t="s">
        <v>51</v>
      </c>
      <c r="B1785" s="3">
        <v>1.2147463123534157E-8</v>
      </c>
      <c r="D1785" t="s">
        <v>14</v>
      </c>
      <c r="E1785" t="s">
        <v>9</v>
      </c>
      <c r="F1785" s="2" t="s">
        <v>15</v>
      </c>
      <c r="H1785" s="2"/>
      <c r="I1785" s="2"/>
      <c r="J1785" s="2"/>
      <c r="K1785" s="2"/>
    </row>
    <row r="1786" spans="1:12" customFormat="1" ht="16" x14ac:dyDescent="0.2">
      <c r="A1786" t="s">
        <v>52</v>
      </c>
      <c r="B1786" s="3">
        <v>2.3255800597289225E-10</v>
      </c>
      <c r="D1786" t="s">
        <v>14</v>
      </c>
      <c r="E1786" t="s">
        <v>9</v>
      </c>
      <c r="F1786" s="2" t="s">
        <v>15</v>
      </c>
      <c r="H1786" s="2"/>
      <c r="I1786" s="2"/>
      <c r="J1786" s="2"/>
      <c r="K1786" s="2"/>
    </row>
    <row r="1787" spans="1:12" customFormat="1" ht="16" x14ac:dyDescent="0.2">
      <c r="A1787" t="s">
        <v>123</v>
      </c>
      <c r="B1787" s="25">
        <f>B1775*3.15</f>
        <v>7.3255813953488375E-2</v>
      </c>
      <c r="D1787" t="s">
        <v>14</v>
      </c>
      <c r="E1787" t="s">
        <v>9</v>
      </c>
      <c r="F1787" s="2" t="s">
        <v>15</v>
      </c>
      <c r="H1787" s="2"/>
      <c r="I1787" s="2"/>
      <c r="J1787" s="2"/>
      <c r="K1787" s="2"/>
    </row>
    <row r="1788" spans="1:12" customFormat="1" ht="16" x14ac:dyDescent="0.2">
      <c r="A1788" t="s">
        <v>124</v>
      </c>
      <c r="B1788" s="3">
        <v>2.1069404153243686E-5</v>
      </c>
      <c r="D1788" t="s">
        <v>14</v>
      </c>
      <c r="E1788" t="s">
        <v>9</v>
      </c>
      <c r="F1788" s="2" t="s">
        <v>15</v>
      </c>
      <c r="H1788" s="2"/>
      <c r="I1788" s="2"/>
      <c r="J1788" s="2"/>
      <c r="K1788" s="2"/>
    </row>
    <row r="1789" spans="1:12" customFormat="1" ht="16" x14ac:dyDescent="0.2">
      <c r="A1789" t="s">
        <v>55</v>
      </c>
      <c r="B1789" s="3">
        <v>1.1627900298644613E-9</v>
      </c>
      <c r="D1789" t="s">
        <v>14</v>
      </c>
      <c r="E1789" t="s">
        <v>9</v>
      </c>
      <c r="F1789" s="2" t="s">
        <v>15</v>
      </c>
      <c r="H1789" s="2"/>
      <c r="I1789" s="2"/>
      <c r="J1789" s="2"/>
      <c r="K1789" s="2"/>
    </row>
    <row r="1790" spans="1:12" customFormat="1" ht="16" x14ac:dyDescent="0.2">
      <c r="A1790" t="s">
        <v>56</v>
      </c>
      <c r="B1790" s="3">
        <v>2.3255800597289222E-12</v>
      </c>
      <c r="D1790" t="s">
        <v>14</v>
      </c>
      <c r="E1790" t="s">
        <v>9</v>
      </c>
      <c r="F1790" s="2" t="s">
        <v>15</v>
      </c>
      <c r="H1790" s="2"/>
      <c r="I1790" s="2"/>
      <c r="J1790" s="2"/>
      <c r="K1790" s="2"/>
    </row>
    <row r="1791" spans="1:12" customFormat="1" ht="16" x14ac:dyDescent="0.2">
      <c r="A1791" t="s">
        <v>57</v>
      </c>
      <c r="B1791" s="3">
        <v>3.9534861015391682E-8</v>
      </c>
      <c r="D1791" t="s">
        <v>14</v>
      </c>
      <c r="E1791" t="s">
        <v>9</v>
      </c>
      <c r="F1791" s="2" t="s">
        <v>15</v>
      </c>
      <c r="H1791" s="2"/>
      <c r="I1791" s="2"/>
      <c r="J1791" s="2"/>
      <c r="K1791" s="2"/>
    </row>
    <row r="1792" spans="1:12" customFormat="1" ht="16" x14ac:dyDescent="0.2">
      <c r="A1792" t="s">
        <v>152</v>
      </c>
      <c r="B1792" s="3">
        <v>7.1789570411210658E-8</v>
      </c>
      <c r="D1792" t="s">
        <v>14</v>
      </c>
      <c r="E1792" t="s">
        <v>9</v>
      </c>
      <c r="F1792" s="2" t="s">
        <v>15</v>
      </c>
      <c r="H1792" s="2"/>
      <c r="I1792" s="2"/>
      <c r="J1792" s="2"/>
      <c r="K1792" s="2"/>
    </row>
    <row r="1793" spans="1:11" customFormat="1" ht="16" x14ac:dyDescent="0.2">
      <c r="A1793" t="s">
        <v>58</v>
      </c>
      <c r="B1793" s="3">
        <v>1.1627900298644611E-6</v>
      </c>
      <c r="D1793" t="s">
        <v>14</v>
      </c>
      <c r="E1793" t="s">
        <v>9</v>
      </c>
      <c r="F1793" s="2" t="s">
        <v>15</v>
      </c>
      <c r="H1793" s="2"/>
      <c r="I1793" s="2"/>
      <c r="J1793" s="2"/>
      <c r="K1793" s="2"/>
    </row>
    <row r="1794" spans="1:11" customFormat="1" ht="16" x14ac:dyDescent="0.2">
      <c r="A1794" t="s">
        <v>59</v>
      </c>
      <c r="B1794" s="3">
        <v>3.646242366932188E-8</v>
      </c>
      <c r="D1794" t="s">
        <v>14</v>
      </c>
      <c r="E1794" t="s">
        <v>9</v>
      </c>
      <c r="F1794" s="2" t="s">
        <v>15</v>
      </c>
      <c r="H1794" s="2"/>
      <c r="I1794" s="2"/>
      <c r="J1794" s="2"/>
      <c r="K1794" s="2"/>
    </row>
    <row r="1795" spans="1:11" customFormat="1" ht="16" x14ac:dyDescent="0.2">
      <c r="A1795" t="s">
        <v>60</v>
      </c>
      <c r="B1795" s="3">
        <v>1.2114072625668476E-6</v>
      </c>
      <c r="D1795" t="s">
        <v>14</v>
      </c>
      <c r="E1795" t="s">
        <v>9</v>
      </c>
      <c r="F1795" s="2" t="s">
        <v>15</v>
      </c>
      <c r="H1795" s="2"/>
      <c r="I1795" s="2"/>
      <c r="J1795" s="2"/>
      <c r="K1795" s="2"/>
    </row>
    <row r="1796" spans="1:11" customFormat="1" ht="16" x14ac:dyDescent="0.2">
      <c r="A1796" t="s">
        <v>61</v>
      </c>
      <c r="B1796" s="3">
        <v>1.3252688602888143E-6</v>
      </c>
      <c r="D1796" t="s">
        <v>14</v>
      </c>
      <c r="E1796" t="s">
        <v>9</v>
      </c>
      <c r="F1796" s="2" t="s">
        <v>15</v>
      </c>
      <c r="H1796" s="2"/>
      <c r="I1796" s="2"/>
      <c r="J1796" s="2"/>
      <c r="K1796" s="2"/>
    </row>
    <row r="1797" spans="1:11" customFormat="1" ht="16" x14ac:dyDescent="0.2">
      <c r="A1797" t="s">
        <v>62</v>
      </c>
      <c r="B1797" s="3">
        <v>2.2087814338146904E-8</v>
      </c>
      <c r="D1797" t="s">
        <v>14</v>
      </c>
      <c r="E1797" t="s">
        <v>9</v>
      </c>
      <c r="F1797" s="2" t="s">
        <v>15</v>
      </c>
      <c r="H1797" s="2"/>
      <c r="I1797" s="2"/>
      <c r="J1797" s="2"/>
      <c r="K1797" s="2"/>
    </row>
    <row r="1798" spans="1:11" customFormat="1" ht="16" x14ac:dyDescent="0.2">
      <c r="A1798" t="s">
        <v>63</v>
      </c>
      <c r="B1798" s="3">
        <v>1.9186035492763611E-15</v>
      </c>
      <c r="D1798" t="s">
        <v>14</v>
      </c>
      <c r="E1798" t="s">
        <v>9</v>
      </c>
      <c r="F1798" s="2" t="s">
        <v>15</v>
      </c>
      <c r="H1798" s="2"/>
      <c r="I1798" s="2"/>
      <c r="J1798" s="2"/>
      <c r="K1798" s="2"/>
    </row>
    <row r="1799" spans="1:11" customFormat="1" ht="16" x14ac:dyDescent="0.2">
      <c r="A1799" t="s">
        <v>64</v>
      </c>
      <c r="B1799" s="3">
        <v>4.6511601194578451E-13</v>
      </c>
      <c r="D1799" t="s">
        <v>14</v>
      </c>
      <c r="E1799" t="s">
        <v>9</v>
      </c>
      <c r="F1799" s="2" t="s">
        <v>15</v>
      </c>
      <c r="H1799" s="2"/>
      <c r="I1799" s="2"/>
      <c r="J1799" s="2"/>
      <c r="K1799" s="2"/>
    </row>
    <row r="1800" spans="1:11" customFormat="1" ht="16" x14ac:dyDescent="0.2">
      <c r="A1800" t="s">
        <v>180</v>
      </c>
      <c r="B1800" s="3">
        <v>6.6447090752701953E-7</v>
      </c>
      <c r="D1800" t="s">
        <v>14</v>
      </c>
      <c r="E1800" t="s">
        <v>9</v>
      </c>
      <c r="F1800" s="2" t="s">
        <v>15</v>
      </c>
      <c r="H1800" s="2"/>
      <c r="I1800" s="2"/>
      <c r="J1800" s="2"/>
      <c r="K1800" s="2"/>
    </row>
    <row r="1801" spans="1:11" customFormat="1" ht="16" x14ac:dyDescent="0.2">
      <c r="A1801" t="s">
        <v>66</v>
      </c>
      <c r="B1801" s="3">
        <v>1.3252688602888143E-7</v>
      </c>
      <c r="D1801" t="s">
        <v>14</v>
      </c>
      <c r="E1801" t="s">
        <v>9</v>
      </c>
      <c r="F1801" s="2" t="s">
        <v>15</v>
      </c>
      <c r="H1801" s="2"/>
      <c r="I1801" s="2"/>
      <c r="J1801" s="2"/>
      <c r="K1801" s="2"/>
    </row>
    <row r="1802" spans="1:11" customFormat="1" ht="16" x14ac:dyDescent="0.2">
      <c r="A1802" t="s">
        <v>67</v>
      </c>
      <c r="B1802" s="3">
        <v>5.8566933256401625E-6</v>
      </c>
      <c r="D1802" t="s">
        <v>14</v>
      </c>
      <c r="E1802" t="s">
        <v>9</v>
      </c>
      <c r="F1802" s="2" t="s">
        <v>15</v>
      </c>
      <c r="H1802" s="2"/>
      <c r="I1802" s="2"/>
      <c r="J1802" s="2"/>
      <c r="K1802" s="2"/>
    </row>
    <row r="1803" spans="1:11" customFormat="1" ht="16" x14ac:dyDescent="0.2">
      <c r="A1803" t="s">
        <v>68</v>
      </c>
      <c r="B1803" s="3">
        <v>1.6279060418102458E-9</v>
      </c>
      <c r="D1803" t="s">
        <v>14</v>
      </c>
      <c r="E1803" t="s">
        <v>9</v>
      </c>
      <c r="F1803" s="2" t="s">
        <v>15</v>
      </c>
      <c r="H1803" s="2"/>
      <c r="I1803" s="2"/>
      <c r="J1803" s="2"/>
      <c r="K1803" s="2"/>
    </row>
    <row r="1804" spans="1:11" customFormat="1" ht="16" x14ac:dyDescent="0.2">
      <c r="A1804" t="s">
        <v>69</v>
      </c>
      <c r="B1804" s="3">
        <f>B1770/1000</f>
        <v>7.587186E-6</v>
      </c>
      <c r="D1804" t="s">
        <v>14</v>
      </c>
      <c r="E1804" t="s">
        <v>9</v>
      </c>
      <c r="F1804" s="2" t="s">
        <v>15</v>
      </c>
      <c r="H1804" s="2"/>
      <c r="I1804" s="2"/>
      <c r="J1804" s="2"/>
      <c r="K1804" s="2"/>
    </row>
    <row r="1805" spans="1:11" customFormat="1" ht="16" x14ac:dyDescent="0.2">
      <c r="A1805" t="s">
        <v>70</v>
      </c>
      <c r="B1805" s="3">
        <v>4.2883696301401334E-9</v>
      </c>
      <c r="D1805" t="s">
        <v>14</v>
      </c>
      <c r="E1805" t="s">
        <v>9</v>
      </c>
      <c r="F1805" s="2" t="s">
        <v>15</v>
      </c>
      <c r="H1805" s="2"/>
      <c r="I1805" s="2"/>
      <c r="J1805" s="2"/>
      <c r="K1805" s="2"/>
    </row>
    <row r="1806" spans="1:11" customFormat="1" ht="16" x14ac:dyDescent="0.2">
      <c r="A1806" t="s">
        <v>71</v>
      </c>
      <c r="B1806" s="3">
        <f>B1771/1000</f>
        <v>2.2136099999999999E-7</v>
      </c>
      <c r="D1806" t="s">
        <v>14</v>
      </c>
      <c r="E1806" t="s">
        <v>9</v>
      </c>
      <c r="F1806" s="2" t="s">
        <v>15</v>
      </c>
      <c r="H1806" s="2"/>
      <c r="I1806" s="2"/>
      <c r="J1806" s="2"/>
      <c r="K1806" s="2"/>
    </row>
    <row r="1807" spans="1:11" customFormat="1" ht="16" x14ac:dyDescent="0.2">
      <c r="A1807" t="s">
        <v>72</v>
      </c>
      <c r="B1807" s="3">
        <v>4.417562867629381E-9</v>
      </c>
      <c r="D1807" t="s">
        <v>14</v>
      </c>
      <c r="E1807" t="s">
        <v>9</v>
      </c>
      <c r="F1807" s="2" t="s">
        <v>15</v>
      </c>
      <c r="H1807" s="2"/>
      <c r="I1807" s="2"/>
      <c r="J1807" s="2"/>
      <c r="K1807" s="2"/>
    </row>
    <row r="1808" spans="1:11" customFormat="1" ht="16" x14ac:dyDescent="0.2">
      <c r="A1808" t="s">
        <v>73</v>
      </c>
      <c r="B1808" s="3">
        <v>1.2147463123534157E-8</v>
      </c>
      <c r="D1808" t="s">
        <v>14</v>
      </c>
      <c r="E1808" t="s">
        <v>9</v>
      </c>
      <c r="F1808" s="2" t="s">
        <v>15</v>
      </c>
      <c r="H1808" s="2"/>
      <c r="I1808" s="2"/>
      <c r="J1808" s="2"/>
      <c r="K1808" s="2"/>
    </row>
    <row r="1809" spans="1:12" customFormat="1" ht="16" x14ac:dyDescent="0.2">
      <c r="A1809" t="s">
        <v>74</v>
      </c>
      <c r="B1809" s="3">
        <v>3.9768082958024133E-7</v>
      </c>
      <c r="D1809" t="s">
        <v>14</v>
      </c>
      <c r="E1809" t="s">
        <v>9</v>
      </c>
      <c r="F1809" s="2" t="s">
        <v>15</v>
      </c>
      <c r="H1809" s="2"/>
      <c r="I1809" s="2"/>
      <c r="J1809" s="2"/>
      <c r="K1809" s="2"/>
    </row>
    <row r="1810" spans="1:12" customFormat="1" ht="16" x14ac:dyDescent="0.2">
      <c r="A1810" t="s">
        <v>75</v>
      </c>
      <c r="B1810" s="3">
        <v>2.3255800597289225E-10</v>
      </c>
      <c r="D1810" t="s">
        <v>14</v>
      </c>
      <c r="E1810" t="s">
        <v>9</v>
      </c>
      <c r="F1810" s="2" t="s">
        <v>15</v>
      </c>
      <c r="H1810" s="2"/>
      <c r="I1810" s="2"/>
      <c r="J1810" s="2"/>
      <c r="K1810" s="2"/>
    </row>
    <row r="1811" spans="1:12" customFormat="1" ht="16" x14ac:dyDescent="0.2">
      <c r="A1811" t="s">
        <v>76</v>
      </c>
      <c r="B1811" s="3">
        <v>4.0869969387591558E-8</v>
      </c>
      <c r="D1811" t="s">
        <v>14</v>
      </c>
      <c r="E1811" t="s">
        <v>9</v>
      </c>
      <c r="F1811" s="2" t="s">
        <v>15</v>
      </c>
      <c r="H1811" s="2"/>
      <c r="I1811" s="2"/>
      <c r="J1811" s="2"/>
      <c r="K1811" s="2"/>
    </row>
    <row r="1812" spans="1:12" customFormat="1" ht="16" x14ac:dyDescent="0.2">
      <c r="A1812" t="s">
        <v>77</v>
      </c>
      <c r="B1812" s="3">
        <v>4.651160119457845E-7</v>
      </c>
      <c r="D1812" t="s">
        <v>14</v>
      </c>
      <c r="E1812" t="s">
        <v>9</v>
      </c>
      <c r="F1812" s="2" t="s">
        <v>15</v>
      </c>
      <c r="H1812" s="2"/>
      <c r="I1812" s="2"/>
      <c r="J1812" s="2"/>
      <c r="K1812" s="2"/>
    </row>
    <row r="1813" spans="1:12" customFormat="1" ht="16" x14ac:dyDescent="0.2">
      <c r="A1813" t="s">
        <v>78</v>
      </c>
      <c r="B1813" s="3">
        <v>7.619711612948033E-8</v>
      </c>
      <c r="D1813" t="s">
        <v>14</v>
      </c>
      <c r="E1813" t="s">
        <v>9</v>
      </c>
      <c r="F1813" s="2" t="s">
        <v>15</v>
      </c>
      <c r="H1813" s="2"/>
      <c r="I1813" s="2"/>
      <c r="J1813" s="2"/>
      <c r="K1813" s="2"/>
    </row>
    <row r="1814" spans="1:12" customFormat="1" ht="16" x14ac:dyDescent="0.2">
      <c r="A1814" t="s">
        <v>79</v>
      </c>
      <c r="B1814" s="3">
        <v>2.3255800597289226E-8</v>
      </c>
      <c r="D1814" t="s">
        <v>14</v>
      </c>
      <c r="E1814" t="s">
        <v>9</v>
      </c>
      <c r="F1814" s="2" t="s">
        <v>15</v>
      </c>
      <c r="H1814" s="2"/>
      <c r="I1814" s="2"/>
      <c r="J1814" s="2"/>
      <c r="K1814" s="2"/>
    </row>
    <row r="1815" spans="1:12" customFormat="1" ht="16" x14ac:dyDescent="0.2">
      <c r="A1815" t="s">
        <v>80</v>
      </c>
      <c r="B1815" s="3">
        <v>6.7382024692940973E-8</v>
      </c>
      <c r="D1815" t="s">
        <v>14</v>
      </c>
      <c r="E1815" t="s">
        <v>9</v>
      </c>
      <c r="F1815" s="2" t="s">
        <v>15</v>
      </c>
      <c r="H1815" s="2"/>
      <c r="I1815" s="2"/>
      <c r="J1815" s="2"/>
      <c r="K1815" s="2"/>
    </row>
    <row r="1816" spans="1:12" customFormat="1" ht="16" x14ac:dyDescent="0.2">
      <c r="A1816" t="s">
        <v>81</v>
      </c>
      <c r="B1816" s="3">
        <v>2.9821053643838246E-8</v>
      </c>
      <c r="D1816" t="s">
        <v>14</v>
      </c>
      <c r="E1816" t="s">
        <v>9</v>
      </c>
      <c r="F1816" s="2" t="s">
        <v>15</v>
      </c>
      <c r="H1816" s="2"/>
      <c r="I1816" s="2"/>
      <c r="J1816" s="2"/>
      <c r="K1816" s="2"/>
    </row>
    <row r="1817" spans="1:12" customFormat="1" ht="16" x14ac:dyDescent="0.2">
      <c r="B1817" s="3"/>
      <c r="F1817" s="2"/>
      <c r="H1817" s="3"/>
    </row>
    <row r="1818" spans="1:12" x14ac:dyDescent="0.2">
      <c r="A1818" s="17" t="s">
        <v>2</v>
      </c>
      <c r="B1818" s="17" t="s">
        <v>88</v>
      </c>
    </row>
    <row r="1819" spans="1:12" customFormat="1" ht="16" x14ac:dyDescent="0.2">
      <c r="A1819" s="2" t="s">
        <v>3</v>
      </c>
      <c r="B1819" s="2" t="s">
        <v>18</v>
      </c>
      <c r="C1819" s="2"/>
      <c r="D1819" s="2"/>
      <c r="E1819" s="2"/>
      <c r="F1819" s="2"/>
      <c r="G1819" s="2"/>
      <c r="H1819" s="2"/>
      <c r="I1819" s="2"/>
      <c r="J1819" s="2"/>
      <c r="K1819" s="2"/>
      <c r="L1819" s="2"/>
    </row>
    <row r="1820" spans="1:12" customFormat="1" ht="16" x14ac:dyDescent="0.2">
      <c r="A1820" s="2" t="s">
        <v>4</v>
      </c>
      <c r="B1820" s="2">
        <v>1</v>
      </c>
      <c r="C1820" s="2"/>
      <c r="D1820" s="2"/>
      <c r="E1820" s="2"/>
      <c r="F1820" s="2"/>
      <c r="G1820" s="2"/>
      <c r="H1820" s="2"/>
      <c r="I1820" s="2"/>
      <c r="J1820" s="2"/>
      <c r="K1820" s="2"/>
      <c r="L1820" s="2"/>
    </row>
    <row r="1821" spans="1:12" customFormat="1" ht="16" x14ac:dyDescent="0.2">
      <c r="A1821" s="2" t="s">
        <v>5</v>
      </c>
      <c r="B1821" s="2" t="s">
        <v>1</v>
      </c>
      <c r="C1821" s="2"/>
      <c r="D1821" s="2"/>
      <c r="E1821" s="2"/>
      <c r="F1821" s="2"/>
      <c r="G1821" s="2"/>
      <c r="H1821" s="2"/>
      <c r="I1821" s="2"/>
      <c r="J1821" s="2"/>
    </row>
    <row r="1822" spans="1:12" customFormat="1" ht="16" x14ac:dyDescent="0.2">
      <c r="A1822" s="2" t="s">
        <v>6</v>
      </c>
      <c r="B1822" s="2" t="s">
        <v>7</v>
      </c>
      <c r="C1822" s="2"/>
      <c r="D1822" s="2"/>
      <c r="E1822" s="2"/>
      <c r="F1822" s="2"/>
      <c r="G1822" s="2"/>
      <c r="H1822" s="2"/>
      <c r="I1822" s="2"/>
      <c r="J1822" s="2"/>
      <c r="K1822" s="2"/>
      <c r="L1822" s="2"/>
    </row>
    <row r="1823" spans="1:12" customFormat="1" ht="16" x14ac:dyDescent="0.2">
      <c r="A1823" s="2" t="s">
        <v>8</v>
      </c>
      <c r="B1823" s="2" t="s">
        <v>17</v>
      </c>
      <c r="C1823" s="2"/>
      <c r="D1823" s="2"/>
      <c r="E1823" s="2"/>
      <c r="F1823" s="2"/>
      <c r="G1823" s="2"/>
      <c r="H1823" s="2"/>
      <c r="I1823" s="2"/>
      <c r="J1823" s="2"/>
      <c r="K1823" s="2"/>
      <c r="L1823" s="2"/>
    </row>
    <row r="1824" spans="1:12" customFormat="1" ht="16" x14ac:dyDescent="0.2">
      <c r="A1824" t="s">
        <v>355</v>
      </c>
      <c r="B1824" s="2">
        <f>INDEX(Parameters!$B$6:$AL$54,MATCH(Inventories!$B$1818,Parameters!$A$6:$A$54,0),MATCH(Inventories!$A1824,Parameters!$B$4:$AL$4,0))</f>
        <v>126</v>
      </c>
      <c r="C1824" t="s">
        <v>315</v>
      </c>
      <c r="D1824" s="2"/>
      <c r="E1824" s="2"/>
      <c r="F1824" s="2"/>
      <c r="G1824" s="2"/>
      <c r="H1824" s="2"/>
      <c r="I1824" s="2"/>
      <c r="J1824" s="2"/>
      <c r="K1824" s="2"/>
      <c r="L1824" s="2"/>
    </row>
    <row r="1825" spans="1:12" customFormat="1" ht="16" x14ac:dyDescent="0.2">
      <c r="A1825" t="s">
        <v>356</v>
      </c>
      <c r="B1825" s="2">
        <f>INDEX(Parameters!$B$6:$AL$54,MATCH(Inventories!$B$1818,Parameters!$A$6:$A$54,0),MATCH(Inventories!$A1825,Parameters!$B$4:$AL$4,0))</f>
        <v>54</v>
      </c>
      <c r="C1825" t="s">
        <v>315</v>
      </c>
      <c r="D1825" s="2"/>
      <c r="E1825" s="2"/>
      <c r="F1825" s="2"/>
      <c r="G1825" s="2"/>
      <c r="H1825" s="2"/>
      <c r="I1825" s="2"/>
      <c r="J1825" s="2"/>
      <c r="K1825" s="2"/>
      <c r="L1825" s="2"/>
    </row>
    <row r="1826" spans="1:12" customFormat="1" ht="16" x14ac:dyDescent="0.2">
      <c r="A1826" t="s">
        <v>357</v>
      </c>
      <c r="B1826" s="2">
        <f>INDEX(Parameters!$B$6:$AL$54,MATCH(Inventories!$B$1818,Parameters!$A$6:$A$54,0),MATCH(Inventories!$A1826,Parameters!$B$4:$AL$4,0))</f>
        <v>158</v>
      </c>
      <c r="C1826" t="s">
        <v>315</v>
      </c>
      <c r="D1826" s="2"/>
      <c r="E1826" s="2"/>
      <c r="F1826" s="2"/>
      <c r="G1826" s="2"/>
      <c r="H1826" s="2"/>
      <c r="I1826" s="2"/>
      <c r="J1826" s="2"/>
      <c r="K1826" s="2"/>
      <c r="L1826" s="2"/>
    </row>
    <row r="1827" spans="1:12" customFormat="1" ht="16" x14ac:dyDescent="0.2">
      <c r="A1827" t="s">
        <v>319</v>
      </c>
      <c r="B1827" s="24">
        <f>INDEX(Parameters!$B$6:$AL$54,MATCH(Inventories!$B$1818,Parameters!$A$6:$A$54,0),MATCH(Inventories!$A1827,Parameters!$B$4:$AL$4,0))</f>
        <v>200000</v>
      </c>
      <c r="C1827" t="s">
        <v>316</v>
      </c>
      <c r="D1827" s="2"/>
      <c r="E1827" s="2"/>
      <c r="F1827" s="2"/>
      <c r="G1827" s="2"/>
      <c r="H1827" s="2"/>
      <c r="I1827" s="2"/>
      <c r="J1827" s="2"/>
      <c r="K1827" s="2"/>
      <c r="L1827" s="2"/>
    </row>
    <row r="1828" spans="1:12" customFormat="1" ht="16" x14ac:dyDescent="0.2">
      <c r="A1828" t="s">
        <v>320</v>
      </c>
      <c r="B1828" s="24">
        <f>INDEX(Parameters!$B$6:$AL$54,MATCH(Inventories!$B$1818,Parameters!$A$6:$A$54,0),MATCH(Inventories!$A1828,Parameters!$B$4:$AL$4,0))</f>
        <v>160000</v>
      </c>
      <c r="C1828" t="s">
        <v>316</v>
      </c>
      <c r="D1828" s="2"/>
      <c r="E1828" s="2"/>
      <c r="F1828" s="2"/>
      <c r="G1828" s="2"/>
      <c r="H1828" s="2"/>
      <c r="I1828" s="2"/>
      <c r="J1828" s="2"/>
      <c r="K1828" s="2"/>
      <c r="L1828" s="2"/>
    </row>
    <row r="1829" spans="1:12" customFormat="1" ht="16" x14ac:dyDescent="0.2">
      <c r="A1829" t="s">
        <v>321</v>
      </c>
      <c r="B1829" s="24">
        <f>INDEX(Parameters!$B$6:$AL$54,MATCH(Inventories!$B$1818,Parameters!$A$6:$A$54,0),MATCH(Inventories!$A1829,Parameters!$B$4:$AL$4,0))</f>
        <v>250000</v>
      </c>
      <c r="C1829" t="s">
        <v>316</v>
      </c>
      <c r="D1829" s="2"/>
      <c r="E1829" s="2"/>
      <c r="F1829" s="2"/>
      <c r="G1829" s="2"/>
      <c r="H1829" s="2"/>
      <c r="I1829" s="2"/>
      <c r="J1829" s="2"/>
      <c r="K1829" s="2"/>
      <c r="L1829" s="2"/>
    </row>
    <row r="1830" spans="1:12" customFormat="1" ht="16" x14ac:dyDescent="0.2">
      <c r="A1830" t="s">
        <v>322</v>
      </c>
      <c r="B1830" s="2">
        <f>INDEX(Parameters!$B$6:$AL$54,MATCH(Inventories!$B$1818,Parameters!$A$6:$A$54,0),MATCH(Inventories!$A1830,Parameters!$B$4:$AL$4,0))</f>
        <v>2330</v>
      </c>
      <c r="C1830" t="s">
        <v>317</v>
      </c>
      <c r="D1830" s="2"/>
      <c r="E1830" s="2"/>
      <c r="F1830" s="2"/>
      <c r="G1830" s="2"/>
      <c r="H1830" s="2"/>
      <c r="I1830" s="2"/>
      <c r="J1830" s="2"/>
      <c r="K1830" s="2"/>
      <c r="L1830" s="2"/>
    </row>
    <row r="1831" spans="1:12" customFormat="1" ht="16" x14ac:dyDescent="0.2">
      <c r="A1831" t="s">
        <v>323</v>
      </c>
      <c r="B1831" s="2">
        <f>INDEX(Parameters!$B$6:$AL$54,MATCH(Inventories!$B$1818,Parameters!$A$6:$A$54,0),MATCH(Inventories!$A1831,Parameters!$B$4:$AL$4,0))</f>
        <v>1530</v>
      </c>
      <c r="C1831" t="s">
        <v>317</v>
      </c>
      <c r="D1831" s="2"/>
      <c r="E1831" s="2"/>
      <c r="F1831" s="2"/>
      <c r="G1831" s="2"/>
      <c r="H1831" s="2"/>
      <c r="I1831" s="2"/>
      <c r="J1831" s="2"/>
      <c r="K1831" s="2"/>
      <c r="L1831" s="2"/>
    </row>
    <row r="1832" spans="1:12" customFormat="1" ht="16" x14ac:dyDescent="0.2">
      <c r="A1832" t="s">
        <v>324</v>
      </c>
      <c r="B1832" s="2">
        <f>INDEX(Parameters!$B$6:$AL$54,MATCH(Inventories!$B$1818,Parameters!$A$6:$A$54,0),MATCH(Inventories!$A1832,Parameters!$B$4:$AL$4,0))</f>
        <v>3000</v>
      </c>
      <c r="C1832" t="s">
        <v>317</v>
      </c>
      <c r="D1832" s="2"/>
      <c r="E1832" s="2"/>
      <c r="F1832" s="2"/>
      <c r="G1832" s="2"/>
      <c r="H1832" s="2"/>
      <c r="I1832" s="2"/>
      <c r="J1832" s="2"/>
      <c r="K1832" s="2"/>
      <c r="L1832" s="2"/>
    </row>
    <row r="1833" spans="1:12" customFormat="1" ht="16" x14ac:dyDescent="0.2">
      <c r="A1833" t="s">
        <v>340</v>
      </c>
      <c r="B1833" s="2">
        <f>INDEX(Parameters!$B$6:$AL$54,MATCH(Inventories!$B$1818,Parameters!$A$6:$A$54,0),MATCH(Inventories!$A1833,Parameters!$B$4:$AL$4,0))</f>
        <v>0</v>
      </c>
      <c r="C1833" t="s">
        <v>339</v>
      </c>
      <c r="D1833" s="2"/>
      <c r="E1833" s="2"/>
      <c r="F1833" s="2"/>
      <c r="G1833" s="2"/>
      <c r="H1833" s="2"/>
      <c r="I1833" s="2"/>
      <c r="J1833" s="2"/>
      <c r="K1833" s="2"/>
      <c r="L1833" s="2"/>
    </row>
    <row r="1834" spans="1:12" customFormat="1" ht="16" x14ac:dyDescent="0.2">
      <c r="A1834" t="s">
        <v>341</v>
      </c>
      <c r="B1834" s="2">
        <f>INDEX(Parameters!$B$6:$AL$54,MATCH(Inventories!$B$1818,Parameters!$A$6:$A$54,0),MATCH(Inventories!$A1834,Parameters!$B$4:$AL$4,0))</f>
        <v>0</v>
      </c>
      <c r="C1834" t="s">
        <v>339</v>
      </c>
      <c r="D1834" s="2"/>
      <c r="E1834" s="2"/>
      <c r="F1834" s="2"/>
      <c r="G1834" s="2"/>
      <c r="H1834" s="2"/>
      <c r="I1834" s="2"/>
      <c r="J1834" s="2"/>
      <c r="K1834" s="2"/>
      <c r="L1834" s="2"/>
    </row>
    <row r="1835" spans="1:12" customFormat="1" ht="16" x14ac:dyDescent="0.2">
      <c r="A1835" t="s">
        <v>342</v>
      </c>
      <c r="B1835" s="2">
        <f>INDEX(Parameters!$B$6:$AL$54,MATCH(Inventories!$B$1818,Parameters!$A$6:$A$54,0),MATCH(Inventories!$A1835,Parameters!$B$4:$AL$4,0))</f>
        <v>0</v>
      </c>
      <c r="C1835" t="s">
        <v>339</v>
      </c>
      <c r="D1835" s="2"/>
      <c r="E1835" s="2"/>
      <c r="F1835" s="2"/>
      <c r="G1835" s="2"/>
      <c r="H1835" s="2"/>
      <c r="I1835" s="2"/>
      <c r="J1835" s="2"/>
      <c r="K1835" s="2"/>
      <c r="L1835" s="2"/>
    </row>
    <row r="1836" spans="1:12" customFormat="1" ht="16" x14ac:dyDescent="0.2">
      <c r="A1836" t="s">
        <v>343</v>
      </c>
      <c r="B1836" s="2">
        <f>INDEX(Parameters!$B$6:$AL$54,MATCH(Inventories!$B$1818,Parameters!$A$6:$A$54,0),MATCH(Inventories!$A1836,Parameters!$B$4:$AL$4,0))</f>
        <v>146</v>
      </c>
      <c r="C1836" t="s">
        <v>339</v>
      </c>
      <c r="D1836" s="2"/>
      <c r="E1836" s="2"/>
      <c r="F1836" s="2"/>
      <c r="G1836" s="2"/>
      <c r="H1836" s="2"/>
      <c r="I1836" s="2"/>
      <c r="J1836" s="2"/>
      <c r="K1836" s="2"/>
      <c r="L1836" s="2"/>
    </row>
    <row r="1837" spans="1:12" customFormat="1" ht="16" x14ac:dyDescent="0.2">
      <c r="A1837" t="s">
        <v>344</v>
      </c>
      <c r="B1837" s="2">
        <f>INDEX(Parameters!$B$6:$AL$54,MATCH(Inventories!$B$1818,Parameters!$A$6:$A$54,0),MATCH(Inventories!$A1837,Parameters!$B$4:$AL$4,0))</f>
        <v>96</v>
      </c>
      <c r="C1837" t="s">
        <v>339</v>
      </c>
      <c r="D1837" s="2"/>
      <c r="E1837" s="2"/>
      <c r="F1837" s="2"/>
      <c r="G1837" s="2"/>
      <c r="H1837" s="2"/>
      <c r="I1837" s="2"/>
      <c r="J1837" s="2"/>
      <c r="K1837" s="2"/>
      <c r="L1837" s="2"/>
    </row>
    <row r="1838" spans="1:12" customFormat="1" ht="16" x14ac:dyDescent="0.2">
      <c r="A1838" t="s">
        <v>345</v>
      </c>
      <c r="B1838" s="2">
        <f>INDEX(Parameters!$B$6:$AL$54,MATCH(Inventories!$B$1818,Parameters!$A$6:$A$54,0),MATCH(Inventories!$A1838,Parameters!$B$4:$AL$4,0))</f>
        <v>168</v>
      </c>
      <c r="C1838" t="s">
        <v>339</v>
      </c>
      <c r="D1838" s="2"/>
      <c r="E1838" s="2"/>
      <c r="F1838" s="2"/>
      <c r="G1838" s="2"/>
      <c r="H1838" s="2"/>
      <c r="I1838" s="2"/>
      <c r="J1838" s="2"/>
      <c r="K1838" s="2"/>
      <c r="L1838" s="2"/>
    </row>
    <row r="1839" spans="1:12" customFormat="1" ht="16" x14ac:dyDescent="0.2">
      <c r="A1839" t="s">
        <v>336</v>
      </c>
      <c r="B1839" s="2">
        <f>INDEX(Parameters!$B$6:$AL$54,MATCH(Inventories!$B$1818,Parameters!$A$6:$A$54,0),MATCH(Inventories!$A1839,Parameters!$B$4:$AL$4,0))</f>
        <v>48</v>
      </c>
      <c r="C1839" t="s">
        <v>339</v>
      </c>
      <c r="D1839" s="2"/>
      <c r="E1839" s="2"/>
      <c r="F1839" s="2"/>
      <c r="G1839" s="2"/>
      <c r="H1839" s="2"/>
      <c r="I1839" s="2"/>
      <c r="J1839" s="2"/>
      <c r="K1839" s="2"/>
      <c r="L1839" s="2"/>
    </row>
    <row r="1840" spans="1:12" customFormat="1" ht="16" x14ac:dyDescent="0.2">
      <c r="A1840" t="s">
        <v>337</v>
      </c>
      <c r="B1840" s="2">
        <f>INDEX(Parameters!$B$6:$AL$54,MATCH(Inventories!$B$1818,Parameters!$A$6:$A$54,0),MATCH(Inventories!$A1840,Parameters!$B$4:$AL$4,0))</f>
        <v>30</v>
      </c>
      <c r="C1840" t="s">
        <v>339</v>
      </c>
      <c r="D1840" s="2"/>
      <c r="E1840" s="2"/>
      <c r="F1840" s="2"/>
      <c r="G1840" s="2"/>
      <c r="H1840" s="2"/>
      <c r="I1840" s="2"/>
      <c r="J1840" s="2"/>
      <c r="K1840" s="2"/>
      <c r="L1840" s="2"/>
    </row>
    <row r="1841" spans="1:12" customFormat="1" ht="16" x14ac:dyDescent="0.2">
      <c r="A1841" t="s">
        <v>338</v>
      </c>
      <c r="B1841" s="2">
        <f>INDEX(Parameters!$B$6:$AL$54,MATCH(Inventories!$B$1818,Parameters!$A$6:$A$54,0),MATCH(Inventories!$A1841,Parameters!$B$4:$AL$4,0))</f>
        <v>48</v>
      </c>
      <c r="C1841" t="s">
        <v>339</v>
      </c>
      <c r="D1841" s="2"/>
      <c r="E1841" s="2"/>
      <c r="F1841" s="2"/>
      <c r="G1841" s="2"/>
      <c r="H1841" s="2"/>
      <c r="I1841" s="2"/>
      <c r="J1841" s="2"/>
      <c r="K1841" s="2"/>
      <c r="L1841" s="2"/>
    </row>
    <row r="1842" spans="1:12" customFormat="1" ht="16" x14ac:dyDescent="0.2">
      <c r="A1842" t="s">
        <v>325</v>
      </c>
      <c r="B1842" s="2">
        <f>INDEX(Parameters!$B$6:$AL$54,MATCH(Inventories!$B$1818,Parameters!$A$6:$A$54,0),MATCH(Inventories!$A1842,Parameters!$B$4:$AL$4,0))</f>
        <v>0</v>
      </c>
      <c r="C1842" t="s">
        <v>318</v>
      </c>
      <c r="D1842" s="2"/>
      <c r="E1842" s="2"/>
      <c r="F1842" s="2"/>
      <c r="G1842" s="2"/>
      <c r="H1842" s="2"/>
      <c r="I1842" s="2"/>
      <c r="J1842" s="2"/>
      <c r="K1842" s="2"/>
      <c r="L1842" s="2"/>
    </row>
    <row r="1843" spans="1:12" customFormat="1" ht="16" x14ac:dyDescent="0.2">
      <c r="A1843" t="s">
        <v>326</v>
      </c>
      <c r="B1843" s="2">
        <f>INDEX(Parameters!$B$6:$AL$54,MATCH(Inventories!$B$1818,Parameters!$A$6:$A$54,0),MATCH(Inventories!$A1843,Parameters!$B$4:$AL$4,0))</f>
        <v>0</v>
      </c>
      <c r="C1843" t="s">
        <v>318</v>
      </c>
      <c r="D1843" s="2"/>
      <c r="E1843" s="2"/>
      <c r="F1843" s="2"/>
      <c r="G1843" s="2"/>
      <c r="H1843" s="2"/>
      <c r="I1843" s="2"/>
      <c r="J1843" s="2"/>
      <c r="K1843" s="2"/>
      <c r="L1843" s="2"/>
    </row>
    <row r="1844" spans="1:12" customFormat="1" ht="16" x14ac:dyDescent="0.2">
      <c r="A1844" t="s">
        <v>327</v>
      </c>
      <c r="B1844" s="2">
        <f>INDEX(Parameters!$B$6:$AL$54,MATCH(Inventories!$B$1818,Parameters!$A$6:$A$54,0),MATCH(Inventories!$A1844,Parameters!$B$4:$AL$4,0))</f>
        <v>0</v>
      </c>
      <c r="C1844" t="s">
        <v>318</v>
      </c>
      <c r="D1844" s="2"/>
      <c r="E1844" s="2"/>
      <c r="F1844" s="2"/>
      <c r="G1844" s="2"/>
      <c r="H1844" s="2"/>
      <c r="I1844" s="2"/>
      <c r="J1844" s="2"/>
      <c r="K1844" s="2"/>
      <c r="L1844" s="2"/>
    </row>
    <row r="1845" spans="1:12" customFormat="1" ht="16" x14ac:dyDescent="0.2">
      <c r="A1845" t="s">
        <v>333</v>
      </c>
      <c r="B1845" s="2">
        <f>INDEX(Parameters!$B$6:$AL$54,MATCH(Inventories!$B$1818,Parameters!$A$6:$A$54,0),MATCH(Inventories!$A1845,Parameters!$B$4:$AL$4,0))</f>
        <v>0</v>
      </c>
      <c r="C1845" t="s">
        <v>8</v>
      </c>
      <c r="D1845" s="2"/>
      <c r="E1845" s="2"/>
      <c r="F1845" s="2"/>
      <c r="G1845" s="2"/>
      <c r="H1845" s="2"/>
      <c r="I1845" s="2"/>
      <c r="J1845" s="2"/>
      <c r="K1845" s="2"/>
      <c r="L1845" s="2"/>
    </row>
    <row r="1846" spans="1:12" customFormat="1" ht="16" x14ac:dyDescent="0.2">
      <c r="A1846" t="s">
        <v>334</v>
      </c>
      <c r="B1846" s="2">
        <f>INDEX(Parameters!$B$6:$AL$54,MATCH(Inventories!$B$1818,Parameters!$A$6:$A$54,0),MATCH(Inventories!$A1846,Parameters!$B$4:$AL$4,0))</f>
        <v>0</v>
      </c>
      <c r="C1846" t="s">
        <v>8</v>
      </c>
      <c r="D1846" s="2"/>
      <c r="E1846" s="2"/>
      <c r="F1846" s="2"/>
      <c r="G1846" s="2"/>
      <c r="H1846" s="2"/>
      <c r="I1846" s="2"/>
      <c r="J1846" s="2"/>
      <c r="K1846" s="2"/>
      <c r="L1846" s="2"/>
    </row>
    <row r="1847" spans="1:12" customFormat="1" ht="16" x14ac:dyDescent="0.2">
      <c r="A1847" t="s">
        <v>335</v>
      </c>
      <c r="B1847" s="2">
        <f>INDEX(Parameters!$B$6:$AL$54,MATCH(Inventories!$B$1818,Parameters!$A$6:$A$54,0),MATCH(Inventories!$A1847,Parameters!$B$4:$AL$4,0))</f>
        <v>0</v>
      </c>
      <c r="C1847" t="s">
        <v>8</v>
      </c>
      <c r="D1847" s="2"/>
      <c r="E1847" s="2"/>
      <c r="F1847" s="2"/>
      <c r="G1847" s="2"/>
      <c r="H1847" s="2"/>
      <c r="I1847" s="2"/>
      <c r="J1847" s="2"/>
      <c r="K1847" s="2"/>
      <c r="L1847" s="2"/>
    </row>
    <row r="1848" spans="1:12" customFormat="1" ht="16" x14ac:dyDescent="0.2">
      <c r="A1848" t="s">
        <v>349</v>
      </c>
      <c r="B1848" s="2">
        <f>INDEX(Parameters!$B$6:$AL$54,MATCH(Inventories!$B$1818,Parameters!$A$6:$A$54,0),MATCH(Inventories!$A1848,Parameters!$B$4:$AL$4,0))</f>
        <v>0</v>
      </c>
      <c r="C1848" t="s">
        <v>315</v>
      </c>
      <c r="D1848" s="2"/>
      <c r="E1848" s="2"/>
      <c r="F1848" s="2"/>
      <c r="G1848" s="2"/>
      <c r="H1848" s="2"/>
      <c r="I1848" s="2"/>
      <c r="J1848" s="2"/>
      <c r="K1848" s="2"/>
      <c r="L1848" s="2"/>
    </row>
    <row r="1849" spans="1:12" customFormat="1" ht="16" x14ac:dyDescent="0.2">
      <c r="A1849" t="s">
        <v>350</v>
      </c>
      <c r="B1849" s="2">
        <f>INDEX(Parameters!$B$6:$AL$54,MATCH(Inventories!$B$1818,Parameters!$A$6:$A$54,0),MATCH(Inventories!$A1849,Parameters!$B$4:$AL$4,0))</f>
        <v>0</v>
      </c>
      <c r="C1849" t="s">
        <v>315</v>
      </c>
      <c r="D1849" s="2"/>
      <c r="E1849" s="12"/>
      <c r="F1849" s="2"/>
      <c r="G1849" s="2"/>
      <c r="H1849" s="2"/>
      <c r="I1849" s="2"/>
      <c r="J1849" s="2"/>
      <c r="K1849" s="2"/>
      <c r="L1849" s="2"/>
    </row>
    <row r="1850" spans="1:12" customFormat="1" ht="16" x14ac:dyDescent="0.2">
      <c r="A1850" t="s">
        <v>351</v>
      </c>
      <c r="B1850" s="2">
        <f>INDEX(Parameters!$B$6:$AL$54,MATCH(Inventories!$B$1818,Parameters!$A$6:$A$54,0),MATCH(Inventories!$A1850,Parameters!$B$4:$AL$4,0))</f>
        <v>0</v>
      </c>
      <c r="C1850" t="s">
        <v>315</v>
      </c>
      <c r="D1850" s="2"/>
      <c r="E1850" s="2"/>
      <c r="F1850" s="2"/>
      <c r="G1850" s="2"/>
      <c r="H1850" s="2"/>
      <c r="I1850" s="2"/>
      <c r="J1850" s="2"/>
      <c r="K1850" s="2"/>
      <c r="L1850" s="2"/>
    </row>
    <row r="1851" spans="1:12" customFormat="1" ht="16" x14ac:dyDescent="0.2">
      <c r="A1851" t="s">
        <v>352</v>
      </c>
      <c r="B1851" s="2">
        <f>INDEX(Parameters!$B$6:$AL$54,MATCH(Inventories!$B$1818,Parameters!$A$6:$A$54,0),MATCH(Inventories!$A1851,Parameters!$B$4:$AL$4,0))</f>
        <v>0</v>
      </c>
      <c r="C1851" t="s">
        <v>8</v>
      </c>
      <c r="D1851" s="2"/>
      <c r="E1851" s="2"/>
      <c r="F1851" s="2"/>
      <c r="G1851" s="2"/>
      <c r="H1851" s="2"/>
      <c r="I1851" s="2"/>
      <c r="J1851" s="2"/>
      <c r="K1851" s="2"/>
      <c r="L1851" s="2"/>
    </row>
    <row r="1852" spans="1:12" customFormat="1" ht="16" x14ac:dyDescent="0.2">
      <c r="A1852" t="s">
        <v>353</v>
      </c>
      <c r="B1852" s="2">
        <f>INDEX(Parameters!$B$6:$AL$54,MATCH(Inventories!$B$1818,Parameters!$A$6:$A$54,0),MATCH(Inventories!$A1852,Parameters!$B$4:$AL$4,0))</f>
        <v>0</v>
      </c>
      <c r="C1852" t="s">
        <v>8</v>
      </c>
      <c r="D1852" s="2"/>
      <c r="E1852" s="2"/>
      <c r="F1852" s="2"/>
      <c r="G1852" s="2"/>
      <c r="H1852" s="2"/>
      <c r="I1852" s="2"/>
      <c r="J1852" s="2"/>
      <c r="K1852" s="2"/>
      <c r="L1852" s="2"/>
    </row>
    <row r="1853" spans="1:12" customFormat="1" ht="16" x14ac:dyDescent="0.2">
      <c r="A1853" t="s">
        <v>354</v>
      </c>
      <c r="B1853" s="2">
        <f>INDEX(Parameters!$B$6:$AL$54,MATCH(Inventories!$B$1818,Parameters!$A$6:$A$54,0),MATCH(Inventories!$A1853,Parameters!$B$4:$AL$4,0))</f>
        <v>0</v>
      </c>
      <c r="C1853" t="s">
        <v>8</v>
      </c>
      <c r="D1853" s="2"/>
      <c r="E1853" s="2"/>
      <c r="F1853" s="2"/>
      <c r="G1853" s="2"/>
      <c r="H1853" s="2"/>
      <c r="I1853" s="2"/>
      <c r="J1853" s="2"/>
      <c r="K1853" s="2"/>
      <c r="L1853" s="2"/>
    </row>
    <row r="1854" spans="1:12" customFormat="1" ht="16" x14ac:dyDescent="0.2">
      <c r="A1854" t="s">
        <v>368</v>
      </c>
      <c r="B1854" s="2">
        <f>INDEX(Parameters!$B$6:$AL$54,MATCH(Inventories!$B$1818,Parameters!$A$6:$A$54,0),MATCH(Inventories!$A1854,Parameters!$B$4:$AL$4,0))</f>
        <v>0</v>
      </c>
      <c r="C1854" t="s">
        <v>339</v>
      </c>
      <c r="D1854" s="2"/>
      <c r="E1854" s="2"/>
      <c r="F1854" s="2"/>
      <c r="G1854" s="2"/>
      <c r="H1854" s="2"/>
      <c r="I1854" s="2"/>
      <c r="J1854" s="2"/>
      <c r="K1854" s="2"/>
      <c r="L1854" s="2"/>
    </row>
    <row r="1855" spans="1:12" customFormat="1" ht="16" x14ac:dyDescent="0.2">
      <c r="A1855" t="s">
        <v>369</v>
      </c>
      <c r="B1855" s="2">
        <f>INDEX(Parameters!$B$6:$AL$54,MATCH(Inventories!$B$1818,Parameters!$A$6:$A$54,0),MATCH(Inventories!$A1855,Parameters!$B$4:$AL$4,0))</f>
        <v>0</v>
      </c>
      <c r="C1855" t="s">
        <v>339</v>
      </c>
      <c r="D1855" s="2"/>
      <c r="E1855" s="2"/>
      <c r="F1855" s="2"/>
      <c r="G1855" s="2"/>
      <c r="H1855" s="2"/>
      <c r="I1855" s="2"/>
      <c r="J1855" s="2"/>
      <c r="K1855" s="2"/>
      <c r="L1855" s="2"/>
    </row>
    <row r="1856" spans="1:12" customFormat="1" ht="16" x14ac:dyDescent="0.2">
      <c r="A1856" t="s">
        <v>370</v>
      </c>
      <c r="B1856" s="2">
        <f>INDEX(Parameters!$B$6:$AL$54,MATCH(Inventories!$B$1818,Parameters!$A$6:$A$54,0),MATCH(Inventories!$A1856,Parameters!$B$4:$AL$4,0))</f>
        <v>0</v>
      </c>
      <c r="C1856" t="s">
        <v>339</v>
      </c>
      <c r="D1856" s="2"/>
      <c r="E1856" s="2"/>
      <c r="F1856" s="2"/>
      <c r="G1856" s="2"/>
      <c r="H1856" s="2"/>
      <c r="I1856" s="2"/>
      <c r="J1856" s="2"/>
      <c r="K1856" s="2"/>
      <c r="L1856" s="2"/>
    </row>
    <row r="1857" spans="1:12" customFormat="1" ht="16" x14ac:dyDescent="0.2">
      <c r="A1857" t="s">
        <v>371</v>
      </c>
      <c r="B1857" s="2">
        <f>INDEX(Parameters!$B$6:$AL$54,MATCH(Inventories!$B$1818,Parameters!$A$6:$A$54,0),MATCH(Inventories!$A1857,Parameters!$B$4:$AL$4,0))</f>
        <v>0</v>
      </c>
      <c r="C1857" t="s">
        <v>339</v>
      </c>
      <c r="D1857" s="2"/>
      <c r="E1857" s="2"/>
      <c r="F1857" s="2"/>
      <c r="G1857" s="2"/>
      <c r="H1857" s="2"/>
      <c r="I1857" s="2"/>
      <c r="J1857" s="2"/>
      <c r="K1857" s="2"/>
      <c r="L1857" s="2"/>
    </row>
    <row r="1858" spans="1:12" customFormat="1" ht="16" x14ac:dyDescent="0.2">
      <c r="A1858" t="s">
        <v>372</v>
      </c>
      <c r="B1858" s="2">
        <f>INDEX(Parameters!$B$6:$AL$54,MATCH(Inventories!$B$1818,Parameters!$A$6:$A$54,0),MATCH(Inventories!$A1858,Parameters!$B$4:$AL$4,0))</f>
        <v>0</v>
      </c>
      <c r="C1858" t="s">
        <v>339</v>
      </c>
      <c r="D1858" s="2"/>
      <c r="E1858" s="2"/>
      <c r="F1858" s="2"/>
      <c r="G1858" s="2"/>
      <c r="H1858" s="2"/>
      <c r="I1858" s="2"/>
      <c r="J1858" s="2"/>
      <c r="K1858" s="2"/>
      <c r="L1858" s="2"/>
    </row>
    <row r="1859" spans="1:12" customFormat="1" ht="16" x14ac:dyDescent="0.2">
      <c r="A1859" t="s">
        <v>347</v>
      </c>
      <c r="B1859" s="12">
        <f>INDEX(Parameters!$B$6:$AL$54,MATCH(Inventories!$B$1818,Parameters!$A$6:$A$54,0),MATCH(Inventories!$A1859,Parameters!$B$4:$AL$4,0))</f>
        <v>9.9072039999999993E-3</v>
      </c>
      <c r="C1859" t="s">
        <v>348</v>
      </c>
      <c r="D1859" s="2"/>
      <c r="E1859" s="2"/>
      <c r="F1859" s="2"/>
      <c r="G1859" s="2"/>
      <c r="H1859" s="2"/>
      <c r="I1859" s="2"/>
      <c r="J1859" s="2"/>
      <c r="K1859" s="2"/>
      <c r="L1859" s="2"/>
    </row>
    <row r="1860" spans="1:12" customFormat="1" ht="16" x14ac:dyDescent="0.2">
      <c r="A1860" t="s">
        <v>346</v>
      </c>
      <c r="B1860" s="12">
        <f>INDEX(Parameters!$B$6:$AL$54,MATCH(Inventories!$B$1818,Parameters!$A$6:$A$54,0),MATCH(Inventories!$A1860,Parameters!$B$4:$AL$4,0))</f>
        <v>1.4309899999999999E-4</v>
      </c>
      <c r="C1860" t="s">
        <v>348</v>
      </c>
      <c r="D1860" s="2"/>
      <c r="E1860" s="2"/>
      <c r="F1860" s="2"/>
      <c r="G1860" s="2"/>
      <c r="H1860" s="2"/>
      <c r="I1860" s="2"/>
      <c r="J1860" s="2"/>
      <c r="K1860" s="2"/>
      <c r="L1860" s="2"/>
    </row>
    <row r="1861" spans="1:12" customFormat="1" ht="16" x14ac:dyDescent="0.2">
      <c r="A1861" s="1" t="s">
        <v>10</v>
      </c>
      <c r="B1861" s="2"/>
      <c r="C1861" s="2"/>
      <c r="D1861" s="2"/>
      <c r="E1861" s="2"/>
      <c r="F1861" s="2"/>
      <c r="G1861" s="2"/>
      <c r="H1861" s="2"/>
      <c r="I1861" s="2"/>
      <c r="J1861" s="2"/>
      <c r="K1861" s="2"/>
      <c r="L1861" s="2"/>
    </row>
    <row r="1862" spans="1:12" x14ac:dyDescent="0.2">
      <c r="A1862" s="17" t="s">
        <v>11</v>
      </c>
      <c r="B1862" s="17" t="s">
        <v>12</v>
      </c>
      <c r="C1862" s="17" t="s">
        <v>3</v>
      </c>
      <c r="D1862" s="17" t="s">
        <v>13</v>
      </c>
      <c r="E1862" s="17" t="s">
        <v>8</v>
      </c>
      <c r="F1862" s="17" t="s">
        <v>6</v>
      </c>
      <c r="G1862" s="17" t="s">
        <v>5</v>
      </c>
      <c r="H1862" s="17" t="s">
        <v>153</v>
      </c>
      <c r="I1862" s="17" t="s">
        <v>182</v>
      </c>
      <c r="J1862" s="17" t="s">
        <v>183</v>
      </c>
      <c r="K1862" s="17" t="s">
        <v>184</v>
      </c>
      <c r="L1862" s="17" t="s">
        <v>185</v>
      </c>
    </row>
    <row r="1863" spans="1:12" customFormat="1" ht="16" x14ac:dyDescent="0.2">
      <c r="A1863" s="2" t="str">
        <f>B1818</f>
        <v>petrol, burned in passenger car</v>
      </c>
      <c r="B1863" s="2">
        <v>1</v>
      </c>
      <c r="C1863" s="2" t="str">
        <f>B1819</f>
        <v>RER</v>
      </c>
      <c r="D1863" s="2"/>
      <c r="E1863" s="2" t="str">
        <f>B1823</f>
        <v>megajoule</v>
      </c>
      <c r="F1863" s="2" t="s">
        <v>19</v>
      </c>
      <c r="G1863" s="2" t="str">
        <f>B1821</f>
        <v>heat</v>
      </c>
      <c r="H1863" s="2"/>
      <c r="I1863" s="2"/>
      <c r="J1863" s="2"/>
      <c r="K1863" s="2"/>
      <c r="L1863" s="2"/>
    </row>
    <row r="1864" spans="1:12" customFormat="1" ht="16" x14ac:dyDescent="0.2">
      <c r="A1864" t="s">
        <v>121</v>
      </c>
      <c r="B1864" s="9">
        <f>1/42.6</f>
        <v>2.3474178403755867E-2</v>
      </c>
      <c r="C1864" t="s">
        <v>27</v>
      </c>
      <c r="E1864" t="s">
        <v>9</v>
      </c>
      <c r="F1864" t="s">
        <v>23</v>
      </c>
      <c r="G1864" t="s">
        <v>82</v>
      </c>
      <c r="H1864" s="2"/>
    </row>
    <row r="1865" spans="1:12" customFormat="1" ht="16" x14ac:dyDescent="0.2">
      <c r="A1865" s="2" t="s">
        <v>144</v>
      </c>
      <c r="B1865" s="27">
        <f>(B1836/B1827)/(B1830/1000)</f>
        <v>3.1330472103004289E-4</v>
      </c>
      <c r="C1865" t="s">
        <v>114</v>
      </c>
      <c r="E1865" t="s">
        <v>9</v>
      </c>
      <c r="F1865" t="s">
        <v>23</v>
      </c>
      <c r="G1865" t="s">
        <v>145</v>
      </c>
      <c r="I1865" s="2">
        <v>5</v>
      </c>
      <c r="J1865" s="27">
        <f>B1865</f>
        <v>3.1330472103004289E-4</v>
      </c>
      <c r="K1865" s="3">
        <f>(B1837/B1829)/(B1832/1000)</f>
        <v>1.2799999999999999E-4</v>
      </c>
      <c r="L1865" s="3">
        <f>(B1838/B1828)/(B1831/1000)</f>
        <v>6.8627450980392147E-4</v>
      </c>
    </row>
    <row r="1866" spans="1:12" customFormat="1" ht="16" x14ac:dyDescent="0.2">
      <c r="A1866" s="2" t="s">
        <v>361</v>
      </c>
      <c r="B1866" s="3">
        <f>(B1839/B1827)/(B1830/1000)</f>
        <v>1.0300429184549356E-4</v>
      </c>
      <c r="C1866" t="s">
        <v>114</v>
      </c>
      <c r="E1866" t="s">
        <v>9</v>
      </c>
      <c r="F1866" t="s">
        <v>23</v>
      </c>
      <c r="G1866" s="2" t="s">
        <v>360</v>
      </c>
      <c r="H1866" s="2" t="s">
        <v>364</v>
      </c>
      <c r="I1866">
        <v>5</v>
      </c>
      <c r="J1866" s="27">
        <f>B1866</f>
        <v>1.0300429184549356E-4</v>
      </c>
      <c r="K1866" s="3">
        <f>(B1840/B1829)/(B1832/1000)</f>
        <v>4.0000000000000003E-5</v>
      </c>
      <c r="L1866" s="3">
        <f>(B1841/B1828)/(B1831/1000)</f>
        <v>1.9607843137254901E-4</v>
      </c>
    </row>
    <row r="1867" spans="1:12" customFormat="1" ht="16" x14ac:dyDescent="0.2">
      <c r="A1867" s="2" t="s">
        <v>362</v>
      </c>
      <c r="B1867" s="3">
        <f>B1866</f>
        <v>1.0300429184549356E-4</v>
      </c>
      <c r="C1867" t="s">
        <v>114</v>
      </c>
      <c r="E1867" t="s">
        <v>9</v>
      </c>
      <c r="F1867" t="s">
        <v>23</v>
      </c>
      <c r="G1867" s="2" t="s">
        <v>363</v>
      </c>
      <c r="H1867" s="2" t="s">
        <v>364</v>
      </c>
      <c r="I1867">
        <v>5</v>
      </c>
      <c r="J1867" s="27">
        <f>B1867</f>
        <v>1.0300429184549356E-4</v>
      </c>
      <c r="K1867" s="3">
        <f>K1866</f>
        <v>4.0000000000000003E-5</v>
      </c>
      <c r="L1867" s="3">
        <f>L1866</f>
        <v>1.9607843137254901E-4</v>
      </c>
    </row>
    <row r="1868" spans="1:12" customFormat="1" ht="16" x14ac:dyDescent="0.2">
      <c r="A1868" t="s">
        <v>83</v>
      </c>
      <c r="B1868" s="3">
        <v>1.4547114129662022E-7</v>
      </c>
      <c r="D1868" t="s">
        <v>14</v>
      </c>
      <c r="E1868" t="s">
        <v>9</v>
      </c>
      <c r="F1868" s="2" t="s">
        <v>15</v>
      </c>
      <c r="H1868" s="2"/>
    </row>
    <row r="1869" spans="1:12" customFormat="1" ht="16" x14ac:dyDescent="0.2">
      <c r="A1869" t="s">
        <v>151</v>
      </c>
      <c r="B1869" s="3">
        <v>2.3599288167039204E-6</v>
      </c>
      <c r="D1869" t="s">
        <v>14</v>
      </c>
      <c r="E1869" t="s">
        <v>9</v>
      </c>
      <c r="F1869" s="2" t="s">
        <v>15</v>
      </c>
      <c r="H1869" s="2"/>
    </row>
    <row r="1870" spans="1:12" customFormat="1" ht="16" x14ac:dyDescent="0.2">
      <c r="A1870" t="s">
        <v>45</v>
      </c>
      <c r="B1870" s="3">
        <v>6.4176573052336623E-8</v>
      </c>
      <c r="D1870" t="s">
        <v>14</v>
      </c>
      <c r="E1870" t="s">
        <v>9</v>
      </c>
      <c r="F1870" s="2" t="s">
        <v>15</v>
      </c>
      <c r="H1870" s="2"/>
    </row>
    <row r="1871" spans="1:12" customFormat="1" ht="16" x14ac:dyDescent="0.2">
      <c r="A1871" t="s">
        <v>46</v>
      </c>
      <c r="B1871" s="3">
        <v>5.2181249284002014E-8</v>
      </c>
      <c r="D1871" t="s">
        <v>14</v>
      </c>
      <c r="E1871" t="s">
        <v>9</v>
      </c>
      <c r="F1871" s="2" t="s">
        <v>15</v>
      </c>
      <c r="H1871" s="2"/>
    </row>
    <row r="1872" spans="1:12" customFormat="1" ht="16" x14ac:dyDescent="0.2">
      <c r="A1872" t="s">
        <v>47</v>
      </c>
      <c r="B1872" s="3">
        <v>1.6258913648856724E-8</v>
      </c>
      <c r="D1872" t="s">
        <v>14</v>
      </c>
      <c r="E1872" t="s">
        <v>9</v>
      </c>
      <c r="F1872" s="2" t="s">
        <v>15</v>
      </c>
      <c r="H1872" s="2"/>
    </row>
    <row r="1873" spans="1:8" customFormat="1" ht="16" x14ac:dyDescent="0.2">
      <c r="A1873" t="s">
        <v>48</v>
      </c>
      <c r="B1873" s="3">
        <v>7.0422535211267627E-7</v>
      </c>
      <c r="D1873" t="s">
        <v>14</v>
      </c>
      <c r="E1873" t="s">
        <v>9</v>
      </c>
      <c r="F1873" s="2" t="s">
        <v>15</v>
      </c>
      <c r="H1873" s="2"/>
    </row>
    <row r="1874" spans="1:8" customFormat="1" ht="16" x14ac:dyDescent="0.2">
      <c r="A1874" t="s">
        <v>49</v>
      </c>
      <c r="B1874" s="3">
        <v>1.8823431144155847E-8</v>
      </c>
      <c r="D1874" t="s">
        <v>14</v>
      </c>
      <c r="E1874" t="s">
        <v>9</v>
      </c>
      <c r="F1874" s="2" t="s">
        <v>15</v>
      </c>
      <c r="H1874" s="2"/>
    </row>
    <row r="1875" spans="1:8" customFormat="1" ht="16" x14ac:dyDescent="0.2">
      <c r="A1875" t="s">
        <v>50</v>
      </c>
      <c r="B1875" s="3">
        <v>1.2876677795875375E-6</v>
      </c>
      <c r="D1875" t="s">
        <v>14</v>
      </c>
      <c r="E1875" t="s">
        <v>9</v>
      </c>
      <c r="F1875" s="2" t="s">
        <v>15</v>
      </c>
      <c r="H1875" s="2"/>
    </row>
    <row r="1876" spans="1:8" customFormat="1" ht="16" x14ac:dyDescent="0.2">
      <c r="A1876" t="s">
        <v>51</v>
      </c>
      <c r="B1876" s="3">
        <v>2.4210190597681178E-6</v>
      </c>
      <c r="D1876" t="s">
        <v>14</v>
      </c>
      <c r="E1876" t="s">
        <v>9</v>
      </c>
      <c r="F1876" s="2" t="s">
        <v>15</v>
      </c>
      <c r="H1876" s="2"/>
    </row>
    <row r="1877" spans="1:8" customFormat="1" ht="16" x14ac:dyDescent="0.2">
      <c r="A1877" t="s">
        <v>52</v>
      </c>
      <c r="B1877" s="3">
        <v>2.3474178403755876E-10</v>
      </c>
      <c r="D1877" t="s">
        <v>14</v>
      </c>
      <c r="E1877" t="s">
        <v>9</v>
      </c>
      <c r="F1877" s="2" t="s">
        <v>15</v>
      </c>
      <c r="H1877" s="2"/>
    </row>
    <row r="1878" spans="1:8" customFormat="1" ht="16" x14ac:dyDescent="0.2">
      <c r="A1878" t="s">
        <v>53</v>
      </c>
      <c r="B1878" s="9">
        <f>3.15*B1864</f>
        <v>7.3943661971830985E-2</v>
      </c>
      <c r="D1878" t="s">
        <v>14</v>
      </c>
      <c r="E1878" t="s">
        <v>9</v>
      </c>
      <c r="F1878" s="2" t="s">
        <v>15</v>
      </c>
      <c r="H1878" s="2"/>
    </row>
    <row r="1879" spans="1:8" customFormat="1" ht="16" x14ac:dyDescent="0.2">
      <c r="A1879" t="s">
        <v>54</v>
      </c>
      <c r="B1879" s="9">
        <v>1.2822587476495615E-4</v>
      </c>
      <c r="D1879" t="s">
        <v>14</v>
      </c>
      <c r="E1879" t="s">
        <v>9</v>
      </c>
      <c r="F1879" s="2" t="s">
        <v>15</v>
      </c>
      <c r="H1879" s="2"/>
    </row>
    <row r="1880" spans="1:8" customFormat="1" ht="16" x14ac:dyDescent="0.2">
      <c r="A1880" t="s">
        <v>55</v>
      </c>
      <c r="B1880" s="3">
        <v>1.173708920187794E-9</v>
      </c>
      <c r="D1880" t="s">
        <v>14</v>
      </c>
      <c r="E1880" t="s">
        <v>9</v>
      </c>
      <c r="F1880" s="2" t="s">
        <v>15</v>
      </c>
      <c r="H1880" s="2"/>
    </row>
    <row r="1881" spans="1:8" customFormat="1" ht="16" x14ac:dyDescent="0.2">
      <c r="A1881" t="s">
        <v>56</v>
      </c>
      <c r="B1881" s="3">
        <v>2.3474178403755881E-12</v>
      </c>
      <c r="D1881" t="s">
        <v>14</v>
      </c>
      <c r="E1881" t="s">
        <v>9</v>
      </c>
      <c r="F1881" s="2" t="s">
        <v>15</v>
      </c>
      <c r="H1881" s="2"/>
    </row>
    <row r="1882" spans="1:8" customFormat="1" ht="16" x14ac:dyDescent="0.2">
      <c r="A1882" t="s">
        <v>57</v>
      </c>
      <c r="B1882" s="3">
        <v>3.9906103286384993E-8</v>
      </c>
      <c r="D1882" t="s">
        <v>14</v>
      </c>
      <c r="E1882" t="s">
        <v>9</v>
      </c>
      <c r="F1882" s="2" t="s">
        <v>15</v>
      </c>
      <c r="H1882" s="2"/>
    </row>
    <row r="1883" spans="1:8" customFormat="1" ht="16" x14ac:dyDescent="0.2">
      <c r="A1883" t="s">
        <v>152</v>
      </c>
      <c r="B1883" s="3">
        <v>9.7553481893140337E-8</v>
      </c>
      <c r="D1883" t="s">
        <v>14</v>
      </c>
      <c r="E1883" t="s">
        <v>9</v>
      </c>
      <c r="F1883" s="2" t="s">
        <v>15</v>
      </c>
      <c r="H1883" s="2"/>
    </row>
    <row r="1884" spans="1:8" customFormat="1" ht="16" x14ac:dyDescent="0.2">
      <c r="A1884" t="s">
        <v>58</v>
      </c>
      <c r="B1884" s="3">
        <v>3.0516431924882642E-6</v>
      </c>
      <c r="D1884" t="s">
        <v>14</v>
      </c>
      <c r="E1884" t="s">
        <v>9</v>
      </c>
      <c r="F1884" s="2" t="s">
        <v>15</v>
      </c>
      <c r="H1884" s="2"/>
    </row>
    <row r="1885" spans="1:8" customFormat="1" ht="16" x14ac:dyDescent="0.2">
      <c r="A1885" t="s">
        <v>59</v>
      </c>
      <c r="B1885" s="3">
        <v>3.738595604189168E-7</v>
      </c>
      <c r="D1885" t="s">
        <v>14</v>
      </c>
      <c r="E1885" t="s">
        <v>9</v>
      </c>
      <c r="F1885" s="2" t="s">
        <v>15</v>
      </c>
      <c r="H1885" s="2"/>
    </row>
    <row r="1886" spans="1:8" customFormat="1" ht="16" x14ac:dyDescent="0.2">
      <c r="A1886" t="s">
        <v>84</v>
      </c>
      <c r="B1886" s="3">
        <v>8.4158173387917866E-9</v>
      </c>
      <c r="D1886" t="s">
        <v>14</v>
      </c>
      <c r="E1886" t="s">
        <v>9</v>
      </c>
      <c r="F1886" s="2" t="s">
        <v>15</v>
      </c>
      <c r="H1886" s="2"/>
    </row>
    <row r="1887" spans="1:8" customFormat="1" ht="16" x14ac:dyDescent="0.2">
      <c r="A1887" t="s">
        <v>60</v>
      </c>
      <c r="B1887" s="3">
        <v>6.2458409966156062E-7</v>
      </c>
      <c r="D1887" t="s">
        <v>14</v>
      </c>
      <c r="E1887" t="s">
        <v>9</v>
      </c>
      <c r="F1887" s="2" t="s">
        <v>15</v>
      </c>
      <c r="H1887" s="2"/>
    </row>
    <row r="1888" spans="1:8" customFormat="1" ht="16" x14ac:dyDescent="0.2">
      <c r="A1888" t="s">
        <v>61</v>
      </c>
      <c r="B1888" s="3">
        <v>1.4547114129662022E-7</v>
      </c>
      <c r="D1888" t="s">
        <v>14</v>
      </c>
      <c r="E1888" t="s">
        <v>9</v>
      </c>
      <c r="F1888" s="2" t="s">
        <v>15</v>
      </c>
      <c r="H1888" s="2"/>
    </row>
    <row r="1889" spans="1:8" customFormat="1" ht="16" x14ac:dyDescent="0.2">
      <c r="A1889" t="s">
        <v>62</v>
      </c>
      <c r="B1889" s="3">
        <v>6.3317491509246337E-8</v>
      </c>
      <c r="D1889" t="s">
        <v>14</v>
      </c>
      <c r="E1889" t="s">
        <v>9</v>
      </c>
      <c r="F1889" s="2" t="s">
        <v>15</v>
      </c>
      <c r="H1889" s="2"/>
    </row>
    <row r="1890" spans="1:8" customFormat="1" ht="16" x14ac:dyDescent="0.2">
      <c r="A1890" t="s">
        <v>85</v>
      </c>
      <c r="B1890" s="3">
        <v>1.3777122524373701E-7</v>
      </c>
      <c r="D1890" t="s">
        <v>14</v>
      </c>
      <c r="E1890" t="s">
        <v>9</v>
      </c>
      <c r="F1890" s="2" t="s">
        <v>15</v>
      </c>
      <c r="H1890" s="2"/>
    </row>
    <row r="1891" spans="1:8" customFormat="1" ht="16" x14ac:dyDescent="0.2">
      <c r="A1891" t="s">
        <v>63</v>
      </c>
      <c r="B1891" s="3">
        <v>3.5211267605633819E-11</v>
      </c>
      <c r="D1891" t="s">
        <v>14</v>
      </c>
      <c r="E1891" t="s">
        <v>9</v>
      </c>
      <c r="F1891" s="2" t="s">
        <v>15</v>
      </c>
      <c r="H1891" s="2"/>
    </row>
    <row r="1892" spans="1:8" customFormat="1" ht="16" x14ac:dyDescent="0.2">
      <c r="A1892" t="s">
        <v>64</v>
      </c>
      <c r="B1892" s="3">
        <v>1.6431924882629114E-12</v>
      </c>
      <c r="D1892" t="s">
        <v>14</v>
      </c>
      <c r="E1892" t="s">
        <v>9</v>
      </c>
      <c r="F1892" s="2" t="s">
        <v>15</v>
      </c>
      <c r="H1892" s="2"/>
    </row>
    <row r="1893" spans="1:8" customFormat="1" ht="16" x14ac:dyDescent="0.2">
      <c r="A1893" t="s">
        <v>65</v>
      </c>
      <c r="B1893" s="3">
        <v>5.7558463387048561E-6</v>
      </c>
      <c r="D1893" t="s">
        <v>14</v>
      </c>
      <c r="E1893" t="s">
        <v>9</v>
      </c>
      <c r="F1893" s="2" t="s">
        <v>15</v>
      </c>
      <c r="H1893" s="2"/>
    </row>
    <row r="1894" spans="1:8" customFormat="1" ht="16" x14ac:dyDescent="0.2">
      <c r="A1894" t="s">
        <v>66</v>
      </c>
      <c r="B1894" s="3">
        <v>4.2794987979867499E-9</v>
      </c>
      <c r="D1894" t="s">
        <v>14</v>
      </c>
      <c r="E1894" t="s">
        <v>9</v>
      </c>
      <c r="F1894" s="2" t="s">
        <v>15</v>
      </c>
      <c r="H1894" s="2"/>
    </row>
    <row r="1895" spans="1:8" customFormat="1" ht="16" x14ac:dyDescent="0.2">
      <c r="A1895" t="s">
        <v>67</v>
      </c>
      <c r="B1895" s="3">
        <v>2.1817489411000107E-5</v>
      </c>
      <c r="D1895" t="s">
        <v>14</v>
      </c>
      <c r="E1895" t="s">
        <v>9</v>
      </c>
      <c r="F1895" s="2" t="s">
        <v>15</v>
      </c>
      <c r="H1895" s="2"/>
    </row>
    <row r="1896" spans="1:8" customFormat="1" ht="16" x14ac:dyDescent="0.2">
      <c r="A1896" t="s">
        <v>68</v>
      </c>
      <c r="B1896" s="3">
        <v>1.6431924882629115E-9</v>
      </c>
      <c r="D1896" t="s">
        <v>14</v>
      </c>
      <c r="E1896" t="s">
        <v>9</v>
      </c>
      <c r="F1896" s="2" t="s">
        <v>15</v>
      </c>
      <c r="H1896" s="2"/>
    </row>
    <row r="1897" spans="1:8" customFormat="1" ht="16" x14ac:dyDescent="0.2">
      <c r="A1897" t="s">
        <v>69</v>
      </c>
      <c r="B1897" s="3">
        <f>B1859/1000</f>
        <v>9.9072039999999999E-6</v>
      </c>
      <c r="D1897" t="s">
        <v>14</v>
      </c>
      <c r="E1897" t="s">
        <v>9</v>
      </c>
      <c r="F1897" s="2" t="s">
        <v>15</v>
      </c>
      <c r="H1897" s="2"/>
    </row>
    <row r="1898" spans="1:8" customFormat="1" ht="16" x14ac:dyDescent="0.2">
      <c r="A1898" t="s">
        <v>70</v>
      </c>
      <c r="B1898" s="3">
        <v>8.1690140845070448E-10</v>
      </c>
      <c r="D1898" t="s">
        <v>14</v>
      </c>
      <c r="E1898" t="s">
        <v>9</v>
      </c>
      <c r="F1898" s="2" t="s">
        <v>15</v>
      </c>
      <c r="H1898" s="2"/>
    </row>
    <row r="1899" spans="1:8" customFormat="1" ht="16" x14ac:dyDescent="0.2">
      <c r="A1899" t="s">
        <v>71</v>
      </c>
      <c r="B1899" s="3">
        <f>B1860/1000</f>
        <v>1.43099E-7</v>
      </c>
      <c r="D1899" t="s">
        <v>14</v>
      </c>
      <c r="E1899" t="s">
        <v>9</v>
      </c>
      <c r="F1899" s="2" t="s">
        <v>15</v>
      </c>
      <c r="H1899" s="2"/>
    </row>
    <row r="1900" spans="1:8" customFormat="1" ht="16" x14ac:dyDescent="0.2">
      <c r="A1900" t="s">
        <v>72</v>
      </c>
      <c r="B1900" s="3">
        <v>2.7827878429139121E-6</v>
      </c>
      <c r="D1900" t="s">
        <v>14</v>
      </c>
      <c r="E1900" t="s">
        <v>9</v>
      </c>
      <c r="F1900" s="2" t="s">
        <v>15</v>
      </c>
      <c r="H1900" s="2"/>
    </row>
    <row r="1901" spans="1:8" customFormat="1" ht="16" x14ac:dyDescent="0.2">
      <c r="A1901" t="s">
        <v>73</v>
      </c>
      <c r="B1901" s="3">
        <v>1.789116858072825E-6</v>
      </c>
      <c r="D1901" t="s">
        <v>14</v>
      </c>
      <c r="E1901" t="s">
        <v>9</v>
      </c>
      <c r="F1901" s="2" t="s">
        <v>15</v>
      </c>
      <c r="H1901" s="2"/>
    </row>
    <row r="1902" spans="1:8" customFormat="1" ht="16" x14ac:dyDescent="0.2">
      <c r="A1902" t="s">
        <v>86</v>
      </c>
      <c r="B1902" s="3">
        <v>4.7122213530248159E-8</v>
      </c>
      <c r="D1902" t="s">
        <v>14</v>
      </c>
      <c r="E1902" t="s">
        <v>9</v>
      </c>
      <c r="F1902" s="2" t="s">
        <v>15</v>
      </c>
      <c r="H1902" s="2"/>
    </row>
    <row r="1903" spans="1:8" customFormat="1" ht="16" x14ac:dyDescent="0.2">
      <c r="A1903" t="s">
        <v>74</v>
      </c>
      <c r="B1903" s="3">
        <v>3.2676916472359795E-7</v>
      </c>
      <c r="D1903" t="s">
        <v>14</v>
      </c>
      <c r="E1903" t="s">
        <v>9</v>
      </c>
      <c r="F1903" s="2" t="s">
        <v>15</v>
      </c>
      <c r="H1903" s="2"/>
    </row>
    <row r="1904" spans="1:8" customFormat="1" ht="16" x14ac:dyDescent="0.2">
      <c r="A1904" t="s">
        <v>75</v>
      </c>
      <c r="B1904" s="3">
        <v>2.3474178403755876E-10</v>
      </c>
      <c r="D1904" t="s">
        <v>14</v>
      </c>
      <c r="E1904" t="s">
        <v>9</v>
      </c>
      <c r="F1904" s="2" t="s">
        <v>15</v>
      </c>
      <c r="H1904" s="2"/>
    </row>
    <row r="1905" spans="1:12" customFormat="1" ht="16" x14ac:dyDescent="0.2">
      <c r="A1905" t="s">
        <v>76</v>
      </c>
      <c r="B1905" s="3">
        <v>8.6417239667896019E-8</v>
      </c>
      <c r="D1905" t="s">
        <v>14</v>
      </c>
      <c r="E1905" t="s">
        <v>9</v>
      </c>
      <c r="F1905" s="2" t="s">
        <v>15</v>
      </c>
      <c r="H1905" s="2"/>
    </row>
    <row r="1906" spans="1:12" customFormat="1" ht="16" x14ac:dyDescent="0.2">
      <c r="A1906" t="s">
        <v>77</v>
      </c>
      <c r="B1906" s="3">
        <v>4.6948356807511755E-7</v>
      </c>
      <c r="D1906" t="s">
        <v>14</v>
      </c>
      <c r="E1906" t="s">
        <v>9</v>
      </c>
      <c r="F1906" s="2" t="s">
        <v>15</v>
      </c>
      <c r="H1906" s="2"/>
    </row>
    <row r="1907" spans="1:12" customFormat="1" ht="16" x14ac:dyDescent="0.2">
      <c r="A1907" t="s">
        <v>78</v>
      </c>
      <c r="B1907" s="3">
        <v>2.4137009577343855E-6</v>
      </c>
      <c r="D1907" t="s">
        <v>14</v>
      </c>
      <c r="E1907" t="s">
        <v>9</v>
      </c>
      <c r="F1907" s="2" t="s">
        <v>15</v>
      </c>
      <c r="H1907" s="2"/>
    </row>
    <row r="1908" spans="1:12" customFormat="1" ht="16" x14ac:dyDescent="0.2">
      <c r="A1908" t="s">
        <v>79</v>
      </c>
      <c r="B1908" s="3">
        <v>2.3474178403755879E-8</v>
      </c>
      <c r="D1908" t="s">
        <v>14</v>
      </c>
      <c r="E1908" t="s">
        <v>9</v>
      </c>
      <c r="F1908" s="2" t="s">
        <v>15</v>
      </c>
      <c r="H1908" s="2"/>
    </row>
    <row r="1909" spans="1:12" customFormat="1" ht="16" x14ac:dyDescent="0.2">
      <c r="A1909" t="s">
        <v>80</v>
      </c>
      <c r="B1909" s="3">
        <v>1.0417159155842839E-6</v>
      </c>
      <c r="D1909" t="s">
        <v>14</v>
      </c>
      <c r="E1909" t="s">
        <v>9</v>
      </c>
      <c r="F1909" s="2" t="s">
        <v>15</v>
      </c>
      <c r="H1909" s="2"/>
    </row>
    <row r="1910" spans="1:12" customFormat="1" ht="16" x14ac:dyDescent="0.2">
      <c r="A1910" t="s">
        <v>81</v>
      </c>
      <c r="B1910" s="3">
        <v>2.4967455068997787E-7</v>
      </c>
      <c r="D1910" t="s">
        <v>14</v>
      </c>
      <c r="E1910" t="s">
        <v>9</v>
      </c>
      <c r="F1910" s="2" t="s">
        <v>15</v>
      </c>
      <c r="H1910" s="2"/>
    </row>
    <row r="1911" spans="1:12" customFormat="1" ht="16" x14ac:dyDescent="0.2"/>
    <row r="1912" spans="1:12" x14ac:dyDescent="0.2">
      <c r="A1912" s="17" t="s">
        <v>2</v>
      </c>
      <c r="B1912" s="17" t="s">
        <v>140</v>
      </c>
    </row>
    <row r="1913" spans="1:12" customFormat="1" ht="16" x14ac:dyDescent="0.2">
      <c r="A1913" s="2" t="s">
        <v>3</v>
      </c>
      <c r="B1913" s="2" t="s">
        <v>18</v>
      </c>
      <c r="C1913" s="2"/>
      <c r="D1913" s="2"/>
      <c r="E1913" s="2"/>
      <c r="F1913" s="2"/>
      <c r="G1913" s="2"/>
      <c r="H1913" s="2"/>
      <c r="I1913" s="2"/>
      <c r="J1913" s="2"/>
      <c r="K1913" s="2"/>
      <c r="L1913" s="2"/>
    </row>
    <row r="1914" spans="1:12" customFormat="1" ht="16" x14ac:dyDescent="0.2">
      <c r="A1914" t="s">
        <v>153</v>
      </c>
      <c r="B1914" t="s">
        <v>181</v>
      </c>
      <c r="C1914" s="2"/>
      <c r="D1914" s="2"/>
      <c r="E1914" s="2"/>
      <c r="F1914" s="2"/>
      <c r="G1914" s="2"/>
      <c r="H1914" s="2"/>
      <c r="I1914" s="2"/>
      <c r="J1914" s="2"/>
      <c r="K1914" s="2"/>
      <c r="L1914" s="2"/>
    </row>
    <row r="1915" spans="1:12" customFormat="1" ht="16" x14ac:dyDescent="0.2">
      <c r="A1915" s="2" t="s">
        <v>4</v>
      </c>
      <c r="B1915" s="2">
        <v>1</v>
      </c>
      <c r="C1915" s="2"/>
      <c r="D1915" s="2"/>
      <c r="E1915" s="2"/>
      <c r="F1915" s="2"/>
      <c r="G1915" s="2"/>
      <c r="H1915" s="2"/>
      <c r="I1915" s="2"/>
      <c r="J1915" s="2"/>
      <c r="K1915" s="2"/>
      <c r="L1915" s="2"/>
    </row>
    <row r="1916" spans="1:12" customFormat="1" ht="16" x14ac:dyDescent="0.2">
      <c r="A1916" s="2" t="s">
        <v>5</v>
      </c>
      <c r="B1916" s="2" t="s">
        <v>143</v>
      </c>
      <c r="C1916" s="2"/>
      <c r="D1916" s="2"/>
      <c r="E1916" s="2"/>
      <c r="F1916" s="2"/>
      <c r="G1916" s="2"/>
      <c r="H1916" s="2"/>
      <c r="I1916" s="2"/>
      <c r="J1916" s="2"/>
    </row>
    <row r="1917" spans="1:12" customFormat="1" ht="16" x14ac:dyDescent="0.2">
      <c r="A1917" s="2" t="s">
        <v>6</v>
      </c>
      <c r="B1917" s="2" t="s">
        <v>7</v>
      </c>
      <c r="C1917" s="2"/>
      <c r="D1917" s="2"/>
      <c r="E1917" s="2"/>
      <c r="F1917" s="2"/>
      <c r="G1917" s="2"/>
      <c r="H1917" s="2"/>
      <c r="I1917" s="2"/>
      <c r="J1917" s="2"/>
      <c r="K1917" s="2"/>
      <c r="L1917" s="2"/>
    </row>
    <row r="1918" spans="1:12" customFormat="1" ht="16" x14ac:dyDescent="0.2">
      <c r="A1918" s="2" t="s">
        <v>8</v>
      </c>
      <c r="B1918" s="2" t="s">
        <v>17</v>
      </c>
      <c r="C1918" s="2"/>
      <c r="D1918" s="2"/>
      <c r="E1918" s="2"/>
      <c r="F1918" s="2"/>
      <c r="G1918" s="2"/>
      <c r="H1918" s="2"/>
      <c r="I1918" s="2"/>
      <c r="J1918" s="2"/>
      <c r="K1918" s="2"/>
      <c r="L1918" s="2"/>
    </row>
    <row r="1919" spans="1:12" customFormat="1" ht="16" x14ac:dyDescent="0.2">
      <c r="A1919" t="s">
        <v>355</v>
      </c>
      <c r="B1919" s="2">
        <f>INDEX(Parameters!$B$6:$AL$54,MATCH(Inventories!$B$1912,Parameters!$A$6:$A$54,0),MATCH(Inventories!$A1919,Parameters!$B$4:$AL$4,0))</f>
        <v>141</v>
      </c>
      <c r="C1919" t="s">
        <v>315</v>
      </c>
      <c r="D1919" s="2"/>
      <c r="E1919" s="2"/>
      <c r="F1919" s="2"/>
      <c r="G1919" s="2"/>
      <c r="H1919" s="2"/>
      <c r="I1919" s="2"/>
      <c r="J1919" s="2"/>
      <c r="K1919" s="2"/>
      <c r="L1919" s="2"/>
    </row>
    <row r="1920" spans="1:12" customFormat="1" ht="16" x14ac:dyDescent="0.2">
      <c r="A1920" t="s">
        <v>356</v>
      </c>
      <c r="B1920" s="2">
        <f>INDEX(Parameters!$B$6:$AL$54,MATCH(Inventories!$B$1912,Parameters!$A$6:$A$54,0),MATCH(Inventories!$A1920,Parameters!$B$4:$AL$4,0))</f>
        <v>57</v>
      </c>
      <c r="C1920" t="s">
        <v>315</v>
      </c>
      <c r="D1920" s="2"/>
      <c r="E1920" s="2"/>
      <c r="F1920" s="2"/>
      <c r="G1920" s="2"/>
      <c r="H1920" s="2"/>
      <c r="I1920" s="2"/>
      <c r="J1920" s="2"/>
      <c r="K1920" s="2"/>
      <c r="L1920" s="2"/>
    </row>
    <row r="1921" spans="1:12" customFormat="1" ht="16" x14ac:dyDescent="0.2">
      <c r="A1921" t="s">
        <v>357</v>
      </c>
      <c r="B1921" s="2">
        <f>INDEX(Parameters!$B$6:$AL$54,MATCH(Inventories!$B$1912,Parameters!$A$6:$A$54,0),MATCH(Inventories!$A1921,Parameters!$B$4:$AL$4,0))</f>
        <v>166</v>
      </c>
      <c r="C1921" t="s">
        <v>315</v>
      </c>
      <c r="D1921" s="2"/>
      <c r="E1921" s="2"/>
      <c r="F1921" s="2"/>
      <c r="G1921" s="2"/>
      <c r="H1921" s="2"/>
      <c r="I1921" s="2"/>
      <c r="J1921" s="2"/>
      <c r="K1921" s="2"/>
      <c r="L1921" s="2"/>
    </row>
    <row r="1922" spans="1:12" customFormat="1" ht="16" x14ac:dyDescent="0.2">
      <c r="A1922" t="s">
        <v>319</v>
      </c>
      <c r="B1922" s="24">
        <f>INDEX(Parameters!$B$6:$AL$54,MATCH(Inventories!$B$1912,Parameters!$A$6:$A$54,0),MATCH(Inventories!$A1922,Parameters!$B$4:$AL$4,0))</f>
        <v>200000</v>
      </c>
      <c r="C1922" t="s">
        <v>316</v>
      </c>
      <c r="D1922" s="2"/>
      <c r="E1922" s="2"/>
      <c r="F1922" s="2"/>
      <c r="G1922" s="2"/>
      <c r="H1922" s="2"/>
      <c r="I1922" s="2"/>
      <c r="J1922" s="2"/>
      <c r="K1922" s="2"/>
      <c r="L1922" s="2"/>
    </row>
    <row r="1923" spans="1:12" customFormat="1" ht="16" x14ac:dyDescent="0.2">
      <c r="A1923" t="s">
        <v>320</v>
      </c>
      <c r="B1923" s="24">
        <f>INDEX(Parameters!$B$6:$AL$54,MATCH(Inventories!$B$1912,Parameters!$A$6:$A$54,0),MATCH(Inventories!$A1923,Parameters!$B$4:$AL$4,0))</f>
        <v>160000</v>
      </c>
      <c r="C1923" t="s">
        <v>316</v>
      </c>
      <c r="D1923" s="2"/>
      <c r="E1923" s="2"/>
      <c r="F1923" s="2"/>
      <c r="G1923" s="2"/>
      <c r="H1923" s="2"/>
      <c r="I1923" s="2"/>
      <c r="J1923" s="2"/>
      <c r="K1923" s="2"/>
      <c r="L1923" s="2"/>
    </row>
    <row r="1924" spans="1:12" customFormat="1" ht="16" x14ac:dyDescent="0.2">
      <c r="A1924" t="s">
        <v>321</v>
      </c>
      <c r="B1924" s="24">
        <f>INDEX(Parameters!$B$6:$AL$54,MATCH(Inventories!$B$1912,Parameters!$A$6:$A$54,0),MATCH(Inventories!$A1924,Parameters!$B$4:$AL$4,0))</f>
        <v>250000</v>
      </c>
      <c r="C1924" t="s">
        <v>316</v>
      </c>
      <c r="D1924" s="2"/>
      <c r="E1924" s="2"/>
      <c r="F1924" s="2"/>
      <c r="G1924" s="2"/>
      <c r="H1924" s="2"/>
      <c r="I1924" s="2"/>
      <c r="J1924" s="2"/>
      <c r="K1924" s="2"/>
      <c r="L1924" s="2"/>
    </row>
    <row r="1925" spans="1:12" customFormat="1" ht="16" x14ac:dyDescent="0.2">
      <c r="A1925" t="s">
        <v>322</v>
      </c>
      <c r="B1925" s="2">
        <f>INDEX(Parameters!$B$6:$AL$54,MATCH(Inventories!$B$1912,Parameters!$A$6:$A$54,0),MATCH(Inventories!$A1925,Parameters!$B$4:$AL$4,0))</f>
        <v>610</v>
      </c>
      <c r="C1925" t="s">
        <v>317</v>
      </c>
      <c r="D1925" s="2"/>
      <c r="E1925" s="2"/>
      <c r="F1925" s="2"/>
      <c r="G1925" s="2"/>
      <c r="H1925" s="2"/>
      <c r="I1925" s="2"/>
      <c r="J1925" s="2"/>
      <c r="K1925" s="2"/>
      <c r="L1925" s="2"/>
    </row>
    <row r="1926" spans="1:12" customFormat="1" ht="16" x14ac:dyDescent="0.2">
      <c r="A1926" t="s">
        <v>323</v>
      </c>
      <c r="B1926" s="2">
        <f>INDEX(Parameters!$B$6:$AL$54,MATCH(Inventories!$B$1912,Parameters!$A$6:$A$54,0),MATCH(Inventories!$A1926,Parameters!$B$4:$AL$4,0))</f>
        <v>530</v>
      </c>
      <c r="C1926" t="s">
        <v>317</v>
      </c>
      <c r="D1926" s="2"/>
      <c r="E1926" s="2"/>
      <c r="F1926" s="2"/>
      <c r="G1926" s="2"/>
      <c r="H1926" s="2"/>
      <c r="I1926" s="2"/>
      <c r="J1926" s="2"/>
      <c r="K1926" s="2"/>
      <c r="L1926" s="2"/>
    </row>
    <row r="1927" spans="1:12" customFormat="1" ht="16" x14ac:dyDescent="0.2">
      <c r="A1927" t="s">
        <v>324</v>
      </c>
      <c r="B1927" s="2">
        <f>INDEX(Parameters!$B$6:$AL$54,MATCH(Inventories!$B$1912,Parameters!$A$6:$A$54,0),MATCH(Inventories!$A1927,Parameters!$B$4:$AL$4,0))</f>
        <v>900</v>
      </c>
      <c r="C1927" t="s">
        <v>317</v>
      </c>
      <c r="D1927" s="2"/>
      <c r="E1927" s="2"/>
      <c r="F1927" s="2"/>
      <c r="G1927" s="2"/>
      <c r="H1927" s="2"/>
      <c r="I1927" s="2"/>
      <c r="J1927" s="2"/>
      <c r="K1927" s="2"/>
      <c r="L1927" s="2"/>
    </row>
    <row r="1928" spans="1:12" customFormat="1" ht="16" x14ac:dyDescent="0.2">
      <c r="A1928" t="s">
        <v>340</v>
      </c>
      <c r="B1928" s="2">
        <f>INDEX(Parameters!$B$6:$AL$54,MATCH(Inventories!$B$1912,Parameters!$A$6:$A$54,0),MATCH(Inventories!$A1928,Parameters!$B$4:$AL$4,0))</f>
        <v>90</v>
      </c>
      <c r="C1928" t="s">
        <v>339</v>
      </c>
      <c r="D1928" s="2"/>
      <c r="E1928" s="2"/>
      <c r="F1928" s="2"/>
      <c r="G1928" s="2"/>
      <c r="H1928" s="2"/>
      <c r="I1928" s="2"/>
      <c r="J1928" s="2"/>
      <c r="K1928" s="2"/>
      <c r="L1928" s="2"/>
    </row>
    <row r="1929" spans="1:12" customFormat="1" ht="16" x14ac:dyDescent="0.2">
      <c r="A1929" t="s">
        <v>341</v>
      </c>
      <c r="B1929" s="2">
        <f>INDEX(Parameters!$B$6:$AL$54,MATCH(Inventories!$B$1912,Parameters!$A$6:$A$54,0),MATCH(Inventories!$A1929,Parameters!$B$4:$AL$4,0))</f>
        <v>47</v>
      </c>
      <c r="C1929" t="s">
        <v>339</v>
      </c>
      <c r="D1929" s="2"/>
      <c r="E1929" s="2"/>
      <c r="F1929" s="2"/>
      <c r="G1929" s="2"/>
      <c r="H1929" s="2"/>
      <c r="I1929" s="2"/>
      <c r="J1929" s="2"/>
      <c r="K1929" s="2"/>
      <c r="L1929" s="2"/>
    </row>
    <row r="1930" spans="1:12" customFormat="1" ht="16" x14ac:dyDescent="0.2">
      <c r="A1930" t="s">
        <v>342</v>
      </c>
      <c r="B1930" s="2">
        <f>INDEX(Parameters!$B$6:$AL$54,MATCH(Inventories!$B$1912,Parameters!$A$6:$A$54,0),MATCH(Inventories!$A1930,Parameters!$B$4:$AL$4,0))</f>
        <v>102</v>
      </c>
      <c r="C1930" t="s">
        <v>339</v>
      </c>
      <c r="D1930" s="2"/>
      <c r="E1930" s="2"/>
      <c r="F1930" s="2"/>
      <c r="G1930" s="2"/>
      <c r="H1930" s="2"/>
      <c r="I1930" s="2"/>
      <c r="J1930" s="2"/>
      <c r="K1930" s="2"/>
      <c r="L1930" s="2"/>
    </row>
    <row r="1931" spans="1:12" customFormat="1" ht="16" x14ac:dyDescent="0.2">
      <c r="A1931" t="s">
        <v>343</v>
      </c>
      <c r="B1931" s="2">
        <f>INDEX(Parameters!$B$6:$AL$54,MATCH(Inventories!$B$1912,Parameters!$A$6:$A$54,0),MATCH(Inventories!$A1931,Parameters!$B$4:$AL$4,0))</f>
        <v>0</v>
      </c>
      <c r="C1931" t="s">
        <v>339</v>
      </c>
      <c r="D1931" s="2"/>
      <c r="E1931" s="2"/>
      <c r="F1931" s="2"/>
      <c r="G1931" s="2"/>
      <c r="H1931" s="2"/>
      <c r="I1931" s="2"/>
      <c r="J1931" s="2"/>
      <c r="K1931" s="2"/>
      <c r="L1931" s="2"/>
    </row>
    <row r="1932" spans="1:12" customFormat="1" ht="16" x14ac:dyDescent="0.2">
      <c r="A1932" t="s">
        <v>344</v>
      </c>
      <c r="B1932" s="2">
        <f>INDEX(Parameters!$B$6:$AL$54,MATCH(Inventories!$B$1912,Parameters!$A$6:$A$54,0),MATCH(Inventories!$A1932,Parameters!$B$4:$AL$4,0))</f>
        <v>0</v>
      </c>
      <c r="C1932" t="s">
        <v>339</v>
      </c>
      <c r="D1932" s="2"/>
      <c r="E1932" s="2"/>
      <c r="F1932" s="2"/>
      <c r="G1932" s="2"/>
      <c r="H1932" s="2"/>
      <c r="I1932" s="2"/>
      <c r="J1932" s="2"/>
      <c r="K1932" s="2"/>
      <c r="L1932" s="2"/>
    </row>
    <row r="1933" spans="1:12" customFormat="1" ht="16" x14ac:dyDescent="0.2">
      <c r="A1933" t="s">
        <v>345</v>
      </c>
      <c r="B1933" s="2">
        <f>INDEX(Parameters!$B$6:$AL$54,MATCH(Inventories!$B$1912,Parameters!$A$6:$A$54,0),MATCH(Inventories!$A1933,Parameters!$B$4:$AL$4,0))</f>
        <v>0</v>
      </c>
      <c r="C1933" t="s">
        <v>339</v>
      </c>
      <c r="D1933" s="2"/>
      <c r="E1933" s="2"/>
      <c r="F1933" s="2"/>
      <c r="G1933" s="2"/>
      <c r="H1933" s="2"/>
      <c r="I1933" s="2"/>
      <c r="J1933" s="2"/>
      <c r="K1933" s="2"/>
      <c r="L1933" s="2"/>
    </row>
    <row r="1934" spans="1:12" customFormat="1" ht="16" x14ac:dyDescent="0.2">
      <c r="A1934" t="s">
        <v>336</v>
      </c>
      <c r="B1934" s="2">
        <f>INDEX(Parameters!$B$6:$AL$54,MATCH(Inventories!$B$1912,Parameters!$A$6:$A$54,0),MATCH(Inventories!$A1934,Parameters!$B$4:$AL$4,0))</f>
        <v>0</v>
      </c>
      <c r="C1934" t="s">
        <v>339</v>
      </c>
      <c r="D1934" s="2"/>
      <c r="E1934" s="2"/>
      <c r="F1934" s="2"/>
      <c r="G1934" s="2"/>
      <c r="H1934" s="2"/>
      <c r="I1934" s="2"/>
      <c r="J1934" s="2"/>
      <c r="K1934" s="2"/>
      <c r="L1934" s="2"/>
    </row>
    <row r="1935" spans="1:12" customFormat="1" ht="16" x14ac:dyDescent="0.2">
      <c r="A1935" t="s">
        <v>337</v>
      </c>
      <c r="B1935" s="2">
        <f>INDEX(Parameters!$B$6:$AL$54,MATCH(Inventories!$B$1912,Parameters!$A$6:$A$54,0),MATCH(Inventories!$A1935,Parameters!$B$4:$AL$4,0))</f>
        <v>0</v>
      </c>
      <c r="C1935" t="s">
        <v>339</v>
      </c>
      <c r="D1935" s="2"/>
      <c r="E1935" s="2"/>
      <c r="F1935" s="2"/>
      <c r="G1935" s="2"/>
      <c r="H1935" s="2"/>
      <c r="I1935" s="2"/>
      <c r="J1935" s="2"/>
      <c r="K1935" s="2"/>
      <c r="L1935" s="2"/>
    </row>
    <row r="1936" spans="1:12" customFormat="1" ht="16" x14ac:dyDescent="0.2">
      <c r="A1936" t="s">
        <v>338</v>
      </c>
      <c r="B1936" s="2">
        <f>INDEX(Parameters!$B$6:$AL$54,MATCH(Inventories!$B$1912,Parameters!$A$6:$A$54,0),MATCH(Inventories!$A1936,Parameters!$B$4:$AL$4,0))</f>
        <v>0</v>
      </c>
      <c r="C1936" t="s">
        <v>339</v>
      </c>
      <c r="D1936" s="2"/>
      <c r="E1936" s="2"/>
      <c r="F1936" s="2"/>
      <c r="G1936" s="2"/>
      <c r="H1936" s="2"/>
      <c r="I1936" s="2"/>
      <c r="J1936" s="2"/>
      <c r="K1936" s="2"/>
      <c r="L1936" s="2"/>
    </row>
    <row r="1937" spans="1:12" customFormat="1" ht="16" x14ac:dyDescent="0.2">
      <c r="A1937" t="s">
        <v>325</v>
      </c>
      <c r="B1937" s="2">
        <f>INDEX(Parameters!$B$6:$AL$54,MATCH(Inventories!$B$1912,Parameters!$A$6:$A$54,0),MATCH(Inventories!$A1937,Parameters!$B$4:$AL$4,0))</f>
        <v>67</v>
      </c>
      <c r="C1937" t="s">
        <v>318</v>
      </c>
      <c r="D1937" s="2"/>
      <c r="E1937" s="2"/>
      <c r="F1937" s="2"/>
      <c r="G1937" s="2"/>
      <c r="H1937" s="2"/>
      <c r="I1937" s="2"/>
      <c r="J1937" s="2"/>
      <c r="K1937" s="2"/>
      <c r="L1937" s="2"/>
    </row>
    <row r="1938" spans="1:12" customFormat="1" ht="16" x14ac:dyDescent="0.2">
      <c r="A1938" t="s">
        <v>326</v>
      </c>
      <c r="B1938" s="2">
        <f>INDEX(Parameters!$B$6:$AL$54,MATCH(Inventories!$B$1912,Parameters!$A$6:$A$54,0),MATCH(Inventories!$A1938,Parameters!$B$4:$AL$4,0))</f>
        <v>48</v>
      </c>
      <c r="C1938" t="s">
        <v>318</v>
      </c>
      <c r="D1938" s="2"/>
      <c r="E1938" s="2"/>
      <c r="F1938" s="2"/>
      <c r="G1938" s="2"/>
      <c r="H1938" s="2"/>
      <c r="I1938" s="2"/>
      <c r="J1938" s="2"/>
      <c r="K1938" s="2"/>
      <c r="L1938" s="2"/>
    </row>
    <row r="1939" spans="1:12" customFormat="1" ht="16" x14ac:dyDescent="0.2">
      <c r="A1939" t="s">
        <v>327</v>
      </c>
      <c r="B1939" s="2">
        <f>INDEX(Parameters!$B$6:$AL$54,MATCH(Inventories!$B$1912,Parameters!$A$6:$A$54,0),MATCH(Inventories!$A1939,Parameters!$B$4:$AL$4,0))</f>
        <v>110</v>
      </c>
      <c r="C1939" t="s">
        <v>318</v>
      </c>
      <c r="D1939" s="2"/>
      <c r="E1939" s="2"/>
      <c r="F1939" s="2"/>
      <c r="G1939" s="2"/>
      <c r="H1939" s="2"/>
      <c r="I1939" s="2"/>
      <c r="J1939" s="2"/>
      <c r="K1939" s="2"/>
      <c r="L1939" s="2"/>
    </row>
    <row r="1940" spans="1:12" customFormat="1" ht="16" x14ac:dyDescent="0.2">
      <c r="A1940" t="s">
        <v>333</v>
      </c>
      <c r="B1940" s="2">
        <f>INDEX(Parameters!$B$6:$AL$54,MATCH(Inventories!$B$1912,Parameters!$A$6:$A$54,0),MATCH(Inventories!$A1940,Parameters!$B$4:$AL$4,0))</f>
        <v>0</v>
      </c>
      <c r="C1940" t="s">
        <v>8</v>
      </c>
      <c r="D1940" s="2"/>
      <c r="E1940" s="2"/>
      <c r="F1940" s="2"/>
      <c r="G1940" s="2"/>
      <c r="H1940" s="2"/>
      <c r="I1940" s="2"/>
      <c r="J1940" s="2"/>
      <c r="K1940" s="2"/>
      <c r="L1940" s="2"/>
    </row>
    <row r="1941" spans="1:12" customFormat="1" ht="16" x14ac:dyDescent="0.2">
      <c r="A1941" t="s">
        <v>334</v>
      </c>
      <c r="B1941" s="2">
        <f>INDEX(Parameters!$B$6:$AL$54,MATCH(Inventories!$B$1912,Parameters!$A$6:$A$54,0),MATCH(Inventories!$A1941,Parameters!$B$4:$AL$4,0))</f>
        <v>0</v>
      </c>
      <c r="C1941" t="s">
        <v>8</v>
      </c>
      <c r="D1941" s="2"/>
      <c r="E1941" s="2"/>
      <c r="F1941" s="2"/>
      <c r="G1941" s="2"/>
      <c r="H1941" s="2"/>
      <c r="I1941" s="2"/>
      <c r="J1941" s="2"/>
      <c r="K1941" s="2"/>
      <c r="L1941" s="2"/>
    </row>
    <row r="1942" spans="1:12" customFormat="1" ht="16" x14ac:dyDescent="0.2">
      <c r="A1942" t="s">
        <v>335</v>
      </c>
      <c r="B1942" s="2">
        <f>INDEX(Parameters!$B$6:$AL$54,MATCH(Inventories!$B$1912,Parameters!$A$6:$A$54,0),MATCH(Inventories!$A1942,Parameters!$B$4:$AL$4,0))</f>
        <v>0</v>
      </c>
      <c r="C1942" t="s">
        <v>8</v>
      </c>
      <c r="D1942" s="2"/>
      <c r="E1942" s="2"/>
      <c r="F1942" s="2"/>
      <c r="G1942" s="2"/>
      <c r="H1942" s="2"/>
      <c r="I1942" s="2"/>
      <c r="J1942" s="2"/>
      <c r="K1942" s="2"/>
      <c r="L1942" s="2"/>
    </row>
    <row r="1943" spans="1:12" customFormat="1" ht="16" x14ac:dyDescent="0.2">
      <c r="A1943" t="s">
        <v>349</v>
      </c>
      <c r="B1943" s="2">
        <f>INDEX(Parameters!$B$6:$AL$54,MATCH(Inventories!$B$1912,Parameters!$A$6:$A$54,0),MATCH(Inventories!$A1943,Parameters!$B$4:$AL$4,0))</f>
        <v>0</v>
      </c>
      <c r="C1943" t="s">
        <v>315</v>
      </c>
      <c r="D1943" s="2"/>
      <c r="E1943" s="2"/>
      <c r="F1943" s="2"/>
      <c r="G1943" s="2"/>
      <c r="H1943" s="2"/>
      <c r="I1943" s="2"/>
      <c r="J1943" s="2"/>
      <c r="K1943" s="2"/>
      <c r="L1943" s="2"/>
    </row>
    <row r="1944" spans="1:12" customFormat="1" ht="16" x14ac:dyDescent="0.2">
      <c r="A1944" t="s">
        <v>350</v>
      </c>
      <c r="B1944" s="2">
        <f>INDEX(Parameters!$B$6:$AL$54,MATCH(Inventories!$B$1912,Parameters!$A$6:$A$54,0),MATCH(Inventories!$A1944,Parameters!$B$4:$AL$4,0))</f>
        <v>0</v>
      </c>
      <c r="C1944" t="s">
        <v>315</v>
      </c>
      <c r="D1944" s="2"/>
      <c r="E1944" s="12"/>
      <c r="F1944" s="2"/>
      <c r="G1944" s="2"/>
      <c r="H1944" s="2"/>
      <c r="I1944" s="2"/>
      <c r="J1944" s="2"/>
      <c r="K1944" s="2"/>
      <c r="L1944" s="2"/>
    </row>
    <row r="1945" spans="1:12" customFormat="1" ht="16" x14ac:dyDescent="0.2">
      <c r="A1945" t="s">
        <v>351</v>
      </c>
      <c r="B1945" s="2">
        <f>INDEX(Parameters!$B$6:$AL$54,MATCH(Inventories!$B$1912,Parameters!$A$6:$A$54,0),MATCH(Inventories!$A1945,Parameters!$B$4:$AL$4,0))</f>
        <v>0</v>
      </c>
      <c r="C1945" t="s">
        <v>315</v>
      </c>
      <c r="D1945" s="2"/>
      <c r="E1945" s="2"/>
      <c r="F1945" s="2"/>
      <c r="G1945" s="2"/>
      <c r="H1945" s="2"/>
      <c r="I1945" s="2"/>
      <c r="J1945" s="2"/>
      <c r="K1945" s="2"/>
      <c r="L1945" s="2"/>
    </row>
    <row r="1946" spans="1:12" customFormat="1" ht="16" x14ac:dyDescent="0.2">
      <c r="A1946" t="s">
        <v>352</v>
      </c>
      <c r="B1946" s="2">
        <f>INDEX(Parameters!$B$6:$AL$54,MATCH(Inventories!$B$1912,Parameters!$A$6:$A$54,0),MATCH(Inventories!$A1946,Parameters!$B$4:$AL$4,0))</f>
        <v>0</v>
      </c>
      <c r="C1946" t="s">
        <v>8</v>
      </c>
      <c r="D1946" s="2"/>
      <c r="E1946" s="2"/>
      <c r="F1946" s="2"/>
      <c r="G1946" s="2"/>
      <c r="H1946" s="2"/>
      <c r="I1946" s="2"/>
      <c r="J1946" s="2"/>
      <c r="K1946" s="2"/>
      <c r="L1946" s="2"/>
    </row>
    <row r="1947" spans="1:12" customFormat="1" ht="16" x14ac:dyDescent="0.2">
      <c r="A1947" t="s">
        <v>353</v>
      </c>
      <c r="B1947" s="2">
        <f>INDEX(Parameters!$B$6:$AL$54,MATCH(Inventories!$B$1912,Parameters!$A$6:$A$54,0),MATCH(Inventories!$A1947,Parameters!$B$4:$AL$4,0))</f>
        <v>0</v>
      </c>
      <c r="C1947" t="s">
        <v>8</v>
      </c>
      <c r="D1947" s="2"/>
      <c r="E1947" s="2"/>
      <c r="F1947" s="2"/>
      <c r="G1947" s="2"/>
      <c r="H1947" s="2"/>
      <c r="I1947" s="2"/>
      <c r="J1947" s="2"/>
      <c r="K1947" s="2"/>
      <c r="L1947" s="2"/>
    </row>
    <row r="1948" spans="1:12" customFormat="1" ht="16" x14ac:dyDescent="0.2">
      <c r="A1948" t="s">
        <v>354</v>
      </c>
      <c r="B1948" s="2">
        <f>INDEX(Parameters!$B$6:$AL$54,MATCH(Inventories!$B$1912,Parameters!$A$6:$A$54,0),MATCH(Inventories!$A1948,Parameters!$B$4:$AL$4,0))</f>
        <v>0</v>
      </c>
      <c r="C1948" t="s">
        <v>8</v>
      </c>
      <c r="D1948" s="2"/>
      <c r="E1948" s="2"/>
      <c r="F1948" s="2"/>
      <c r="G1948" s="2"/>
      <c r="H1948" s="2"/>
      <c r="I1948" s="2"/>
      <c r="J1948" s="2"/>
      <c r="K1948" s="2"/>
      <c r="L1948" s="2"/>
    </row>
    <row r="1949" spans="1:12" customFormat="1" ht="16" x14ac:dyDescent="0.2">
      <c r="A1949" t="s">
        <v>368</v>
      </c>
      <c r="B1949" s="2">
        <f>INDEX(Parameters!$B$6:$AL$54,MATCH(Inventories!$B$1912,Parameters!$A$6:$A$54,0),MATCH(Inventories!$A1949,Parameters!$B$4:$AL$4,0))</f>
        <v>5</v>
      </c>
      <c r="C1949" t="s">
        <v>339</v>
      </c>
      <c r="D1949" s="2"/>
      <c r="E1949" s="2"/>
      <c r="F1949" s="2"/>
      <c r="G1949" s="2"/>
      <c r="H1949" s="2"/>
      <c r="I1949" s="2"/>
      <c r="J1949" s="2"/>
      <c r="K1949" s="2"/>
      <c r="L1949" s="2"/>
    </row>
    <row r="1950" spans="1:12" customFormat="1" ht="16" x14ac:dyDescent="0.2">
      <c r="A1950" t="s">
        <v>369</v>
      </c>
      <c r="B1950" s="2">
        <f>INDEX(Parameters!$B$6:$AL$54,MATCH(Inventories!$B$1912,Parameters!$A$6:$A$54,0),MATCH(Inventories!$A1950,Parameters!$B$4:$AL$4,0))</f>
        <v>3</v>
      </c>
      <c r="C1950" t="s">
        <v>339</v>
      </c>
      <c r="D1950" s="2"/>
      <c r="E1950" s="2"/>
      <c r="F1950" s="2"/>
      <c r="G1950" s="2"/>
      <c r="H1950" s="2"/>
      <c r="I1950" s="2"/>
      <c r="J1950" s="2"/>
      <c r="K1950" s="2"/>
      <c r="L1950" s="2"/>
    </row>
    <row r="1951" spans="1:12" customFormat="1" ht="16" x14ac:dyDescent="0.2">
      <c r="A1951" t="s">
        <v>370</v>
      </c>
      <c r="B1951" s="2">
        <f>INDEX(Parameters!$B$6:$AL$54,MATCH(Inventories!$B$1912,Parameters!$A$6:$A$54,0),MATCH(Inventories!$A1951,Parameters!$B$4:$AL$4,0))</f>
        <v>4</v>
      </c>
      <c r="C1951" t="s">
        <v>339</v>
      </c>
      <c r="D1951" s="2"/>
      <c r="E1951" s="2"/>
      <c r="F1951" s="2"/>
      <c r="G1951" s="2"/>
      <c r="H1951" s="2"/>
      <c r="I1951" s="2"/>
      <c r="J1951" s="2"/>
      <c r="K1951" s="2"/>
      <c r="L1951" s="2"/>
    </row>
    <row r="1952" spans="1:12" customFormat="1" ht="16" x14ac:dyDescent="0.2">
      <c r="A1952" t="s">
        <v>371</v>
      </c>
      <c r="B1952" s="2">
        <f>INDEX(Parameters!$B$6:$AL$54,MATCH(Inventories!$B$1912,Parameters!$A$6:$A$54,0),MATCH(Inventories!$A1952,Parameters!$B$4:$AL$4,0))</f>
        <v>0</v>
      </c>
      <c r="C1952" t="s">
        <v>339</v>
      </c>
      <c r="D1952" s="2"/>
      <c r="E1952" s="2"/>
      <c r="F1952" s="2"/>
      <c r="G1952" s="2"/>
      <c r="H1952" s="2"/>
      <c r="I1952" s="2"/>
      <c r="J1952" s="2"/>
      <c r="K1952" s="2"/>
      <c r="L1952" s="2"/>
    </row>
    <row r="1953" spans="1:12" customFormat="1" ht="16" x14ac:dyDescent="0.2">
      <c r="A1953" t="s">
        <v>372</v>
      </c>
      <c r="B1953" s="2">
        <f>INDEX(Parameters!$B$6:$AL$54,MATCH(Inventories!$B$1912,Parameters!$A$6:$A$54,0),MATCH(Inventories!$A1953,Parameters!$B$4:$AL$4,0))</f>
        <v>8</v>
      </c>
      <c r="C1953" t="s">
        <v>339</v>
      </c>
      <c r="D1953" s="2"/>
      <c r="E1953" s="2"/>
      <c r="F1953" s="2"/>
      <c r="G1953" s="2"/>
      <c r="H1953" s="2"/>
      <c r="I1953" s="2"/>
      <c r="J1953" s="2"/>
      <c r="K1953" s="2"/>
      <c r="L1953" s="2"/>
    </row>
    <row r="1954" spans="1:12" customFormat="1" ht="16" x14ac:dyDescent="0.2">
      <c r="A1954" t="s">
        <v>347</v>
      </c>
      <c r="B1954" s="12">
        <f>INDEX(Parameters!$B$6:$AL$54,MATCH(Inventories!$B$1912,Parameters!$A$6:$A$54,0),MATCH(Inventories!$A1954,Parameters!$B$4:$AL$4,0))</f>
        <v>0</v>
      </c>
      <c r="C1954" t="s">
        <v>348</v>
      </c>
      <c r="D1954" s="2"/>
      <c r="E1954" s="2"/>
      <c r="F1954" s="2"/>
      <c r="G1954" s="2"/>
      <c r="H1954" s="2"/>
      <c r="I1954" s="2"/>
      <c r="J1954" s="2"/>
      <c r="K1954" s="2"/>
      <c r="L1954" s="2"/>
    </row>
    <row r="1955" spans="1:12" customFormat="1" ht="16" x14ac:dyDescent="0.2">
      <c r="A1955" t="s">
        <v>346</v>
      </c>
      <c r="B1955" s="12">
        <f>INDEX(Parameters!$B$6:$AL$54,MATCH(Inventories!$B$1912,Parameters!$A$6:$A$54,0),MATCH(Inventories!$A1955,Parameters!$B$4:$AL$4,0))</f>
        <v>0</v>
      </c>
      <c r="C1955" t="s">
        <v>348</v>
      </c>
      <c r="D1955" s="2"/>
      <c r="E1955" s="2"/>
      <c r="F1955" s="2"/>
      <c r="G1955" s="2"/>
      <c r="H1955" s="2"/>
      <c r="I1955" s="2"/>
      <c r="J1955" s="2"/>
      <c r="K1955" s="2"/>
      <c r="L1955" s="2"/>
    </row>
    <row r="1956" spans="1:12" customFormat="1" ht="16" x14ac:dyDescent="0.2">
      <c r="A1956" s="1" t="s">
        <v>10</v>
      </c>
      <c r="B1956" s="2"/>
      <c r="C1956" s="2"/>
      <c r="D1956" s="2"/>
      <c r="E1956" s="2"/>
      <c r="F1956" s="2"/>
      <c r="G1956" s="2"/>
      <c r="H1956" s="2"/>
      <c r="I1956" s="2"/>
      <c r="J1956" s="2"/>
      <c r="K1956" s="2"/>
      <c r="L1956" s="2"/>
    </row>
    <row r="1957" spans="1:12" x14ac:dyDescent="0.2">
      <c r="A1957" s="17" t="s">
        <v>11</v>
      </c>
      <c r="B1957" s="17" t="s">
        <v>12</v>
      </c>
      <c r="C1957" s="17" t="s">
        <v>3</v>
      </c>
      <c r="D1957" s="17" t="s">
        <v>13</v>
      </c>
      <c r="E1957" s="17" t="s">
        <v>8</v>
      </c>
      <c r="F1957" s="17" t="s">
        <v>6</v>
      </c>
      <c r="G1957" s="17" t="s">
        <v>5</v>
      </c>
      <c r="H1957" s="17" t="s">
        <v>153</v>
      </c>
      <c r="I1957" s="17" t="s">
        <v>182</v>
      </c>
      <c r="J1957" s="17" t="s">
        <v>183</v>
      </c>
      <c r="K1957" s="17" t="s">
        <v>184</v>
      </c>
      <c r="L1957" s="17" t="s">
        <v>185</v>
      </c>
    </row>
    <row r="1958" spans="1:12" customFormat="1" ht="16" x14ac:dyDescent="0.2">
      <c r="A1958" s="2" t="str">
        <f>B1912</f>
        <v>electricity, used in passenger car</v>
      </c>
      <c r="B1958" s="2">
        <v>1</v>
      </c>
      <c r="C1958" s="2" t="str">
        <f>B1913</f>
        <v>RER</v>
      </c>
      <c r="D1958" s="2"/>
      <c r="E1958" s="2" t="str">
        <f>B1918</f>
        <v>megajoule</v>
      </c>
      <c r="F1958" s="2" t="s">
        <v>19</v>
      </c>
      <c r="G1958" s="2" t="str">
        <f>B1916</f>
        <v>electricity, low voltage</v>
      </c>
      <c r="H1958" s="2"/>
      <c r="I1958" s="2"/>
      <c r="K1958" s="2"/>
      <c r="L1958" s="2"/>
    </row>
    <row r="1959" spans="1:12" customFormat="1" ht="16" x14ac:dyDescent="0.2">
      <c r="A1959" s="2" t="s">
        <v>141</v>
      </c>
      <c r="B1959" s="9">
        <f>1/3.6</f>
        <v>0.27777777777777779</v>
      </c>
      <c r="C1959" t="s">
        <v>18</v>
      </c>
      <c r="E1959" t="s">
        <v>142</v>
      </c>
      <c r="F1959" t="s">
        <v>23</v>
      </c>
      <c r="G1959" t="s">
        <v>143</v>
      </c>
      <c r="H1959" s="2"/>
    </row>
    <row r="1960" spans="1:12" customFormat="1" ht="16" x14ac:dyDescent="0.2">
      <c r="A1960" s="2" t="s">
        <v>147</v>
      </c>
      <c r="B1960" s="3">
        <f>(B1928/B1922)/(B1925/1000)</f>
        <v>7.3770491803278688E-4</v>
      </c>
      <c r="C1960" t="s">
        <v>114</v>
      </c>
      <c r="E1960" t="s">
        <v>9</v>
      </c>
      <c r="F1960" t="s">
        <v>23</v>
      </c>
      <c r="G1960" t="s">
        <v>148</v>
      </c>
      <c r="H1960" s="2"/>
      <c r="I1960">
        <v>5</v>
      </c>
      <c r="J1960" s="3">
        <f>B1960</f>
        <v>7.3770491803278688E-4</v>
      </c>
      <c r="K1960" s="3">
        <f>(B1929/B1924)/(B1927/1000)</f>
        <v>2.0888888888888888E-4</v>
      </c>
      <c r="L1960" s="3">
        <f>(B1930/B1923)/(B1926/1000)</f>
        <v>1.2028301886792454E-3</v>
      </c>
    </row>
    <row r="1961" spans="1:12" customFormat="1" ht="16" x14ac:dyDescent="0.2">
      <c r="A1961" t="s">
        <v>186</v>
      </c>
      <c r="B1961" s="3">
        <f>(B1951/B1922)/(B1925/1000)</f>
        <v>3.2786885245901642E-5</v>
      </c>
      <c r="C1961" t="s">
        <v>114</v>
      </c>
      <c r="E1961" t="s">
        <v>9</v>
      </c>
      <c r="F1961" t="s">
        <v>23</v>
      </c>
      <c r="G1961" t="s">
        <v>187</v>
      </c>
      <c r="H1961" s="2"/>
      <c r="J1961" s="3"/>
    </row>
    <row r="1962" spans="1:12" customFormat="1" ht="16" x14ac:dyDescent="0.2">
      <c r="A1962" t="s">
        <v>188</v>
      </c>
      <c r="B1962" s="3">
        <f>(B1953/B1922)/(B1925/1000)</f>
        <v>6.5573770491803284E-5</v>
      </c>
      <c r="C1962" t="s">
        <v>114</v>
      </c>
      <c r="E1962" t="s">
        <v>9</v>
      </c>
      <c r="F1962" t="s">
        <v>23</v>
      </c>
      <c r="G1962" t="s">
        <v>189</v>
      </c>
      <c r="H1962" s="2"/>
    </row>
    <row r="1963" spans="1:12" customFormat="1" ht="16" x14ac:dyDescent="0.2">
      <c r="A1963" t="s">
        <v>190</v>
      </c>
      <c r="B1963" s="3">
        <f>(B1950/B1922)/(B1925/1000)</f>
        <v>2.4590163934426232E-5</v>
      </c>
      <c r="C1963" t="s">
        <v>114</v>
      </c>
      <c r="E1963" t="s">
        <v>9</v>
      </c>
      <c r="F1963" t="s">
        <v>23</v>
      </c>
      <c r="G1963" t="s">
        <v>191</v>
      </c>
      <c r="H1963" s="2"/>
    </row>
    <row r="1964" spans="1:12" customFormat="1" ht="16" x14ac:dyDescent="0.2">
      <c r="A1964" t="s">
        <v>192</v>
      </c>
      <c r="B1964" s="3">
        <f>(B1937/B1922)/(B1925/1000)</f>
        <v>5.4918032786885253E-4</v>
      </c>
      <c r="C1964" s="2" t="s">
        <v>114</v>
      </c>
      <c r="E1964" t="s">
        <v>142</v>
      </c>
      <c r="F1964" t="s">
        <v>23</v>
      </c>
      <c r="G1964" t="s">
        <v>193</v>
      </c>
      <c r="H1964" s="2"/>
      <c r="I1964">
        <v>5</v>
      </c>
      <c r="J1964" s="3">
        <f>B1964</f>
        <v>5.4918032786885253E-4</v>
      </c>
      <c r="K1964" s="3">
        <f>(B1938/B1924)/(B1927/1000)</f>
        <v>2.1333333333333333E-4</v>
      </c>
      <c r="L1964" s="3">
        <f>(B1939/B1923)/(B1926/1000)</f>
        <v>1.2971698113207546E-3</v>
      </c>
    </row>
    <row r="1965" spans="1:12" customFormat="1" ht="16" x14ac:dyDescent="0.2">
      <c r="A1965" t="s">
        <v>194</v>
      </c>
      <c r="B1965" s="3">
        <f>(B1949/B1922)/(B1925/1000)</f>
        <v>4.0983606557377049E-5</v>
      </c>
      <c r="C1965" t="s">
        <v>114</v>
      </c>
      <c r="E1965" t="s">
        <v>9</v>
      </c>
      <c r="F1965" t="s">
        <v>23</v>
      </c>
      <c r="G1965" t="s">
        <v>195</v>
      </c>
      <c r="H1965" s="2"/>
    </row>
    <row r="1966" spans="1:12" customFormat="1" ht="16" x14ac:dyDescent="0.2">
      <c r="H1966" s="2"/>
    </row>
    <row r="1967" spans="1:12" x14ac:dyDescent="0.2">
      <c r="A1967" s="17" t="s">
        <v>2</v>
      </c>
      <c r="B1967" s="17" t="s">
        <v>305</v>
      </c>
    </row>
    <row r="1968" spans="1:12" customFormat="1" ht="16" x14ac:dyDescent="0.2">
      <c r="A1968" s="2" t="s">
        <v>3</v>
      </c>
      <c r="B1968" s="2" t="s">
        <v>18</v>
      </c>
      <c r="C1968" s="2"/>
      <c r="D1968" s="2"/>
      <c r="E1968" s="2"/>
      <c r="F1968" s="2"/>
      <c r="G1968" s="2"/>
      <c r="H1968" s="2"/>
      <c r="I1968" s="2"/>
      <c r="J1968" s="2"/>
      <c r="K1968" s="2"/>
      <c r="L1968" s="2"/>
    </row>
    <row r="1969" spans="1:15" customFormat="1" ht="16" x14ac:dyDescent="0.2">
      <c r="A1969" s="2" t="s">
        <v>4</v>
      </c>
      <c r="B1969" s="2">
        <v>1</v>
      </c>
      <c r="C1969" s="2"/>
      <c r="D1969" s="2"/>
      <c r="E1969" s="2"/>
      <c r="F1969" s="2"/>
      <c r="G1969" s="2"/>
      <c r="H1969" s="2"/>
      <c r="I1969" s="2"/>
      <c r="J1969" s="2"/>
      <c r="K1969" s="2"/>
      <c r="L1969" s="2"/>
    </row>
    <row r="1970" spans="1:15" customFormat="1" ht="16" x14ac:dyDescent="0.2">
      <c r="A1970" s="2" t="s">
        <v>5</v>
      </c>
      <c r="B1970" s="2" t="s">
        <v>1</v>
      </c>
      <c r="C1970" s="2"/>
      <c r="D1970" s="2"/>
      <c r="E1970" s="2"/>
      <c r="F1970" s="2"/>
      <c r="G1970" s="2"/>
      <c r="H1970" s="2"/>
      <c r="I1970" s="2"/>
      <c r="J1970" s="2"/>
      <c r="K1970" s="2"/>
    </row>
    <row r="1971" spans="1:15" customFormat="1" ht="16" x14ac:dyDescent="0.2">
      <c r="A1971" s="2" t="s">
        <v>6</v>
      </c>
      <c r="B1971" s="2" t="s">
        <v>7</v>
      </c>
      <c r="C1971" s="2"/>
      <c r="D1971" s="2"/>
      <c r="E1971" s="2"/>
      <c r="F1971" s="2"/>
      <c r="G1971" s="2"/>
      <c r="H1971" s="2"/>
      <c r="I1971" s="2"/>
      <c r="J1971" s="2"/>
      <c r="K1971" s="2"/>
      <c r="L1971" s="2"/>
    </row>
    <row r="1972" spans="1:15" customFormat="1" ht="16" x14ac:dyDescent="0.2">
      <c r="A1972" t="s">
        <v>153</v>
      </c>
      <c r="B1972" t="s">
        <v>196</v>
      </c>
      <c r="C1972" s="2"/>
      <c r="D1972" s="2"/>
      <c r="E1972" s="2"/>
      <c r="F1972" s="2"/>
      <c r="G1972" s="2"/>
      <c r="H1972" s="2"/>
      <c r="I1972" s="2"/>
      <c r="J1972" s="2"/>
      <c r="K1972" s="2"/>
      <c r="L1972" s="2"/>
    </row>
    <row r="1973" spans="1:15" customFormat="1" ht="16" x14ac:dyDescent="0.2">
      <c r="A1973" s="2" t="s">
        <v>8</v>
      </c>
      <c r="B1973" s="2" t="s">
        <v>17</v>
      </c>
      <c r="C1973" s="2"/>
      <c r="D1973" s="2"/>
      <c r="E1973" s="2"/>
      <c r="F1973" s="2"/>
      <c r="G1973" s="2"/>
      <c r="H1973" s="2"/>
      <c r="I1973" s="2"/>
      <c r="J1973" s="2"/>
      <c r="K1973" s="2"/>
      <c r="L1973" s="2"/>
    </row>
    <row r="1974" spans="1:15" customFormat="1" ht="16" x14ac:dyDescent="0.2">
      <c r="A1974" s="1" t="s">
        <v>10</v>
      </c>
      <c r="B1974" s="2"/>
      <c r="C1974" s="2"/>
      <c r="D1974" s="2"/>
      <c r="E1974" s="2"/>
      <c r="F1974" s="2"/>
      <c r="G1974" s="2"/>
      <c r="H1974" s="2"/>
      <c r="I1974" s="2"/>
      <c r="J1974" s="2"/>
      <c r="K1974" s="2"/>
      <c r="L1974" s="2"/>
    </row>
    <row r="1975" spans="1:15" x14ac:dyDescent="0.2">
      <c r="A1975" s="17" t="s">
        <v>11</v>
      </c>
      <c r="B1975" s="17" t="s">
        <v>12</v>
      </c>
      <c r="C1975" s="17" t="s">
        <v>3</v>
      </c>
      <c r="D1975" s="17" t="s">
        <v>13</v>
      </c>
      <c r="E1975" s="17" t="s">
        <v>8</v>
      </c>
      <c r="F1975" s="17" t="s">
        <v>6</v>
      </c>
      <c r="G1975" s="17" t="s">
        <v>5</v>
      </c>
      <c r="H1975" s="17" t="s">
        <v>153</v>
      </c>
      <c r="I1975" s="17" t="s">
        <v>182</v>
      </c>
      <c r="J1975" s="17" t="s">
        <v>183</v>
      </c>
      <c r="K1975" s="17" t="s">
        <v>184</v>
      </c>
      <c r="L1975" s="17" t="s">
        <v>185</v>
      </c>
    </row>
    <row r="1976" spans="1:15" customFormat="1" ht="16" x14ac:dyDescent="0.2">
      <c r="A1976" s="2" t="str">
        <f>B1967</f>
        <v>hydrogen, used in a fuel cell in a passenger car</v>
      </c>
      <c r="B1976" s="2">
        <v>1</v>
      </c>
      <c r="C1976" s="2" t="str">
        <f>B1968</f>
        <v>RER</v>
      </c>
      <c r="D1976" s="2"/>
      <c r="E1976" s="2" t="str">
        <f>B1973</f>
        <v>megajoule</v>
      </c>
      <c r="F1976" s="2" t="s">
        <v>19</v>
      </c>
      <c r="G1976" s="2" t="str">
        <f>B1970</f>
        <v>heat</v>
      </c>
      <c r="H1976" s="2"/>
      <c r="I1976" s="2"/>
      <c r="K1976" s="2"/>
      <c r="L1976" s="2"/>
    </row>
    <row r="1977" spans="1:15" s="4" customFormat="1" ht="16" x14ac:dyDescent="0.2">
      <c r="A1977" s="2" t="s">
        <v>160</v>
      </c>
      <c r="B1977" s="11">
        <f>1/120</f>
        <v>8.3333333333333332E-3</v>
      </c>
      <c r="C1977" s="4" t="s">
        <v>18</v>
      </c>
      <c r="E1977" s="4" t="s">
        <v>9</v>
      </c>
      <c r="F1977" s="4" t="s">
        <v>23</v>
      </c>
      <c r="G1977" s="2" t="s">
        <v>161</v>
      </c>
      <c r="L1977" s="6"/>
      <c r="M1977"/>
      <c r="O1977" s="5"/>
    </row>
    <row r="1978" spans="1:15" s="4" customFormat="1" ht="16" x14ac:dyDescent="0.2">
      <c r="A1978" s="2" t="s">
        <v>119</v>
      </c>
      <c r="B1978" s="7">
        <f>0.56%*B1977</f>
        <v>4.6666666666666672E-5</v>
      </c>
      <c r="D1978" s="4" t="s">
        <v>117</v>
      </c>
      <c r="E1978" s="4" t="s">
        <v>9</v>
      </c>
      <c r="F1978" s="2" t="s">
        <v>15</v>
      </c>
      <c r="L1978" s="6"/>
      <c r="M1978"/>
      <c r="O1978" s="5"/>
    </row>
    <row r="1979" spans="1:15" s="4" customFormat="1" ht="16" x14ac:dyDescent="0.2">
      <c r="A1979" s="2" t="s">
        <v>98</v>
      </c>
      <c r="B1979" s="7">
        <f>B1977*9/1000</f>
        <v>7.4999999999999993E-5</v>
      </c>
      <c r="D1979" s="4" t="s">
        <v>117</v>
      </c>
      <c r="E1979" s="2" t="s">
        <v>94</v>
      </c>
      <c r="F1979" s="2" t="s">
        <v>15</v>
      </c>
      <c r="M1979"/>
      <c r="O1979" s="5"/>
    </row>
    <row r="1980" spans="1:15" customFormat="1" ht="16" x14ac:dyDescent="0.2">
      <c r="A1980" t="s">
        <v>186</v>
      </c>
      <c r="B1980" s="15">
        <f>4.47/200000/1.5</f>
        <v>1.4899999999999998E-5</v>
      </c>
      <c r="C1980" t="s">
        <v>114</v>
      </c>
      <c r="E1980" t="s">
        <v>9</v>
      </c>
      <c r="F1980" t="s">
        <v>23</v>
      </c>
      <c r="G1980" t="s">
        <v>187</v>
      </c>
      <c r="H1980" s="2"/>
      <c r="I1980">
        <v>5</v>
      </c>
      <c r="J1980">
        <f>B1980</f>
        <v>1.4899999999999998E-5</v>
      </c>
      <c r="K1980">
        <f>4.47/250000/1.5</f>
        <v>1.1919999999999999E-5</v>
      </c>
      <c r="L1980">
        <f>4.47/150000/1.5</f>
        <v>1.9866666666666667E-5</v>
      </c>
    </row>
    <row r="1981" spans="1:15" customFormat="1" ht="16" x14ac:dyDescent="0.2">
      <c r="A1981" t="s">
        <v>147</v>
      </c>
      <c r="B1981" s="15">
        <v>2.3890980215666521E-4</v>
      </c>
      <c r="C1981" t="s">
        <v>114</v>
      </c>
      <c r="E1981" t="s">
        <v>9</v>
      </c>
      <c r="F1981" t="s">
        <v>23</v>
      </c>
      <c r="G1981" t="s">
        <v>148</v>
      </c>
      <c r="H1981" s="2"/>
      <c r="I1981">
        <v>5</v>
      </c>
      <c r="J1981">
        <f>B1981</f>
        <v>2.3890980215666521E-4</v>
      </c>
      <c r="K1981">
        <f>(200000/250000)*B1981</f>
        <v>1.9112784172533218E-4</v>
      </c>
      <c r="L1981">
        <f>(200000/150000)*B1981</f>
        <v>3.1854640287555362E-4</v>
      </c>
    </row>
    <row r="1982" spans="1:15" customFormat="1" ht="16" x14ac:dyDescent="0.2">
      <c r="A1982" t="s">
        <v>188</v>
      </c>
      <c r="B1982" s="15">
        <v>2.4565217391304346E-5</v>
      </c>
      <c r="C1982" t="s">
        <v>114</v>
      </c>
      <c r="E1982" t="s">
        <v>9</v>
      </c>
      <c r="F1982" t="s">
        <v>23</v>
      </c>
      <c r="G1982" t="s">
        <v>189</v>
      </c>
      <c r="H1982" s="2"/>
    </row>
    <row r="1983" spans="1:15" customFormat="1" ht="16" x14ac:dyDescent="0.2">
      <c r="A1983" t="s">
        <v>190</v>
      </c>
      <c r="B1983" s="15">
        <v>1.0917874396135266E-5</v>
      </c>
      <c r="C1983" t="s">
        <v>114</v>
      </c>
      <c r="E1983" t="s">
        <v>9</v>
      </c>
      <c r="F1983" t="s">
        <v>23</v>
      </c>
      <c r="G1983" t="s">
        <v>191</v>
      </c>
      <c r="H1983" s="2"/>
      <c r="I1983">
        <v>5</v>
      </c>
      <c r="J1983">
        <f>B1983</f>
        <v>1.0917874396135266E-5</v>
      </c>
      <c r="K1983">
        <f>(200000/250000)*B1983</f>
        <v>8.7342995169082132E-6</v>
      </c>
      <c r="L1983">
        <f>(200000/150000)*B1983</f>
        <v>1.4557165861513688E-5</v>
      </c>
    </row>
    <row r="1984" spans="1:15" customFormat="1" ht="16" x14ac:dyDescent="0.2">
      <c r="A1984" t="s">
        <v>192</v>
      </c>
      <c r="B1984" s="15">
        <f>(23.75*0.2)/1.8/200000</f>
        <v>1.3194444444444444E-5</v>
      </c>
      <c r="C1984" s="2" t="s">
        <v>114</v>
      </c>
      <c r="E1984" t="s">
        <v>142</v>
      </c>
      <c r="F1984" t="s">
        <v>23</v>
      </c>
      <c r="G1984" t="s">
        <v>193</v>
      </c>
      <c r="H1984" s="2"/>
      <c r="I1984">
        <v>5</v>
      </c>
      <c r="J1984">
        <f>B1984</f>
        <v>1.3194444444444444E-5</v>
      </c>
      <c r="K1984" s="16">
        <f>(11.7*0.2)/1.8/200000</f>
        <v>6.4999999999999988E-6</v>
      </c>
      <c r="L1984" s="16">
        <f>(36*0.2)/1.8/200000</f>
        <v>2.0000000000000002E-5</v>
      </c>
    </row>
    <row r="1985" spans="1:12" customFormat="1" ht="16" x14ac:dyDescent="0.2">
      <c r="A1985" t="s">
        <v>197</v>
      </c>
      <c r="B1985" s="15">
        <f>102/1.8/200000</f>
        <v>2.833333333333333E-4</v>
      </c>
      <c r="C1985" t="s">
        <v>18</v>
      </c>
      <c r="E1985" t="s">
        <v>9</v>
      </c>
      <c r="F1985" t="s">
        <v>23</v>
      </c>
      <c r="G1985" t="s">
        <v>198</v>
      </c>
      <c r="H1985" s="2"/>
      <c r="I1985">
        <v>5</v>
      </c>
      <c r="J1985">
        <f>B1985</f>
        <v>2.833333333333333E-4</v>
      </c>
      <c r="K1985" s="16">
        <f>78/1.8/200000</f>
        <v>2.1666666666666668E-4</v>
      </c>
      <c r="L1985" s="16">
        <f>117/1.8/200000</f>
        <v>3.2499999999999999E-4</v>
      </c>
    </row>
    <row r="1986" spans="1:12" customFormat="1" ht="16" x14ac:dyDescent="0.2">
      <c r="A1986" s="14" t="s">
        <v>113</v>
      </c>
      <c r="B1986" s="15">
        <f>45/1.8/200000</f>
        <v>1.25E-4</v>
      </c>
      <c r="C1986" t="s">
        <v>114</v>
      </c>
      <c r="E1986" t="s">
        <v>8</v>
      </c>
      <c r="F1986" t="s">
        <v>23</v>
      </c>
      <c r="G1986" t="s">
        <v>115</v>
      </c>
      <c r="H1986" s="2"/>
      <c r="I1986" s="15">
        <v>5</v>
      </c>
      <c r="J1986">
        <f>B1986</f>
        <v>1.25E-4</v>
      </c>
      <c r="K1986" s="16">
        <f>22/1.8/200000</f>
        <v>6.1111111111111107E-5</v>
      </c>
      <c r="L1986" s="16">
        <f>68/1.8/200000</f>
        <v>1.8888888888888888E-4</v>
      </c>
    </row>
    <row r="1987" spans="1:12" customFormat="1" ht="16" x14ac:dyDescent="0.2">
      <c r="B1987" s="3"/>
      <c r="D1987" s="2"/>
      <c r="L1987" s="2"/>
    </row>
    <row r="1988" spans="1:12" x14ac:dyDescent="0.2">
      <c r="A1988" s="17" t="s">
        <v>2</v>
      </c>
      <c r="B1988" s="17" t="s">
        <v>91</v>
      </c>
    </row>
    <row r="1989" spans="1:12" customFormat="1" ht="16" x14ac:dyDescent="0.2">
      <c r="A1989" s="2" t="s">
        <v>3</v>
      </c>
      <c r="B1989" s="2" t="s">
        <v>18</v>
      </c>
      <c r="C1989" s="2"/>
      <c r="D1989" s="2"/>
      <c r="E1989" s="2"/>
      <c r="F1989" s="2"/>
      <c r="G1989" s="2"/>
      <c r="H1989" s="2"/>
      <c r="I1989" s="2"/>
      <c r="J1989" s="2"/>
      <c r="K1989" s="2"/>
      <c r="L1989" s="2"/>
    </row>
    <row r="1990" spans="1:12" customFormat="1" ht="16" x14ac:dyDescent="0.2">
      <c r="A1990" s="2" t="s">
        <v>4</v>
      </c>
      <c r="B1990" s="2">
        <v>1</v>
      </c>
      <c r="C1990" s="2"/>
      <c r="D1990" s="2"/>
      <c r="E1990" s="2"/>
      <c r="F1990" s="2"/>
      <c r="G1990" s="2"/>
      <c r="H1990" s="2"/>
      <c r="I1990" s="2"/>
      <c r="J1990" s="2"/>
      <c r="K1990" s="2"/>
      <c r="L1990" s="2"/>
    </row>
    <row r="1991" spans="1:12" customFormat="1" ht="16" x14ac:dyDescent="0.2">
      <c r="A1991" s="2" t="s">
        <v>5</v>
      </c>
      <c r="B1991" s="2" t="s">
        <v>1</v>
      </c>
      <c r="C1991" s="2"/>
      <c r="D1991" s="2"/>
      <c r="E1991" s="2"/>
      <c r="F1991" s="2"/>
      <c r="G1991" s="2"/>
      <c r="H1991" s="2"/>
      <c r="I1991" s="2"/>
      <c r="J1991" s="2"/>
    </row>
    <row r="1992" spans="1:12" customFormat="1" ht="16" x14ac:dyDescent="0.2">
      <c r="A1992" s="2" t="s">
        <v>6</v>
      </c>
      <c r="B1992" s="2" t="s">
        <v>7</v>
      </c>
      <c r="C1992" s="2"/>
      <c r="D1992" s="2"/>
      <c r="E1992" s="2"/>
      <c r="F1992" s="2"/>
      <c r="G1992" s="2"/>
      <c r="H1992" s="2"/>
      <c r="I1992" s="2"/>
      <c r="J1992" s="2"/>
      <c r="K1992" s="2"/>
      <c r="L1992" s="2"/>
    </row>
    <row r="1993" spans="1:12" customFormat="1" ht="16" x14ac:dyDescent="0.2">
      <c r="A1993" s="2" t="s">
        <v>8</v>
      </c>
      <c r="B1993" s="2" t="s">
        <v>17</v>
      </c>
      <c r="C1993" s="2"/>
      <c r="D1993" s="2"/>
      <c r="E1993" s="2"/>
      <c r="F1993" s="2"/>
      <c r="G1993" s="2"/>
      <c r="H1993" s="2"/>
      <c r="I1993" s="2"/>
      <c r="J1993" s="2"/>
      <c r="K1993" s="2"/>
      <c r="L1993" s="2"/>
    </row>
    <row r="1994" spans="1:12" customFormat="1" ht="16" x14ac:dyDescent="0.2">
      <c r="A1994" s="1" t="s">
        <v>10</v>
      </c>
      <c r="B1994" s="2"/>
      <c r="C1994" s="2"/>
      <c r="D1994" s="2"/>
      <c r="E1994" s="2"/>
      <c r="F1994" s="2"/>
      <c r="G1994" s="2"/>
      <c r="H1994" s="2"/>
      <c r="I1994" s="2"/>
      <c r="J1994" s="2"/>
      <c r="K1994" s="2"/>
      <c r="L1994" s="2"/>
    </row>
    <row r="1995" spans="1:12" x14ac:dyDescent="0.2">
      <c r="A1995" s="17" t="s">
        <v>11</v>
      </c>
      <c r="B1995" s="17" t="s">
        <v>12</v>
      </c>
      <c r="C1995" s="17" t="s">
        <v>3</v>
      </c>
      <c r="D1995" s="17" t="s">
        <v>13</v>
      </c>
      <c r="E1995" s="17" t="s">
        <v>8</v>
      </c>
      <c r="F1995" s="17" t="s">
        <v>6</v>
      </c>
      <c r="G1995" s="17" t="s">
        <v>5</v>
      </c>
      <c r="H1995" s="17"/>
      <c r="J1995" s="17"/>
      <c r="K1995" s="17"/>
    </row>
    <row r="1996" spans="1:12" customFormat="1" ht="16" x14ac:dyDescent="0.2">
      <c r="A1996" s="2" t="str">
        <f>B1988</f>
        <v>compressed gas, burned in passenger car</v>
      </c>
      <c r="B1996" s="2">
        <v>1</v>
      </c>
      <c r="C1996" s="2" t="str">
        <f>B1989</f>
        <v>RER</v>
      </c>
      <c r="D1996" s="2"/>
      <c r="E1996" s="2" t="str">
        <f>B1993</f>
        <v>megajoule</v>
      </c>
      <c r="F1996" s="2" t="s">
        <v>19</v>
      </c>
      <c r="G1996" s="2" t="str">
        <f>B1991</f>
        <v>heat</v>
      </c>
      <c r="H1996" s="2"/>
      <c r="I1996" s="2"/>
      <c r="J1996" s="2"/>
      <c r="K1996" s="2"/>
      <c r="L1996" s="2"/>
    </row>
    <row r="1997" spans="1:12" customFormat="1" ht="16" x14ac:dyDescent="0.2">
      <c r="A1997" t="s">
        <v>92</v>
      </c>
      <c r="B1997">
        <f>1/36</f>
        <v>2.7777777777777776E-2</v>
      </c>
      <c r="C1997" t="s">
        <v>27</v>
      </c>
      <c r="E1997" t="s">
        <v>94</v>
      </c>
      <c r="F1997" t="s">
        <v>23</v>
      </c>
      <c r="G1997" t="s">
        <v>93</v>
      </c>
      <c r="I1997" s="2"/>
    </row>
    <row r="1998" spans="1:12" customFormat="1" ht="16" x14ac:dyDescent="0.2">
      <c r="A1998" s="2" t="s">
        <v>144</v>
      </c>
      <c r="B1998">
        <f>150/200000/2.15</f>
        <v>3.4883720930232559E-4</v>
      </c>
      <c r="C1998" t="s">
        <v>114</v>
      </c>
      <c r="E1998" t="s">
        <v>9</v>
      </c>
      <c r="F1998" t="s">
        <v>23</v>
      </c>
      <c r="G1998" t="s">
        <v>145</v>
      </c>
      <c r="I1998" s="2"/>
    </row>
    <row r="1999" spans="1:12" customFormat="1" ht="16" x14ac:dyDescent="0.2">
      <c r="A1999" t="s">
        <v>48</v>
      </c>
      <c r="B1999" s="3">
        <v>4.4166666666666577E-6</v>
      </c>
      <c r="D1999" t="s">
        <v>14</v>
      </c>
      <c r="E1999" t="s">
        <v>9</v>
      </c>
      <c r="F1999" s="2" t="s">
        <v>15</v>
      </c>
      <c r="I1999" s="2"/>
    </row>
    <row r="2000" spans="1:12" customFormat="1" ht="16" x14ac:dyDescent="0.2">
      <c r="A2000" t="s">
        <v>50</v>
      </c>
      <c r="B2000" s="3">
        <v>7.5082705379565517E-7</v>
      </c>
      <c r="D2000" t="s">
        <v>14</v>
      </c>
      <c r="E2000" t="s">
        <v>9</v>
      </c>
      <c r="F2000" s="2" t="s">
        <v>15</v>
      </c>
      <c r="I2000" s="2"/>
    </row>
    <row r="2001" spans="1:12" customFormat="1" ht="16" x14ac:dyDescent="0.2">
      <c r="A2001" t="s">
        <v>53</v>
      </c>
      <c r="B2001">
        <f>1.96*B1997</f>
        <v>5.4444444444444441E-2</v>
      </c>
      <c r="D2001" t="s">
        <v>14</v>
      </c>
      <c r="E2001" t="s">
        <v>9</v>
      </c>
      <c r="F2001" s="2" t="s">
        <v>15</v>
      </c>
      <c r="I2001" s="2"/>
    </row>
    <row r="2002" spans="1:12" customFormat="1" ht="16" x14ac:dyDescent="0.2">
      <c r="A2002" t="s">
        <v>54</v>
      </c>
      <c r="B2002">
        <v>2.6360440412565261E-4</v>
      </c>
      <c r="D2002" t="s">
        <v>14</v>
      </c>
      <c r="E2002" t="s">
        <v>9</v>
      </c>
      <c r="F2002" s="2" t="s">
        <v>15</v>
      </c>
      <c r="I2002" s="2"/>
    </row>
    <row r="2003" spans="1:12" customFormat="1" ht="16" x14ac:dyDescent="0.2">
      <c r="A2003" t="s">
        <v>58</v>
      </c>
      <c r="B2003" s="3">
        <v>9.6666666666666532E-7</v>
      </c>
      <c r="D2003" t="s">
        <v>14</v>
      </c>
      <c r="E2003" t="s">
        <v>9</v>
      </c>
      <c r="F2003" s="2" t="s">
        <v>15</v>
      </c>
      <c r="I2003" s="2"/>
    </row>
    <row r="2004" spans="1:12" customFormat="1" ht="16" x14ac:dyDescent="0.2">
      <c r="A2004" t="s">
        <v>64</v>
      </c>
      <c r="B2004" s="3">
        <v>2.7750000000000002E-10</v>
      </c>
      <c r="D2004" t="s">
        <v>14</v>
      </c>
      <c r="E2004" t="s">
        <v>9</v>
      </c>
      <c r="F2004" s="2" t="s">
        <v>15</v>
      </c>
      <c r="I2004" s="2"/>
    </row>
    <row r="2005" spans="1:12" customFormat="1" ht="16" x14ac:dyDescent="0.2">
      <c r="A2005" t="s">
        <v>65</v>
      </c>
      <c r="B2005" s="3">
        <v>1.606690212560312E-5</v>
      </c>
      <c r="D2005" t="s">
        <v>14</v>
      </c>
      <c r="E2005" t="s">
        <v>9</v>
      </c>
      <c r="F2005" s="2" t="s">
        <v>15</v>
      </c>
      <c r="I2005" s="2"/>
    </row>
    <row r="2006" spans="1:12" customFormat="1" ht="16" x14ac:dyDescent="0.2">
      <c r="A2006" t="s">
        <v>67</v>
      </c>
      <c r="B2006" s="3">
        <v>6.8382126269474045E-6</v>
      </c>
      <c r="D2006" t="s">
        <v>14</v>
      </c>
      <c r="E2006" t="s">
        <v>9</v>
      </c>
      <c r="F2006" s="2" t="s">
        <v>15</v>
      </c>
      <c r="I2006" s="2"/>
    </row>
    <row r="2007" spans="1:12" customFormat="1" ht="16" x14ac:dyDescent="0.2">
      <c r="A2007" t="s">
        <v>69</v>
      </c>
      <c r="B2007" s="3">
        <v>2.9605693862641999E-6</v>
      </c>
      <c r="D2007" t="s">
        <v>14</v>
      </c>
      <c r="E2007" t="s">
        <v>9</v>
      </c>
      <c r="F2007" s="2" t="s">
        <v>15</v>
      </c>
      <c r="I2007" s="2"/>
    </row>
    <row r="2008" spans="1:12" customFormat="1" ht="16" x14ac:dyDescent="0.2">
      <c r="A2008" t="s">
        <v>71</v>
      </c>
      <c r="B2008" s="3">
        <v>1.4636237937232238E-7</v>
      </c>
      <c r="D2008" t="s">
        <v>14</v>
      </c>
      <c r="E2008" t="s">
        <v>9</v>
      </c>
      <c r="F2008" s="2" t="s">
        <v>15</v>
      </c>
      <c r="I2008" s="2"/>
    </row>
    <row r="2009" spans="1:12" customFormat="1" ht="16" x14ac:dyDescent="0.2">
      <c r="A2009" t="s">
        <v>77</v>
      </c>
      <c r="B2009" s="3">
        <v>5.6430000000000142E-7</v>
      </c>
      <c r="D2009" t="s">
        <v>14</v>
      </c>
      <c r="E2009" t="s">
        <v>9</v>
      </c>
      <c r="F2009" s="2" t="s">
        <v>15</v>
      </c>
      <c r="I2009" s="2"/>
    </row>
    <row r="2010" spans="1:12" customFormat="1" ht="16" x14ac:dyDescent="0.2">
      <c r="A2010" t="s">
        <v>78</v>
      </c>
      <c r="B2010" s="3">
        <v>2.2336471011856279E-6</v>
      </c>
      <c r="D2010" t="s">
        <v>14</v>
      </c>
      <c r="E2010" t="s">
        <v>9</v>
      </c>
      <c r="F2010" s="2" t="s">
        <v>15</v>
      </c>
      <c r="I2010" s="2"/>
    </row>
    <row r="2011" spans="1:12" customFormat="1" ht="16" x14ac:dyDescent="0.2"/>
    <row r="2012" spans="1:12" x14ac:dyDescent="0.2">
      <c r="A2012" s="17" t="s">
        <v>2</v>
      </c>
      <c r="B2012" s="17" t="s">
        <v>271</v>
      </c>
    </row>
    <row r="2013" spans="1:12" customFormat="1" ht="16" x14ac:dyDescent="0.2">
      <c r="A2013" s="2" t="s">
        <v>3</v>
      </c>
      <c r="B2013" s="2" t="s">
        <v>18</v>
      </c>
      <c r="C2013" s="2"/>
      <c r="D2013" s="2"/>
      <c r="E2013" s="2"/>
      <c r="F2013" s="2"/>
      <c r="G2013" s="2"/>
      <c r="H2013" s="2"/>
      <c r="I2013" s="2"/>
      <c r="J2013" s="2"/>
      <c r="K2013" s="2"/>
      <c r="L2013" s="2"/>
    </row>
    <row r="2014" spans="1:12" customFormat="1" ht="16" x14ac:dyDescent="0.2">
      <c r="A2014" s="2" t="s">
        <v>4</v>
      </c>
      <c r="B2014" s="2">
        <v>1</v>
      </c>
      <c r="C2014" s="2"/>
      <c r="D2014" s="2"/>
      <c r="E2014" s="2"/>
      <c r="F2014" s="2"/>
      <c r="G2014" s="2"/>
      <c r="H2014" s="2"/>
      <c r="I2014" s="2"/>
      <c r="J2014" s="2"/>
      <c r="K2014" s="2"/>
      <c r="L2014" s="2"/>
    </row>
    <row r="2015" spans="1:12" customFormat="1" ht="16" x14ac:dyDescent="0.2">
      <c r="A2015" s="2" t="s">
        <v>5</v>
      </c>
      <c r="B2015" s="2" t="s">
        <v>1</v>
      </c>
      <c r="C2015" s="2"/>
      <c r="D2015" s="2"/>
      <c r="E2015" s="2"/>
      <c r="F2015" s="2"/>
      <c r="G2015" s="2"/>
      <c r="H2015" s="2"/>
      <c r="I2015" s="2"/>
      <c r="J2015" s="2"/>
    </row>
    <row r="2016" spans="1:12" customFormat="1" ht="16" x14ac:dyDescent="0.2">
      <c r="A2016" s="2" t="s">
        <v>6</v>
      </c>
      <c r="B2016" s="2" t="s">
        <v>7</v>
      </c>
      <c r="C2016" s="2"/>
      <c r="D2016" s="2"/>
      <c r="E2016" s="2"/>
      <c r="F2016" s="2"/>
      <c r="G2016" s="2"/>
      <c r="H2016" s="2"/>
      <c r="I2016" s="2"/>
      <c r="J2016" s="2"/>
      <c r="K2016" s="2"/>
      <c r="L2016" s="2"/>
    </row>
    <row r="2017" spans="1:12" customFormat="1" ht="16" x14ac:dyDescent="0.2">
      <c r="A2017" s="2" t="s">
        <v>8</v>
      </c>
      <c r="B2017" s="2" t="s">
        <v>17</v>
      </c>
      <c r="C2017" s="2"/>
      <c r="D2017" s="2"/>
      <c r="E2017" s="2"/>
      <c r="F2017" s="2"/>
      <c r="G2017" s="2"/>
      <c r="H2017" s="2"/>
      <c r="I2017" s="2"/>
      <c r="J2017" s="2"/>
      <c r="K2017" s="2"/>
      <c r="L2017" s="2"/>
    </row>
    <row r="2018" spans="1:12" customFormat="1" ht="16" x14ac:dyDescent="0.2">
      <c r="A2018" s="1" t="s">
        <v>10</v>
      </c>
      <c r="B2018" s="2"/>
      <c r="C2018" s="2"/>
      <c r="D2018" s="2"/>
      <c r="E2018" s="2"/>
      <c r="F2018" s="2"/>
      <c r="G2018" s="2"/>
      <c r="H2018" s="2"/>
      <c r="I2018" s="2"/>
      <c r="J2018" s="2"/>
      <c r="K2018" s="2"/>
      <c r="L2018" s="2"/>
    </row>
    <row r="2019" spans="1:12" x14ac:dyDescent="0.2">
      <c r="A2019" s="17" t="s">
        <v>11</v>
      </c>
      <c r="B2019" s="17" t="s">
        <v>12</v>
      </c>
      <c r="C2019" s="17" t="s">
        <v>3</v>
      </c>
      <c r="D2019" s="17" t="s">
        <v>13</v>
      </c>
      <c r="E2019" s="17" t="s">
        <v>8</v>
      </c>
      <c r="F2019" s="17" t="s">
        <v>6</v>
      </c>
      <c r="G2019" s="17" t="s">
        <v>5</v>
      </c>
      <c r="H2019" s="17"/>
      <c r="J2019" s="17"/>
      <c r="K2019" s="17"/>
    </row>
    <row r="2020" spans="1:12" customFormat="1" ht="16" x14ac:dyDescent="0.2">
      <c r="A2020" s="2" t="str">
        <f>B2012</f>
        <v>compressed gas, synthetic, burned in passenger car</v>
      </c>
      <c r="B2020" s="2">
        <v>1</v>
      </c>
      <c r="C2020" s="2" t="str">
        <f>B2013</f>
        <v>RER</v>
      </c>
      <c r="D2020" s="2"/>
      <c r="E2020" s="2" t="str">
        <f>B2017</f>
        <v>megajoule</v>
      </c>
      <c r="F2020" s="2" t="s">
        <v>19</v>
      </c>
      <c r="G2020" s="2" t="str">
        <f>B2015</f>
        <v>heat</v>
      </c>
      <c r="H2020" s="2"/>
      <c r="I2020" s="2"/>
      <c r="J2020" s="2"/>
      <c r="K2020" s="2"/>
      <c r="L2020" s="2"/>
    </row>
    <row r="2021" spans="1:12" customFormat="1" ht="16" x14ac:dyDescent="0.2">
      <c r="A2021" t="s">
        <v>311</v>
      </c>
      <c r="B2021">
        <f>1/47.5</f>
        <v>2.1052631578947368E-2</v>
      </c>
      <c r="C2021" t="s">
        <v>18</v>
      </c>
      <c r="E2021" t="s">
        <v>9</v>
      </c>
      <c r="F2021" t="s">
        <v>23</v>
      </c>
      <c r="G2021" t="s">
        <v>270</v>
      </c>
      <c r="I2021" s="2"/>
    </row>
    <row r="2022" spans="1:12" customFormat="1" ht="16" x14ac:dyDescent="0.2">
      <c r="A2022" s="2" t="s">
        <v>144</v>
      </c>
      <c r="B2022">
        <f>150/200000/2.15</f>
        <v>3.4883720930232559E-4</v>
      </c>
      <c r="C2022" t="s">
        <v>114</v>
      </c>
      <c r="E2022" t="s">
        <v>9</v>
      </c>
      <c r="F2022" t="s">
        <v>23</v>
      </c>
      <c r="G2022" t="s">
        <v>145</v>
      </c>
      <c r="I2022" s="2"/>
    </row>
    <row r="2023" spans="1:12" customFormat="1" ht="16" x14ac:dyDescent="0.2">
      <c r="A2023" t="s">
        <v>48</v>
      </c>
      <c r="B2023" s="3">
        <v>4.4166666666666577E-6</v>
      </c>
      <c r="D2023" t="s">
        <v>14</v>
      </c>
      <c r="E2023" t="s">
        <v>9</v>
      </c>
      <c r="F2023" s="2" t="s">
        <v>15</v>
      </c>
      <c r="I2023" s="2"/>
    </row>
    <row r="2024" spans="1:12" customFormat="1" ht="16" x14ac:dyDescent="0.2">
      <c r="A2024" t="s">
        <v>50</v>
      </c>
      <c r="B2024" s="3">
        <v>7.5082705379565517E-7</v>
      </c>
      <c r="D2024" t="s">
        <v>14</v>
      </c>
      <c r="E2024" t="s">
        <v>9</v>
      </c>
      <c r="F2024" s="2" t="s">
        <v>15</v>
      </c>
      <c r="I2024" s="2"/>
    </row>
    <row r="2025" spans="1:12" customFormat="1" ht="16" x14ac:dyDescent="0.2">
      <c r="A2025" t="s">
        <v>123</v>
      </c>
      <c r="B2025">
        <f>2.74*B2021</f>
        <v>5.7684210526315789E-2</v>
      </c>
      <c r="D2025" t="s">
        <v>14</v>
      </c>
      <c r="E2025" t="s">
        <v>9</v>
      </c>
      <c r="F2025" s="2" t="s">
        <v>15</v>
      </c>
      <c r="I2025" s="2"/>
    </row>
    <row r="2026" spans="1:12" customFormat="1" ht="16" x14ac:dyDescent="0.2">
      <c r="A2026" t="s">
        <v>124</v>
      </c>
      <c r="B2026">
        <v>2.6360440412565261E-4</v>
      </c>
      <c r="D2026" t="s">
        <v>14</v>
      </c>
      <c r="E2026" t="s">
        <v>9</v>
      </c>
      <c r="F2026" s="2" t="s">
        <v>15</v>
      </c>
      <c r="I2026" s="2"/>
    </row>
    <row r="2027" spans="1:12" customFormat="1" ht="16" x14ac:dyDescent="0.2">
      <c r="A2027" t="s">
        <v>58</v>
      </c>
      <c r="B2027" s="3">
        <v>9.6666666666666532E-7</v>
      </c>
      <c r="D2027" t="s">
        <v>14</v>
      </c>
      <c r="E2027" t="s">
        <v>9</v>
      </c>
      <c r="F2027" s="2" t="s">
        <v>15</v>
      </c>
      <c r="I2027" s="2"/>
    </row>
    <row r="2028" spans="1:12" customFormat="1" ht="16" x14ac:dyDescent="0.2">
      <c r="A2028" t="s">
        <v>64</v>
      </c>
      <c r="B2028" s="3">
        <v>2.7750000000000002E-10</v>
      </c>
      <c r="D2028" t="s">
        <v>14</v>
      </c>
      <c r="E2028" t="s">
        <v>9</v>
      </c>
      <c r="F2028" s="2" t="s">
        <v>15</v>
      </c>
      <c r="I2028" s="2"/>
    </row>
    <row r="2029" spans="1:12" customFormat="1" ht="16" x14ac:dyDescent="0.2">
      <c r="A2029" t="s">
        <v>180</v>
      </c>
      <c r="B2029" s="3">
        <v>1.606690212560312E-5</v>
      </c>
      <c r="D2029" t="s">
        <v>14</v>
      </c>
      <c r="E2029" t="s">
        <v>9</v>
      </c>
      <c r="F2029" s="2" t="s">
        <v>15</v>
      </c>
      <c r="I2029" s="2"/>
    </row>
    <row r="2030" spans="1:12" customFormat="1" ht="16" x14ac:dyDescent="0.2">
      <c r="A2030" t="s">
        <v>67</v>
      </c>
      <c r="B2030" s="3">
        <v>6.8382126269474045E-6</v>
      </c>
      <c r="D2030" t="s">
        <v>14</v>
      </c>
      <c r="E2030" t="s">
        <v>9</v>
      </c>
      <c r="F2030" s="2" t="s">
        <v>15</v>
      </c>
      <c r="I2030" s="2"/>
    </row>
    <row r="2031" spans="1:12" customFormat="1" ht="16" x14ac:dyDescent="0.2">
      <c r="A2031" t="s">
        <v>69</v>
      </c>
      <c r="B2031" s="3">
        <v>2.9605693862641999E-6</v>
      </c>
      <c r="D2031" t="s">
        <v>14</v>
      </c>
      <c r="E2031" t="s">
        <v>9</v>
      </c>
      <c r="F2031" s="2" t="s">
        <v>15</v>
      </c>
      <c r="I2031" s="2"/>
    </row>
    <row r="2032" spans="1:12" customFormat="1" ht="16" x14ac:dyDescent="0.2">
      <c r="A2032" t="s">
        <v>71</v>
      </c>
      <c r="B2032" s="3">
        <v>1.4636237937232238E-7</v>
      </c>
      <c r="D2032" t="s">
        <v>14</v>
      </c>
      <c r="E2032" t="s">
        <v>9</v>
      </c>
      <c r="F2032" s="2" t="s">
        <v>15</v>
      </c>
      <c r="I2032" s="2"/>
    </row>
    <row r="2033" spans="1:12" customFormat="1" ht="16" x14ac:dyDescent="0.2">
      <c r="A2033" t="s">
        <v>77</v>
      </c>
      <c r="B2033" s="3">
        <v>5.6430000000000142E-7</v>
      </c>
      <c r="D2033" t="s">
        <v>14</v>
      </c>
      <c r="E2033" t="s">
        <v>9</v>
      </c>
      <c r="F2033" s="2" t="s">
        <v>15</v>
      </c>
      <c r="I2033" s="2"/>
    </row>
    <row r="2034" spans="1:12" customFormat="1" ht="16" x14ac:dyDescent="0.2">
      <c r="A2034" t="s">
        <v>78</v>
      </c>
      <c r="B2034" s="3">
        <v>2.2336471011856279E-6</v>
      </c>
      <c r="D2034" t="s">
        <v>14</v>
      </c>
      <c r="E2034" t="s">
        <v>9</v>
      </c>
      <c r="F2034" s="2" t="s">
        <v>15</v>
      </c>
      <c r="I2034" s="2"/>
    </row>
    <row r="2035" spans="1:12" customFormat="1" ht="16" x14ac:dyDescent="0.2"/>
    <row r="2036" spans="1:12" x14ac:dyDescent="0.2">
      <c r="A2036" s="17" t="s">
        <v>2</v>
      </c>
      <c r="B2036" s="17" t="s">
        <v>260</v>
      </c>
    </row>
    <row r="2037" spans="1:12" customFormat="1" ht="16" x14ac:dyDescent="0.2">
      <c r="A2037" s="2" t="s">
        <v>3</v>
      </c>
      <c r="B2037" s="2" t="s">
        <v>18</v>
      </c>
      <c r="C2037" s="2"/>
      <c r="D2037" s="2"/>
      <c r="E2037" s="2"/>
      <c r="F2037" s="2"/>
      <c r="G2037" s="2"/>
      <c r="H2037" s="2"/>
      <c r="I2037" s="2"/>
      <c r="J2037" s="2"/>
      <c r="K2037" s="2"/>
      <c r="L2037" s="2"/>
    </row>
    <row r="2038" spans="1:12" customFormat="1" ht="16" x14ac:dyDescent="0.2">
      <c r="A2038" s="2" t="s">
        <v>4</v>
      </c>
      <c r="B2038" s="2">
        <v>1</v>
      </c>
      <c r="C2038" s="2"/>
      <c r="D2038" s="2"/>
      <c r="E2038" s="2"/>
      <c r="F2038" s="2"/>
      <c r="G2038" s="2"/>
      <c r="H2038" s="2"/>
      <c r="I2038" s="2"/>
      <c r="J2038" s="2"/>
      <c r="K2038" s="2"/>
      <c r="L2038" s="2"/>
    </row>
    <row r="2039" spans="1:12" customFormat="1" ht="16" x14ac:dyDescent="0.2">
      <c r="A2039" s="2" t="s">
        <v>5</v>
      </c>
      <c r="B2039" s="2" t="s">
        <v>1</v>
      </c>
      <c r="C2039" s="2"/>
      <c r="D2039" s="2"/>
      <c r="E2039" s="2"/>
      <c r="F2039" s="2"/>
      <c r="G2039" s="2"/>
      <c r="H2039" s="2"/>
      <c r="I2039" s="2"/>
      <c r="J2039" s="2"/>
    </row>
    <row r="2040" spans="1:12" customFormat="1" ht="16" x14ac:dyDescent="0.2">
      <c r="A2040" s="2" t="s">
        <v>6</v>
      </c>
      <c r="B2040" s="2" t="s">
        <v>7</v>
      </c>
      <c r="C2040" s="2"/>
      <c r="D2040" s="2"/>
      <c r="E2040" s="2"/>
      <c r="F2040" s="2"/>
      <c r="G2040" s="2"/>
      <c r="H2040" s="2"/>
      <c r="I2040" s="2"/>
      <c r="J2040" s="2"/>
      <c r="K2040" s="2"/>
      <c r="L2040" s="2"/>
    </row>
    <row r="2041" spans="1:12" customFormat="1" ht="16" x14ac:dyDescent="0.2">
      <c r="A2041" s="2" t="s">
        <v>8</v>
      </c>
      <c r="B2041" s="2" t="s">
        <v>17</v>
      </c>
      <c r="C2041" s="2"/>
      <c r="D2041" s="2"/>
      <c r="E2041" s="2"/>
      <c r="F2041" s="2"/>
      <c r="G2041" s="2"/>
      <c r="H2041" s="2"/>
      <c r="I2041" s="2"/>
      <c r="J2041" s="2"/>
      <c r="K2041" s="2"/>
      <c r="L2041" s="2"/>
    </row>
    <row r="2042" spans="1:12" customFormat="1" ht="16" x14ac:dyDescent="0.2">
      <c r="A2042" s="1" t="s">
        <v>10</v>
      </c>
      <c r="B2042" s="2"/>
      <c r="C2042" s="2"/>
      <c r="D2042" s="2"/>
      <c r="E2042" s="2"/>
      <c r="F2042" s="2"/>
      <c r="G2042" s="2"/>
      <c r="H2042" s="2"/>
      <c r="I2042" s="2"/>
      <c r="J2042" s="2"/>
      <c r="K2042" s="2"/>
      <c r="L2042" s="2"/>
    </row>
    <row r="2043" spans="1:12" x14ac:dyDescent="0.2">
      <c r="A2043" s="17" t="s">
        <v>11</v>
      </c>
      <c r="B2043" s="17" t="s">
        <v>12</v>
      </c>
      <c r="C2043" s="17" t="s">
        <v>3</v>
      </c>
      <c r="D2043" s="17" t="s">
        <v>13</v>
      </c>
      <c r="E2043" s="17" t="s">
        <v>8</v>
      </c>
      <c r="F2043" s="17" t="s">
        <v>6</v>
      </c>
      <c r="G2043" s="17" t="s">
        <v>5</v>
      </c>
      <c r="H2043" s="17"/>
      <c r="J2043" s="17"/>
      <c r="K2043" s="17"/>
    </row>
    <row r="2044" spans="1:12" customFormat="1" ht="16" x14ac:dyDescent="0.2">
      <c r="A2044" s="2" t="str">
        <f>B2036</f>
        <v>biomethane, burned in passenger car</v>
      </c>
      <c r="B2044" s="2">
        <v>1</v>
      </c>
      <c r="C2044" s="2" t="str">
        <f>B2037</f>
        <v>RER</v>
      </c>
      <c r="D2044" s="2"/>
      <c r="E2044" s="2" t="str">
        <f>B2041</f>
        <v>megajoule</v>
      </c>
      <c r="F2044" s="2" t="s">
        <v>19</v>
      </c>
      <c r="G2044" s="2" t="str">
        <f>B2039</f>
        <v>heat</v>
      </c>
      <c r="H2044" s="2"/>
      <c r="I2044" s="2"/>
      <c r="J2044" s="2"/>
      <c r="K2044" s="2"/>
      <c r="L2044" s="2"/>
    </row>
    <row r="2045" spans="1:12" customFormat="1" ht="16" x14ac:dyDescent="0.2">
      <c r="A2045" t="s">
        <v>257</v>
      </c>
      <c r="B2045">
        <f>1/47.5</f>
        <v>2.1052631578947368E-2</v>
      </c>
      <c r="C2045" t="s">
        <v>18</v>
      </c>
      <c r="E2045" t="s">
        <v>9</v>
      </c>
      <c r="F2045" t="s">
        <v>23</v>
      </c>
      <c r="G2045" t="s">
        <v>258</v>
      </c>
      <c r="I2045" s="2"/>
    </row>
    <row r="2046" spans="1:12" customFormat="1" ht="16" x14ac:dyDescent="0.2">
      <c r="A2046" s="2" t="s">
        <v>144</v>
      </c>
      <c r="B2046">
        <f>150/200000/2.15</f>
        <v>3.4883720930232559E-4</v>
      </c>
      <c r="C2046" t="s">
        <v>114</v>
      </c>
      <c r="E2046" t="s">
        <v>9</v>
      </c>
      <c r="F2046" t="s">
        <v>23</v>
      </c>
      <c r="G2046" t="s">
        <v>145</v>
      </c>
      <c r="I2046" s="2"/>
    </row>
    <row r="2047" spans="1:12" customFormat="1" ht="16" x14ac:dyDescent="0.2">
      <c r="A2047" t="s">
        <v>48</v>
      </c>
      <c r="B2047" s="3">
        <v>4.4166666666666577E-6</v>
      </c>
      <c r="D2047" t="s">
        <v>14</v>
      </c>
      <c r="E2047" t="s">
        <v>9</v>
      </c>
      <c r="F2047" s="2" t="s">
        <v>15</v>
      </c>
      <c r="I2047" s="2"/>
    </row>
    <row r="2048" spans="1:12" customFormat="1" ht="16" x14ac:dyDescent="0.2">
      <c r="A2048" t="s">
        <v>50</v>
      </c>
      <c r="B2048" s="3">
        <v>7.5082705379565517E-7</v>
      </c>
      <c r="D2048" t="s">
        <v>14</v>
      </c>
      <c r="E2048" t="s">
        <v>9</v>
      </c>
      <c r="F2048" s="2" t="s">
        <v>15</v>
      </c>
      <c r="I2048" s="2"/>
    </row>
    <row r="2049" spans="1:12" customFormat="1" ht="16" x14ac:dyDescent="0.2">
      <c r="A2049" t="s">
        <v>123</v>
      </c>
      <c r="B2049">
        <f>2.74*B2045</f>
        <v>5.7684210526315789E-2</v>
      </c>
      <c r="D2049" t="s">
        <v>14</v>
      </c>
      <c r="E2049" t="s">
        <v>9</v>
      </c>
      <c r="F2049" s="2" t="s">
        <v>15</v>
      </c>
      <c r="I2049" s="2"/>
    </row>
    <row r="2050" spans="1:12" customFormat="1" ht="16" x14ac:dyDescent="0.2">
      <c r="A2050" t="s">
        <v>124</v>
      </c>
      <c r="B2050">
        <v>2.6360440412565261E-4</v>
      </c>
      <c r="D2050" t="s">
        <v>14</v>
      </c>
      <c r="E2050" t="s">
        <v>9</v>
      </c>
      <c r="F2050" s="2" t="s">
        <v>15</v>
      </c>
      <c r="I2050" s="2"/>
    </row>
    <row r="2051" spans="1:12" customFormat="1" ht="16" x14ac:dyDescent="0.2">
      <c r="A2051" t="s">
        <v>58</v>
      </c>
      <c r="B2051" s="3">
        <v>9.6666666666666532E-7</v>
      </c>
      <c r="D2051" t="s">
        <v>14</v>
      </c>
      <c r="E2051" t="s">
        <v>9</v>
      </c>
      <c r="F2051" s="2" t="s">
        <v>15</v>
      </c>
      <c r="I2051" s="2"/>
    </row>
    <row r="2052" spans="1:12" customFormat="1" ht="16" x14ac:dyDescent="0.2">
      <c r="A2052" t="s">
        <v>64</v>
      </c>
      <c r="B2052" s="3">
        <v>2.7750000000000002E-10</v>
      </c>
      <c r="D2052" t="s">
        <v>14</v>
      </c>
      <c r="E2052" t="s">
        <v>9</v>
      </c>
      <c r="F2052" s="2" t="s">
        <v>15</v>
      </c>
      <c r="I2052" s="2"/>
    </row>
    <row r="2053" spans="1:12" customFormat="1" ht="16" x14ac:dyDescent="0.2">
      <c r="A2053" t="s">
        <v>180</v>
      </c>
      <c r="B2053" s="3">
        <v>1.606690212560312E-5</v>
      </c>
      <c r="D2053" t="s">
        <v>14</v>
      </c>
      <c r="E2053" t="s">
        <v>9</v>
      </c>
      <c r="F2053" s="2" t="s">
        <v>15</v>
      </c>
      <c r="I2053" s="2"/>
    </row>
    <row r="2054" spans="1:12" customFormat="1" ht="16" x14ac:dyDescent="0.2">
      <c r="A2054" t="s">
        <v>67</v>
      </c>
      <c r="B2054" s="3">
        <v>6.8382126269474045E-6</v>
      </c>
      <c r="D2054" t="s">
        <v>14</v>
      </c>
      <c r="E2054" t="s">
        <v>9</v>
      </c>
      <c r="F2054" s="2" t="s">
        <v>15</v>
      </c>
      <c r="I2054" s="2"/>
    </row>
    <row r="2055" spans="1:12" customFormat="1" ht="16" x14ac:dyDescent="0.2">
      <c r="A2055" t="s">
        <v>69</v>
      </c>
      <c r="B2055" s="3">
        <v>2.9605693862641999E-6</v>
      </c>
      <c r="D2055" t="s">
        <v>14</v>
      </c>
      <c r="E2055" t="s">
        <v>9</v>
      </c>
      <c r="F2055" s="2" t="s">
        <v>15</v>
      </c>
      <c r="I2055" s="2"/>
    </row>
    <row r="2056" spans="1:12" customFormat="1" ht="16" x14ac:dyDescent="0.2">
      <c r="A2056" t="s">
        <v>71</v>
      </c>
      <c r="B2056" s="3">
        <v>1.4636237937232238E-7</v>
      </c>
      <c r="D2056" t="s">
        <v>14</v>
      </c>
      <c r="E2056" t="s">
        <v>9</v>
      </c>
      <c r="F2056" s="2" t="s">
        <v>15</v>
      </c>
      <c r="I2056" s="2"/>
    </row>
    <row r="2057" spans="1:12" customFormat="1" ht="16" x14ac:dyDescent="0.2">
      <c r="A2057" t="s">
        <v>77</v>
      </c>
      <c r="B2057" s="3">
        <v>5.6430000000000142E-7</v>
      </c>
      <c r="D2057" t="s">
        <v>14</v>
      </c>
      <c r="E2057" t="s">
        <v>9</v>
      </c>
      <c r="F2057" s="2" t="s">
        <v>15</v>
      </c>
      <c r="I2057" s="2"/>
    </row>
    <row r="2058" spans="1:12" customFormat="1" ht="16" x14ac:dyDescent="0.2">
      <c r="A2058" t="s">
        <v>78</v>
      </c>
      <c r="B2058" s="3">
        <v>2.2336471011856279E-6</v>
      </c>
      <c r="D2058" t="s">
        <v>14</v>
      </c>
      <c r="E2058" t="s">
        <v>9</v>
      </c>
      <c r="F2058" s="2" t="s">
        <v>15</v>
      </c>
      <c r="I2058" s="2"/>
    </row>
    <row r="2059" spans="1:12" customFormat="1" ht="16" x14ac:dyDescent="0.2"/>
    <row r="2060" spans="1:12" x14ac:dyDescent="0.2">
      <c r="A2060" s="17" t="s">
        <v>2</v>
      </c>
      <c r="B2060" s="17" t="s">
        <v>287</v>
      </c>
    </row>
    <row r="2061" spans="1:12" customFormat="1" ht="16" x14ac:dyDescent="0.2">
      <c r="A2061" s="2" t="s">
        <v>3</v>
      </c>
      <c r="B2061" s="2" t="s">
        <v>18</v>
      </c>
      <c r="C2061" s="2"/>
      <c r="D2061" s="2"/>
      <c r="E2061" s="2"/>
      <c r="F2061" s="2"/>
      <c r="G2061" s="2"/>
      <c r="H2061" s="2"/>
      <c r="I2061" s="2"/>
      <c r="J2061" s="2"/>
      <c r="K2061" s="2"/>
      <c r="L2061" s="2"/>
    </row>
    <row r="2062" spans="1:12" customFormat="1" ht="16" x14ac:dyDescent="0.2">
      <c r="A2062" s="2" t="s">
        <v>4</v>
      </c>
      <c r="B2062" s="2">
        <v>1</v>
      </c>
      <c r="C2062" s="2"/>
      <c r="D2062" s="2"/>
      <c r="E2062" s="2"/>
      <c r="F2062" s="2"/>
      <c r="G2062" s="2"/>
      <c r="H2062" s="2"/>
      <c r="I2062" s="2"/>
      <c r="J2062" s="2"/>
      <c r="K2062" s="2"/>
      <c r="L2062" s="2"/>
    </row>
    <row r="2063" spans="1:12" customFormat="1" ht="16" x14ac:dyDescent="0.2">
      <c r="A2063" s="2" t="s">
        <v>5</v>
      </c>
      <c r="B2063" s="2" t="s">
        <v>1</v>
      </c>
      <c r="C2063" s="2"/>
      <c r="D2063" s="2"/>
      <c r="E2063" s="2"/>
      <c r="F2063" s="2"/>
      <c r="G2063" s="2"/>
      <c r="H2063" s="2"/>
      <c r="I2063" s="2"/>
      <c r="J2063" s="2"/>
    </row>
    <row r="2064" spans="1:12" customFormat="1" ht="16" x14ac:dyDescent="0.2">
      <c r="A2064" s="2" t="s">
        <v>6</v>
      </c>
      <c r="B2064" s="2" t="s">
        <v>7</v>
      </c>
      <c r="C2064" s="2"/>
      <c r="D2064" s="2"/>
      <c r="E2064" s="2"/>
      <c r="F2064" s="2"/>
      <c r="G2064" s="2"/>
      <c r="H2064" s="2"/>
      <c r="I2064" s="2"/>
      <c r="J2064" s="2"/>
      <c r="K2064" s="2"/>
      <c r="L2064" s="2"/>
    </row>
    <row r="2065" spans="1:12" customFormat="1" ht="16" x14ac:dyDescent="0.2">
      <c r="A2065" s="2" t="s">
        <v>8</v>
      </c>
      <c r="B2065" s="2" t="s">
        <v>17</v>
      </c>
      <c r="C2065" s="2"/>
      <c r="D2065" s="2"/>
      <c r="E2065" s="2"/>
      <c r="F2065" s="2"/>
      <c r="G2065" s="2"/>
      <c r="H2065" s="2"/>
      <c r="I2065" s="2"/>
      <c r="J2065" s="2"/>
      <c r="K2065" s="2"/>
      <c r="L2065" s="2"/>
    </row>
    <row r="2066" spans="1:12" customFormat="1" ht="16" x14ac:dyDescent="0.2">
      <c r="A2066" s="1" t="s">
        <v>10</v>
      </c>
      <c r="B2066" s="2"/>
      <c r="C2066" s="2"/>
      <c r="D2066" s="2"/>
      <c r="E2066" s="2"/>
      <c r="F2066" s="2"/>
      <c r="G2066" s="2"/>
      <c r="H2066" s="2"/>
      <c r="I2066" s="2"/>
      <c r="J2066" s="2"/>
      <c r="K2066" s="2"/>
      <c r="L2066" s="2"/>
    </row>
    <row r="2067" spans="1:12" x14ac:dyDescent="0.2">
      <c r="A2067" s="17" t="s">
        <v>11</v>
      </c>
      <c r="B2067" s="17" t="s">
        <v>12</v>
      </c>
      <c r="C2067" s="17" t="s">
        <v>3</v>
      </c>
      <c r="D2067" s="17" t="s">
        <v>13</v>
      </c>
      <c r="E2067" s="17" t="s">
        <v>8</v>
      </c>
      <c r="F2067" s="17" t="s">
        <v>6</v>
      </c>
      <c r="G2067" s="17" t="s">
        <v>5</v>
      </c>
    </row>
    <row r="2068" spans="1:12" customFormat="1" ht="16" x14ac:dyDescent="0.2">
      <c r="A2068" s="2" t="str">
        <f>B2060</f>
        <v>diesel, synthetic, burned in diesel-electric generating set, 10MW</v>
      </c>
      <c r="B2068" s="2">
        <v>1</v>
      </c>
      <c r="C2068" s="2" t="str">
        <f>B2061</f>
        <v>RER</v>
      </c>
      <c r="D2068" s="2"/>
      <c r="E2068" s="2" t="str">
        <f>B2065</f>
        <v>megajoule</v>
      </c>
      <c r="F2068" s="2" t="s">
        <v>19</v>
      </c>
      <c r="G2068" s="2" t="s">
        <v>1</v>
      </c>
      <c r="H2068" s="2"/>
      <c r="I2068" s="2"/>
      <c r="J2068" s="2"/>
      <c r="K2068" s="2"/>
      <c r="L2068" s="2"/>
    </row>
    <row r="2069" spans="1:12" customFormat="1" ht="16" x14ac:dyDescent="0.2">
      <c r="A2069" t="s">
        <v>276</v>
      </c>
      <c r="B2069">
        <v>2.3400000000000001E-2</v>
      </c>
      <c r="C2069" t="s">
        <v>18</v>
      </c>
      <c r="E2069" t="s">
        <v>9</v>
      </c>
      <c r="F2069" t="s">
        <v>23</v>
      </c>
      <c r="G2069" t="s">
        <v>277</v>
      </c>
      <c r="H2069" s="2"/>
      <c r="I2069" s="2"/>
      <c r="J2069" s="2"/>
      <c r="K2069" s="2"/>
    </row>
    <row r="2070" spans="1:12" customFormat="1" ht="16" x14ac:dyDescent="0.2">
      <c r="A2070" t="s">
        <v>289</v>
      </c>
      <c r="B2070" s="3">
        <v>1.8500000000000001E-10</v>
      </c>
      <c r="C2070" t="s">
        <v>114</v>
      </c>
      <c r="E2070" t="s">
        <v>8</v>
      </c>
      <c r="F2070" t="s">
        <v>23</v>
      </c>
      <c r="G2070" t="s">
        <v>288</v>
      </c>
      <c r="H2070" s="2"/>
      <c r="I2070" s="2"/>
      <c r="J2070" s="2"/>
      <c r="K2070" s="2"/>
    </row>
    <row r="2071" spans="1:12" customFormat="1" ht="16" x14ac:dyDescent="0.2">
      <c r="A2071" t="s">
        <v>291</v>
      </c>
      <c r="B2071" s="3">
        <v>6.7000000000000002E-5</v>
      </c>
      <c r="C2071" t="s">
        <v>128</v>
      </c>
      <c r="E2071" t="s">
        <v>9</v>
      </c>
      <c r="F2071" t="s">
        <v>23</v>
      </c>
      <c r="G2071" t="s">
        <v>290</v>
      </c>
      <c r="H2071" s="2"/>
      <c r="I2071" s="2"/>
      <c r="J2071" s="2"/>
      <c r="K2071" s="2"/>
    </row>
    <row r="2072" spans="1:12" customFormat="1" ht="16" x14ac:dyDescent="0.2">
      <c r="A2072" t="s">
        <v>293</v>
      </c>
      <c r="B2072" s="3">
        <v>-6.7000000000000002E-5</v>
      </c>
      <c r="C2072" t="s">
        <v>22</v>
      </c>
      <c r="E2072" t="s">
        <v>9</v>
      </c>
      <c r="F2072" t="s">
        <v>23</v>
      </c>
      <c r="G2072" t="s">
        <v>292</v>
      </c>
      <c r="H2072" s="2"/>
      <c r="I2072" s="2"/>
      <c r="J2072" s="2"/>
      <c r="K2072" s="2"/>
    </row>
    <row r="2073" spans="1:12" customFormat="1" ht="16" x14ac:dyDescent="0.2">
      <c r="A2073" t="s">
        <v>50</v>
      </c>
      <c r="B2073" s="3">
        <v>2E-8</v>
      </c>
      <c r="D2073" t="s">
        <v>100</v>
      </c>
      <c r="E2073" t="s">
        <v>9</v>
      </c>
      <c r="F2073" t="s">
        <v>15</v>
      </c>
      <c r="H2073" s="2"/>
      <c r="I2073" s="2"/>
      <c r="J2073" s="2"/>
      <c r="K2073" s="2"/>
    </row>
    <row r="2074" spans="1:12" customFormat="1" ht="16" x14ac:dyDescent="0.2">
      <c r="A2074" t="s">
        <v>294</v>
      </c>
      <c r="B2074" s="3">
        <v>1E-10</v>
      </c>
      <c r="D2074" t="s">
        <v>100</v>
      </c>
      <c r="E2074" t="s">
        <v>9</v>
      </c>
      <c r="F2074" t="s">
        <v>15</v>
      </c>
      <c r="H2074" s="2"/>
      <c r="I2074" s="2"/>
      <c r="J2074" s="2"/>
      <c r="K2074" s="2"/>
    </row>
    <row r="2075" spans="1:12" customFormat="1" ht="16" x14ac:dyDescent="0.2">
      <c r="A2075" t="s">
        <v>52</v>
      </c>
      <c r="B2075" s="3">
        <v>2.3400000000000002E-10</v>
      </c>
      <c r="D2075" t="s">
        <v>100</v>
      </c>
      <c r="E2075" t="s">
        <v>9</v>
      </c>
      <c r="F2075" t="s">
        <v>15</v>
      </c>
      <c r="H2075" s="2"/>
      <c r="I2075" s="2"/>
      <c r="J2075" s="2"/>
      <c r="K2075" s="2"/>
    </row>
    <row r="2076" spans="1:12" customFormat="1" ht="16" x14ac:dyDescent="0.2">
      <c r="A2076" t="s">
        <v>124</v>
      </c>
      <c r="B2076">
        <v>6.8000000000000005E-4</v>
      </c>
      <c r="D2076" t="s">
        <v>100</v>
      </c>
      <c r="E2076" t="s">
        <v>9</v>
      </c>
      <c r="F2076" t="s">
        <v>15</v>
      </c>
      <c r="H2076" s="2"/>
      <c r="I2076" s="2"/>
      <c r="J2076" s="2"/>
      <c r="K2076" s="2"/>
    </row>
    <row r="2077" spans="1:12" customFormat="1" ht="16" x14ac:dyDescent="0.2">
      <c r="A2077" t="s">
        <v>55</v>
      </c>
      <c r="B2077" s="3">
        <v>1.1700000000000001E-9</v>
      </c>
      <c r="D2077" t="s">
        <v>100</v>
      </c>
      <c r="E2077" t="s">
        <v>9</v>
      </c>
      <c r="F2077" t="s">
        <v>15</v>
      </c>
      <c r="H2077" s="2"/>
      <c r="I2077" s="2"/>
      <c r="J2077" s="2"/>
      <c r="K2077" s="2"/>
    </row>
    <row r="2078" spans="1:12" customFormat="1" ht="16" x14ac:dyDescent="0.2">
      <c r="A2078" t="s">
        <v>56</v>
      </c>
      <c r="B2078" s="3">
        <v>2.3400000000000001E-12</v>
      </c>
      <c r="D2078" t="s">
        <v>100</v>
      </c>
      <c r="E2078" t="s">
        <v>9</v>
      </c>
      <c r="F2078" t="s">
        <v>15</v>
      </c>
      <c r="H2078" s="2"/>
      <c r="I2078" s="2"/>
      <c r="J2078" s="2"/>
      <c r="K2078" s="2"/>
    </row>
    <row r="2079" spans="1:12" customFormat="1" ht="16" x14ac:dyDescent="0.2">
      <c r="A2079" t="s">
        <v>57</v>
      </c>
      <c r="B2079" s="3">
        <v>3.9699999999999998E-8</v>
      </c>
      <c r="D2079" t="s">
        <v>100</v>
      </c>
      <c r="E2079" t="s">
        <v>9</v>
      </c>
      <c r="F2079" t="s">
        <v>15</v>
      </c>
      <c r="H2079" s="2"/>
      <c r="I2079" s="2"/>
      <c r="J2079" s="2"/>
      <c r="K2079" s="2"/>
    </row>
    <row r="2080" spans="1:12" customFormat="1" ht="16" x14ac:dyDescent="0.2">
      <c r="A2080" t="s">
        <v>58</v>
      </c>
      <c r="B2080" s="3">
        <v>6.0000000000000002E-6</v>
      </c>
      <c r="D2080" t="s">
        <v>100</v>
      </c>
      <c r="E2080" t="s">
        <v>9</v>
      </c>
      <c r="F2080" t="s">
        <v>15</v>
      </c>
      <c r="H2080" s="2"/>
      <c r="I2080" s="2"/>
      <c r="J2080" s="2"/>
      <c r="K2080" s="2"/>
    </row>
    <row r="2081" spans="1:11" customFormat="1" ht="16" x14ac:dyDescent="0.2">
      <c r="A2081" t="s">
        <v>64</v>
      </c>
      <c r="B2081" s="3">
        <v>4.6700000000000004E-10</v>
      </c>
      <c r="D2081" t="s">
        <v>100</v>
      </c>
      <c r="E2081" t="s">
        <v>9</v>
      </c>
      <c r="F2081" t="s">
        <v>15</v>
      </c>
      <c r="H2081" s="2"/>
      <c r="I2081" s="2"/>
      <c r="J2081" s="2"/>
      <c r="K2081" s="2"/>
    </row>
    <row r="2082" spans="1:11" customFormat="1" ht="16" x14ac:dyDescent="0.2">
      <c r="A2082" t="s">
        <v>180</v>
      </c>
      <c r="B2082" s="3">
        <v>1.6550862912263E-7</v>
      </c>
      <c r="D2082" t="s">
        <v>100</v>
      </c>
      <c r="E2082" t="s">
        <v>9</v>
      </c>
      <c r="F2082" t="s">
        <v>15</v>
      </c>
      <c r="H2082" s="2"/>
      <c r="I2082" s="2"/>
      <c r="J2082" s="2"/>
      <c r="K2082" s="2"/>
    </row>
    <row r="2083" spans="1:11" customFormat="1" ht="16" x14ac:dyDescent="0.2">
      <c r="A2083" t="s">
        <v>67</v>
      </c>
      <c r="B2083" s="3">
        <v>9.2399999999999996E-5</v>
      </c>
      <c r="D2083" t="s">
        <v>100</v>
      </c>
      <c r="E2083" t="s">
        <v>9</v>
      </c>
      <c r="F2083" t="s">
        <v>15</v>
      </c>
      <c r="H2083" s="2"/>
      <c r="I2083" s="2"/>
      <c r="J2083" s="2"/>
      <c r="K2083" s="2"/>
    </row>
    <row r="2084" spans="1:11" customFormat="1" ht="16" x14ac:dyDescent="0.2">
      <c r="A2084" t="s">
        <v>68</v>
      </c>
      <c r="B2084" s="3">
        <v>1.6399999999999999E-9</v>
      </c>
      <c r="D2084" t="s">
        <v>100</v>
      </c>
      <c r="E2084" t="s">
        <v>9</v>
      </c>
      <c r="F2084" t="s">
        <v>15</v>
      </c>
      <c r="H2084" s="2"/>
      <c r="I2084" s="2"/>
      <c r="J2084" s="2"/>
      <c r="K2084" s="2"/>
    </row>
    <row r="2085" spans="1:11" customFormat="1" ht="16" x14ac:dyDescent="0.2">
      <c r="A2085" t="s">
        <v>69</v>
      </c>
      <c r="B2085">
        <v>1.21684812166632E-3</v>
      </c>
      <c r="D2085" t="s">
        <v>100</v>
      </c>
      <c r="E2085" t="s">
        <v>9</v>
      </c>
      <c r="F2085" t="s">
        <v>15</v>
      </c>
      <c r="H2085" s="2"/>
      <c r="I2085" s="2"/>
      <c r="J2085" s="2"/>
      <c r="K2085" s="2"/>
    </row>
    <row r="2086" spans="1:11" customFormat="1" ht="16" x14ac:dyDescent="0.2">
      <c r="A2086" t="s">
        <v>71</v>
      </c>
      <c r="B2086">
        <v>1.7000000000000001E-4</v>
      </c>
      <c r="D2086" t="s">
        <v>100</v>
      </c>
      <c r="E2086" t="s">
        <v>9</v>
      </c>
      <c r="F2086" t="s">
        <v>15</v>
      </c>
      <c r="H2086" s="2"/>
      <c r="I2086" s="2"/>
      <c r="J2086" s="2"/>
      <c r="K2086" s="2"/>
    </row>
    <row r="2087" spans="1:11" customFormat="1" ht="16" x14ac:dyDescent="0.2">
      <c r="A2087" t="s">
        <v>75</v>
      </c>
      <c r="B2087" s="3">
        <v>2.3400000000000002E-10</v>
      </c>
      <c r="D2087" t="s">
        <v>100</v>
      </c>
      <c r="E2087" t="s">
        <v>9</v>
      </c>
      <c r="F2087" t="s">
        <v>15</v>
      </c>
      <c r="H2087" s="2"/>
      <c r="I2087" s="2"/>
      <c r="J2087" s="2"/>
      <c r="K2087" s="2"/>
    </row>
    <row r="2088" spans="1:11" customFormat="1" ht="16" x14ac:dyDescent="0.2">
      <c r="A2088" t="s">
        <v>77</v>
      </c>
      <c r="B2088" s="3">
        <v>6.0099999999999997E-5</v>
      </c>
      <c r="D2088" t="s">
        <v>100</v>
      </c>
      <c r="E2088" t="s">
        <v>9</v>
      </c>
      <c r="F2088" t="s">
        <v>15</v>
      </c>
      <c r="H2088" s="2"/>
      <c r="I2088" s="2"/>
      <c r="J2088" s="2"/>
      <c r="K2088" s="2"/>
    </row>
    <row r="2089" spans="1:11" customFormat="1" ht="16" x14ac:dyDescent="0.2">
      <c r="A2089" t="s">
        <v>79</v>
      </c>
      <c r="B2089" s="3">
        <v>2.3400000000000001E-8</v>
      </c>
      <c r="D2089" t="s">
        <v>100</v>
      </c>
      <c r="E2089" t="s">
        <v>9</v>
      </c>
      <c r="F2089" t="s">
        <v>15</v>
      </c>
      <c r="H2089" s="2"/>
      <c r="I2089" s="2"/>
      <c r="J2089" s="2"/>
      <c r="K2089" s="2"/>
    </row>
    <row r="2090" spans="1:11" customFormat="1" ht="16" x14ac:dyDescent="0.2">
      <c r="A2090" t="s">
        <v>123</v>
      </c>
      <c r="B2090">
        <f>B2069*3.15</f>
        <v>7.3709999999999998E-2</v>
      </c>
      <c r="D2090" t="s">
        <v>117</v>
      </c>
      <c r="E2090" t="s">
        <v>9</v>
      </c>
      <c r="F2090" t="s">
        <v>15</v>
      </c>
      <c r="H2090" s="2"/>
      <c r="I2090" s="2"/>
      <c r="J2090" s="2"/>
      <c r="K2090" s="2"/>
    </row>
  </sheetData>
  <autoFilter ref="A1:O2090"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54"/>
  <sheetViews>
    <sheetView workbookViewId="0">
      <selection activeCell="AH24" sqref="AH24"/>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5" width="13.6640625" bestFit="1" customWidth="1"/>
    <col min="6" max="6" width="12.1640625" bestFit="1" customWidth="1"/>
    <col min="7" max="7" width="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312</v>
      </c>
    </row>
    <row r="3" spans="1:39" x14ac:dyDescent="0.2">
      <c r="A3" s="1" t="s">
        <v>313</v>
      </c>
      <c r="AM3" s="1"/>
    </row>
    <row r="4" spans="1:39" x14ac:dyDescent="0.2">
      <c r="B4" t="s">
        <v>355</v>
      </c>
      <c r="C4" t="s">
        <v>356</v>
      </c>
      <c r="D4" t="s">
        <v>357</v>
      </c>
      <c r="E4" t="s">
        <v>319</v>
      </c>
      <c r="F4" t="s">
        <v>320</v>
      </c>
      <c r="G4" t="s">
        <v>321</v>
      </c>
      <c r="H4" t="s">
        <v>322</v>
      </c>
      <c r="I4" t="s">
        <v>323</v>
      </c>
      <c r="J4" t="s">
        <v>324</v>
      </c>
      <c r="K4" t="s">
        <v>340</v>
      </c>
      <c r="L4" t="s">
        <v>341</v>
      </c>
      <c r="M4" t="s">
        <v>342</v>
      </c>
      <c r="N4" t="s">
        <v>343</v>
      </c>
      <c r="O4" t="s">
        <v>344</v>
      </c>
      <c r="P4" t="s">
        <v>345</v>
      </c>
      <c r="Q4" t="s">
        <v>336</v>
      </c>
      <c r="R4" t="s">
        <v>337</v>
      </c>
      <c r="S4" t="s">
        <v>338</v>
      </c>
      <c r="T4" t="s">
        <v>325</v>
      </c>
      <c r="U4" t="s">
        <v>326</v>
      </c>
      <c r="V4" t="s">
        <v>327</v>
      </c>
      <c r="W4" t="s">
        <v>333</v>
      </c>
      <c r="X4" t="s">
        <v>334</v>
      </c>
      <c r="Y4" t="s">
        <v>335</v>
      </c>
      <c r="Z4" t="s">
        <v>349</v>
      </c>
      <c r="AA4" t="s">
        <v>350</v>
      </c>
      <c r="AB4" t="s">
        <v>351</v>
      </c>
      <c r="AC4" t="s">
        <v>352</v>
      </c>
      <c r="AD4" t="s">
        <v>353</v>
      </c>
      <c r="AE4" t="s">
        <v>354</v>
      </c>
      <c r="AF4" t="s">
        <v>368</v>
      </c>
      <c r="AG4" t="s">
        <v>369</v>
      </c>
      <c r="AH4" t="s">
        <v>370</v>
      </c>
      <c r="AI4" t="s">
        <v>371</v>
      </c>
      <c r="AJ4" t="s">
        <v>372</v>
      </c>
      <c r="AK4" t="s">
        <v>347</v>
      </c>
      <c r="AL4" t="s">
        <v>346</v>
      </c>
      <c r="AM4" t="s">
        <v>358</v>
      </c>
    </row>
    <row r="5" spans="1:39" x14ac:dyDescent="0.2">
      <c r="B5" t="s">
        <v>315</v>
      </c>
      <c r="C5" t="s">
        <v>315</v>
      </c>
      <c r="D5" t="s">
        <v>315</v>
      </c>
      <c r="E5" t="s">
        <v>316</v>
      </c>
      <c r="F5" t="s">
        <v>316</v>
      </c>
      <c r="G5" t="s">
        <v>316</v>
      </c>
      <c r="H5" t="s">
        <v>317</v>
      </c>
      <c r="I5" t="s">
        <v>317</v>
      </c>
      <c r="J5" t="s">
        <v>317</v>
      </c>
      <c r="K5" t="s">
        <v>339</v>
      </c>
      <c r="L5" t="s">
        <v>339</v>
      </c>
      <c r="M5" t="s">
        <v>339</v>
      </c>
      <c r="N5" t="s">
        <v>339</v>
      </c>
      <c r="O5" t="s">
        <v>339</v>
      </c>
      <c r="P5" t="s">
        <v>339</v>
      </c>
      <c r="Q5" t="s">
        <v>339</v>
      </c>
      <c r="R5" t="s">
        <v>339</v>
      </c>
      <c r="S5" t="s">
        <v>339</v>
      </c>
      <c r="T5" t="s">
        <v>318</v>
      </c>
      <c r="U5" t="s">
        <v>318</v>
      </c>
      <c r="V5" t="s">
        <v>318</v>
      </c>
      <c r="W5" t="s">
        <v>8</v>
      </c>
      <c r="X5" t="s">
        <v>8</v>
      </c>
      <c r="Y5" t="s">
        <v>8</v>
      </c>
      <c r="Z5" t="s">
        <v>315</v>
      </c>
      <c r="AA5" t="s">
        <v>315</v>
      </c>
      <c r="AB5" t="s">
        <v>315</v>
      </c>
      <c r="AC5" t="s">
        <v>8</v>
      </c>
      <c r="AD5" t="s">
        <v>8</v>
      </c>
      <c r="AE5" t="s">
        <v>8</v>
      </c>
      <c r="AF5" t="s">
        <v>339</v>
      </c>
      <c r="AG5" t="s">
        <v>339</v>
      </c>
      <c r="AH5" t="s">
        <v>339</v>
      </c>
      <c r="AI5" t="s">
        <v>339</v>
      </c>
      <c r="AJ5" t="s">
        <v>339</v>
      </c>
      <c r="AK5" t="s">
        <v>348</v>
      </c>
      <c r="AL5" t="s">
        <v>348</v>
      </c>
    </row>
    <row r="6" spans="1:39" x14ac:dyDescent="0.2">
      <c r="A6" s="1" t="s">
        <v>328</v>
      </c>
      <c r="AM6" s="1"/>
    </row>
    <row r="7" spans="1:39" x14ac:dyDescent="0.2">
      <c r="A7" s="2" t="s">
        <v>232</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359</v>
      </c>
    </row>
    <row r="8" spans="1:39" x14ac:dyDescent="0.2">
      <c r="A8" s="2" t="s">
        <v>261</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359</v>
      </c>
    </row>
    <row r="9" spans="1:39" x14ac:dyDescent="0.2">
      <c r="A9" s="2" t="s">
        <v>281</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359</v>
      </c>
    </row>
    <row r="10" spans="1:39" x14ac:dyDescent="0.2">
      <c r="A10" s="2" t="s">
        <v>228</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359</v>
      </c>
    </row>
    <row r="11" spans="1:39" x14ac:dyDescent="0.2">
      <c r="A11" s="2" t="s">
        <v>303</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359</v>
      </c>
    </row>
    <row r="12" spans="1:39" x14ac:dyDescent="0.2">
      <c r="A12" s="17" t="s">
        <v>314</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377</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377</v>
      </c>
    </row>
    <row r="15" spans="1:39" x14ac:dyDescent="0.2">
      <c r="A15" s="2" t="s">
        <v>279</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377</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377</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377</v>
      </c>
    </row>
    <row r="18" spans="1:39" x14ac:dyDescent="0.2">
      <c r="A18" s="2" t="s">
        <v>305</v>
      </c>
      <c r="B18">
        <v>139</v>
      </c>
      <c r="C18">
        <v>58</v>
      </c>
      <c r="D18">
        <v>176</v>
      </c>
      <c r="E18" s="23">
        <v>200000</v>
      </c>
      <c r="F18" s="23">
        <v>160000</v>
      </c>
      <c r="G18" s="23">
        <v>250000</v>
      </c>
      <c r="H18" s="23">
        <v>1180</v>
      </c>
      <c r="I18" s="23">
        <v>900</v>
      </c>
      <c r="J18" s="23">
        <v>1660</v>
      </c>
      <c r="K18" s="23">
        <v>88</v>
      </c>
      <c r="L18" s="23">
        <v>48</v>
      </c>
      <c r="M18" s="23">
        <v>107</v>
      </c>
      <c r="T18">
        <v>3</v>
      </c>
      <c r="U18">
        <v>1</v>
      </c>
      <c r="V18">
        <v>4</v>
      </c>
      <c r="Z18">
        <v>119</v>
      </c>
      <c r="AA18">
        <v>49</v>
      </c>
      <c r="AB18">
        <v>151</v>
      </c>
      <c r="AG18">
        <v>3</v>
      </c>
      <c r="AH18">
        <v>4</v>
      </c>
      <c r="AJ18">
        <v>8</v>
      </c>
      <c r="AM18" s="2" t="s">
        <v>377</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377</v>
      </c>
    </row>
    <row r="20" spans="1:39" x14ac:dyDescent="0.2">
      <c r="A20" s="2" t="s">
        <v>271</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377</v>
      </c>
    </row>
    <row r="21" spans="1:39" x14ac:dyDescent="0.2">
      <c r="A21" s="2" t="s">
        <v>260</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377</v>
      </c>
    </row>
    <row r="22" spans="1:39" x14ac:dyDescent="0.2">
      <c r="A22" s="17" t="s">
        <v>329</v>
      </c>
      <c r="E22" s="23"/>
      <c r="F22" s="23"/>
      <c r="G22" s="23"/>
      <c r="AM22" s="17"/>
    </row>
    <row r="23" spans="1:39" x14ac:dyDescent="0.2">
      <c r="A23" s="2" t="s">
        <v>199</v>
      </c>
      <c r="E23" s="23"/>
      <c r="F23" s="23"/>
      <c r="G23" s="23"/>
      <c r="AM23" s="2"/>
    </row>
    <row r="24" spans="1:39" x14ac:dyDescent="0.2">
      <c r="A24" s="2" t="s">
        <v>259</v>
      </c>
      <c r="E24" s="23"/>
      <c r="F24" s="23"/>
      <c r="G24" s="23"/>
      <c r="AM24" s="2"/>
    </row>
    <row r="25" spans="1:39" x14ac:dyDescent="0.2">
      <c r="A25" s="2" t="s">
        <v>280</v>
      </c>
      <c r="E25" s="23"/>
      <c r="F25" s="23"/>
      <c r="G25" s="23"/>
      <c r="AM25" s="2"/>
    </row>
    <row r="26" spans="1:39" x14ac:dyDescent="0.2">
      <c r="A26" s="2" t="s">
        <v>205</v>
      </c>
      <c r="E26" s="23"/>
      <c r="F26" s="23"/>
      <c r="G26" s="23"/>
      <c r="AM26" s="2"/>
    </row>
    <row r="27" spans="1:39" x14ac:dyDescent="0.2">
      <c r="A27" s="2" t="s">
        <v>272</v>
      </c>
      <c r="E27" s="23"/>
      <c r="F27" s="23"/>
      <c r="G27" s="23"/>
      <c r="AM27" s="2"/>
    </row>
    <row r="28" spans="1:39" x14ac:dyDescent="0.2">
      <c r="A28" s="2" t="s">
        <v>256</v>
      </c>
      <c r="E28" s="23"/>
      <c r="F28" s="23"/>
      <c r="G28" s="23"/>
      <c r="AM28" s="2"/>
    </row>
    <row r="29" spans="1:39" x14ac:dyDescent="0.2">
      <c r="A29" s="2" t="s">
        <v>211</v>
      </c>
      <c r="E29" s="23"/>
      <c r="F29" s="23"/>
      <c r="G29" s="23"/>
      <c r="AM29" s="2"/>
    </row>
    <row r="30" spans="1:39" x14ac:dyDescent="0.2">
      <c r="A30" s="2" t="s">
        <v>302</v>
      </c>
      <c r="E30" s="23"/>
      <c r="F30" s="23"/>
      <c r="G30" s="23"/>
      <c r="AM30" s="2"/>
    </row>
    <row r="31" spans="1:39" x14ac:dyDescent="0.2">
      <c r="A31" s="2" t="s">
        <v>222</v>
      </c>
      <c r="E31" s="23"/>
      <c r="F31" s="23"/>
      <c r="G31" s="23"/>
      <c r="AM31" s="2"/>
    </row>
    <row r="32" spans="1:39" x14ac:dyDescent="0.2">
      <c r="A32" s="2" t="s">
        <v>225</v>
      </c>
      <c r="E32" s="23"/>
      <c r="F32" s="23"/>
      <c r="G32" s="23"/>
      <c r="AM32" s="2"/>
    </row>
    <row r="33" spans="1:39" x14ac:dyDescent="0.2">
      <c r="A33" s="2" t="s">
        <v>254</v>
      </c>
      <c r="E33" s="23"/>
      <c r="F33" s="23"/>
      <c r="G33" s="23"/>
      <c r="AM33" s="2"/>
    </row>
    <row r="34" spans="1:39" x14ac:dyDescent="0.2">
      <c r="A34" s="2" t="s">
        <v>136</v>
      </c>
      <c r="E34" s="23"/>
      <c r="F34" s="23"/>
      <c r="G34" s="23"/>
      <c r="AM34" s="2"/>
    </row>
    <row r="35" spans="1:39" x14ac:dyDescent="0.2">
      <c r="A35" s="2" t="s">
        <v>278</v>
      </c>
      <c r="E35" s="23"/>
      <c r="F35" s="23"/>
      <c r="G35" s="23"/>
      <c r="AM35" s="2"/>
    </row>
    <row r="36" spans="1:39" x14ac:dyDescent="0.2">
      <c r="A36" s="2" t="s">
        <v>177</v>
      </c>
      <c r="E36" s="23"/>
      <c r="F36" s="23"/>
      <c r="G36" s="23"/>
      <c r="AM36" s="2"/>
    </row>
    <row r="37" spans="1:39" x14ac:dyDescent="0.2">
      <c r="A37" s="17" t="s">
        <v>330</v>
      </c>
      <c r="E37" s="23"/>
      <c r="F37" s="23"/>
      <c r="G37" s="23"/>
      <c r="AM37" s="17"/>
    </row>
    <row r="38" spans="1:39" x14ac:dyDescent="0.2">
      <c r="A38" s="2" t="s">
        <v>135</v>
      </c>
      <c r="E38" s="23"/>
      <c r="F38" s="23"/>
      <c r="G38" s="23"/>
      <c r="AM38" s="2"/>
    </row>
    <row r="39" spans="1:39" x14ac:dyDescent="0.2">
      <c r="A39" s="2" t="s">
        <v>89</v>
      </c>
      <c r="E39" s="23"/>
      <c r="F39" s="23"/>
      <c r="G39" s="23"/>
      <c r="AM39" s="2"/>
    </row>
    <row r="40" spans="1:39" x14ac:dyDescent="0.2">
      <c r="A40" s="2" t="s">
        <v>125</v>
      </c>
      <c r="E40" s="23"/>
      <c r="F40" s="23"/>
      <c r="G40" s="23"/>
      <c r="AM40" s="2"/>
    </row>
    <row r="41" spans="1:39" x14ac:dyDescent="0.2">
      <c r="A41" s="2" t="s">
        <v>132</v>
      </c>
      <c r="E41" s="23"/>
      <c r="F41" s="23"/>
      <c r="G41" s="23"/>
      <c r="AM41" s="2"/>
    </row>
    <row r="42" spans="1:39" x14ac:dyDescent="0.2">
      <c r="A42" s="2" t="s">
        <v>275</v>
      </c>
      <c r="E42" s="23"/>
      <c r="F42" s="23"/>
      <c r="G42" s="23"/>
      <c r="AM42" s="2"/>
    </row>
    <row r="43" spans="1:39" x14ac:dyDescent="0.2">
      <c r="A43" s="2" t="s">
        <v>308</v>
      </c>
      <c r="E43" s="23"/>
      <c r="F43" s="23"/>
      <c r="G43" s="23"/>
      <c r="AM43" s="2"/>
    </row>
    <row r="44" spans="1:39" x14ac:dyDescent="0.2">
      <c r="A44" s="2" t="s">
        <v>304</v>
      </c>
      <c r="E44" s="23"/>
      <c r="F44" s="23"/>
      <c r="G44" s="23"/>
      <c r="AM44" s="2"/>
    </row>
    <row r="45" spans="1:39" x14ac:dyDescent="0.2">
      <c r="A45" s="2" t="s">
        <v>274</v>
      </c>
      <c r="E45" s="23"/>
      <c r="F45" s="23"/>
      <c r="G45" s="23"/>
      <c r="AM45" s="2"/>
    </row>
    <row r="46" spans="1:39" x14ac:dyDescent="0.2">
      <c r="A46" s="2" t="s">
        <v>252</v>
      </c>
      <c r="E46" s="23"/>
      <c r="F46" s="23"/>
      <c r="G46" s="23"/>
      <c r="AM46" s="2"/>
    </row>
    <row r="47" spans="1:39" x14ac:dyDescent="0.2">
      <c r="A47" s="2" t="s">
        <v>273</v>
      </c>
      <c r="E47" s="23"/>
      <c r="F47" s="23"/>
      <c r="G47" s="23"/>
      <c r="AM47" s="2"/>
    </row>
    <row r="48" spans="1:39" x14ac:dyDescent="0.2">
      <c r="A48" s="17" t="s">
        <v>331</v>
      </c>
      <c r="E48" s="23"/>
      <c r="F48" s="23"/>
      <c r="G48" s="23"/>
      <c r="AM48" s="17"/>
    </row>
    <row r="49" spans="1:39" x14ac:dyDescent="0.2">
      <c r="A49" s="2" t="s">
        <v>95</v>
      </c>
      <c r="E49" s="23"/>
      <c r="F49" s="23"/>
      <c r="G49" s="23"/>
      <c r="AM49" s="2"/>
    </row>
    <row r="50" spans="1:39" x14ac:dyDescent="0.2">
      <c r="A50" s="2" t="s">
        <v>307</v>
      </c>
      <c r="E50" s="23"/>
      <c r="F50" s="23"/>
      <c r="G50" s="23"/>
      <c r="AM50" s="2"/>
    </row>
    <row r="51" spans="1:39" x14ac:dyDescent="0.2">
      <c r="A51" s="2" t="s">
        <v>284</v>
      </c>
      <c r="E51" s="23"/>
      <c r="F51" s="23"/>
      <c r="G51" s="23"/>
      <c r="AM51" s="2"/>
    </row>
    <row r="52" spans="1:39" x14ac:dyDescent="0.2">
      <c r="A52" s="17" t="s">
        <v>332</v>
      </c>
      <c r="E52" s="23"/>
      <c r="F52" s="23"/>
      <c r="G52" s="23"/>
      <c r="AM52" s="17"/>
    </row>
    <row r="53" spans="1:39" x14ac:dyDescent="0.2">
      <c r="A53" s="2" t="s">
        <v>101</v>
      </c>
      <c r="E53" s="23"/>
      <c r="F53" s="23"/>
      <c r="G53" s="23"/>
      <c r="AM53" s="2"/>
    </row>
    <row r="54" spans="1:39" x14ac:dyDescent="0.2">
      <c r="A54" s="2" t="s">
        <v>129</v>
      </c>
      <c r="E54" s="23"/>
      <c r="F54" s="23"/>
      <c r="G54" s="23"/>
      <c r="AM54" s="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2025-04-07T06:57:15Z</dcterms:modified>
</cp:coreProperties>
</file>