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4.xml" ContentType="application/vnd.openxmlformats-officedocument.drawingml.chart+xml"/>
  <Override PartName="/xl/charts/chart1.xml" ContentType="application/vnd.openxmlformats-officedocument.drawingml.chart+xml"/>
  <Override PartName="/xl/charts/chart3.xml" ContentType="application/vnd.openxmlformats-officedocument.drawingml.chart+xml"/>
  <Override PartName="/xl/charts/chart2.xml" ContentType="application/vnd.openxmlformats-officedocument.drawingml.chart+xml"/>
  <Override PartName="/xl/connections.xml" ContentType="application/vnd.openxmlformats-officedocument.spreadsheetml.connections+xml"/>
  <Override PartName="/xl/queryTables/queryTable1.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Xml/itemProps4.xml" ContentType="application/vnd.openxmlformats-officedocument.customXmlProperties+xml"/>
  <Override PartName="/customXml/itemProps3.xml" ContentType="application/vnd.openxmlformats-officedocument.customXml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5.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827"/>
  <workbookPr filterPrivacy="1" codeName="ThisWorkbook" defaultThemeVersion="124226"/>
  <xr:revisionPtr revIDLastSave="0" documentId="13_ncr:1_{8D0C066B-CABE-4CDA-8C06-9F4203242D6B}" xr6:coauthVersionLast="47" xr6:coauthVersionMax="47" xr10:uidLastSave="{00000000-0000-0000-0000-000000000000}"/>
  <bookViews>
    <workbookView xWindow="-28920" yWindow="-120" windowWidth="29040" windowHeight="15840" xr2:uid="{00000000-000D-0000-FFFF-FFFF00000000}"/>
  </bookViews>
  <sheets>
    <sheet name="A. Charts" sheetId="1" r:id="rId1"/>
    <sheet name="B. Tables" sheetId="3" r:id="rId2"/>
    <sheet name="Z1. Input tables (Assets)" sheetId="10" state="hidden" r:id="rId3"/>
    <sheet name="Z2. Input table (Liab.)" sheetId="6" state="hidden" r:id="rId4"/>
    <sheet name="Z3. Input table (GWP)" sheetId="8" state="hidden" r:id="rId5"/>
    <sheet name="Z3b. Input table (GWP Life)" sheetId="13" state="hidden" r:id="rId6"/>
    <sheet name="Z4. Input table (SCR and MCR)" sheetId="9" state="hidden" r:id="rId7"/>
    <sheet name="Z5. Country ISO codes" sheetId="12" state="hidden" r:id="rId8"/>
  </sheets>
  <definedNames>
    <definedName name="_AMO_RefreshMultipleList">"'&lt;Items /&gt;'"</definedName>
    <definedName name="_AMO_RefreshMultipleList.0" hidden="1">"'&lt;Items&gt;_x000D_
  &lt;Item Id=""115806827"" Checked=""False"" /&gt;_x000D_
  &lt;Item Id=""21726490"" Checked=""False"" /&gt;_x000D_
  &lt;Item Id=""684999514"" Checked=""False"" /&gt;_x000D_
  &lt;Item Id=""892938517"" Checked=""False"" /&gt;_x000D_
  &lt;Item Id=""669744036"" Checked=""False"" /&gt;_x000D_
  &lt;Ite'"</definedName>
    <definedName name="_AMO_RefreshMultipleList.1" hidden="1">"'m Id=""240720086"" Checked=""False"" /&gt;_x000D_
&lt;/Items&gt;'"</definedName>
    <definedName name="_AMO_UniqueIdentifier" hidden="1">"'458a5e06-5482-4372-b980-f1bbf8e6a260'"</definedName>
    <definedName name="_AMO_XmlVersion" hidden="1">"'1'"</definedName>
    <definedName name="_xlnm._FilterDatabase" localSheetId="4" hidden="1">'Z3. Input table (GWP)'!$A$5:$C$5</definedName>
    <definedName name="SA_Life_premiums_CSV_file_for_acc_note" localSheetId="5">'Z3b. Input table (GWP Life)'!$A$1:$G$31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W35" i="3" l="1"/>
  <c r="V35" i="3"/>
  <c r="U35" i="3"/>
  <c r="T35" i="3"/>
  <c r="S35" i="3"/>
  <c r="R35" i="3"/>
  <c r="R7" i="3"/>
  <c r="S7" i="3"/>
  <c r="T7" i="3"/>
  <c r="U7" i="3"/>
  <c r="V7" i="3"/>
  <c r="W7" i="3"/>
  <c r="R8" i="3"/>
  <c r="S8" i="3"/>
  <c r="T8" i="3"/>
  <c r="U8" i="3"/>
  <c r="V8" i="3"/>
  <c r="W8" i="3"/>
  <c r="R9" i="3"/>
  <c r="S9" i="3"/>
  <c r="T9" i="3"/>
  <c r="U9" i="3"/>
  <c r="V9" i="3"/>
  <c r="W9" i="3"/>
  <c r="R10" i="3"/>
  <c r="S10" i="3"/>
  <c r="T10" i="3"/>
  <c r="U10" i="3"/>
  <c r="V10" i="3"/>
  <c r="W10" i="3"/>
  <c r="R11" i="3"/>
  <c r="S11" i="3"/>
  <c r="T11" i="3"/>
  <c r="U11" i="3"/>
  <c r="V11" i="3"/>
  <c r="W11" i="3"/>
  <c r="R12" i="3"/>
  <c r="S12" i="3"/>
  <c r="T12" i="3"/>
  <c r="U12" i="3"/>
  <c r="V12" i="3"/>
  <c r="W12" i="3"/>
  <c r="R13" i="3"/>
  <c r="S13" i="3"/>
  <c r="T13" i="3"/>
  <c r="U13" i="3"/>
  <c r="V13" i="3"/>
  <c r="W13" i="3"/>
  <c r="R14" i="3"/>
  <c r="S14" i="3"/>
  <c r="T14" i="3"/>
  <c r="U14" i="3"/>
  <c r="V14" i="3"/>
  <c r="W14" i="3"/>
  <c r="R15" i="3"/>
  <c r="S15" i="3"/>
  <c r="T15" i="3"/>
  <c r="U15" i="3"/>
  <c r="V15" i="3"/>
  <c r="W15" i="3"/>
  <c r="R16" i="3"/>
  <c r="S16" i="3"/>
  <c r="T16" i="3"/>
  <c r="U16" i="3"/>
  <c r="V16" i="3"/>
  <c r="W16" i="3"/>
  <c r="R17" i="3"/>
  <c r="S17" i="3"/>
  <c r="T17" i="3"/>
  <c r="U17" i="3"/>
  <c r="V17" i="3"/>
  <c r="W17" i="3"/>
  <c r="R18" i="3"/>
  <c r="S18" i="3"/>
  <c r="T18" i="3"/>
  <c r="U18" i="3"/>
  <c r="V18" i="3"/>
  <c r="W18" i="3"/>
  <c r="R19" i="3"/>
  <c r="S19" i="3"/>
  <c r="T19" i="3"/>
  <c r="U19" i="3"/>
  <c r="V19" i="3"/>
  <c r="W19" i="3"/>
  <c r="R20" i="3"/>
  <c r="S20" i="3"/>
  <c r="T20" i="3"/>
  <c r="U20" i="3"/>
  <c r="V20" i="3"/>
  <c r="W20" i="3"/>
  <c r="R21" i="3"/>
  <c r="S21" i="3"/>
  <c r="T21" i="3"/>
  <c r="U21" i="3"/>
  <c r="V21" i="3"/>
  <c r="W21" i="3"/>
  <c r="R22" i="3"/>
  <c r="S22" i="3"/>
  <c r="T22" i="3"/>
  <c r="U22" i="3"/>
  <c r="V22" i="3"/>
  <c r="W22" i="3"/>
  <c r="R23" i="3"/>
  <c r="S23" i="3"/>
  <c r="T23" i="3"/>
  <c r="U23" i="3"/>
  <c r="V23" i="3"/>
  <c r="W23" i="3"/>
  <c r="R24" i="3"/>
  <c r="S24" i="3"/>
  <c r="T24" i="3"/>
  <c r="U24" i="3"/>
  <c r="V24" i="3"/>
  <c r="W24" i="3"/>
  <c r="R25" i="3"/>
  <c r="S25" i="3"/>
  <c r="T25" i="3"/>
  <c r="U25" i="3"/>
  <c r="V25" i="3"/>
  <c r="W25" i="3"/>
  <c r="R26" i="3"/>
  <c r="S26" i="3"/>
  <c r="T26" i="3"/>
  <c r="U26" i="3"/>
  <c r="V26" i="3"/>
  <c r="W26" i="3"/>
  <c r="R27" i="3"/>
  <c r="S27" i="3"/>
  <c r="T27" i="3"/>
  <c r="U27" i="3"/>
  <c r="V27" i="3"/>
  <c r="W27" i="3"/>
  <c r="R28" i="3"/>
  <c r="S28" i="3"/>
  <c r="T28" i="3"/>
  <c r="U28" i="3"/>
  <c r="V28" i="3"/>
  <c r="W28" i="3"/>
  <c r="R29" i="3"/>
  <c r="S29" i="3"/>
  <c r="T29" i="3"/>
  <c r="U29" i="3"/>
  <c r="V29" i="3"/>
  <c r="W29" i="3"/>
  <c r="R30" i="3"/>
  <c r="S30" i="3"/>
  <c r="T30" i="3"/>
  <c r="U30" i="3"/>
  <c r="V30" i="3"/>
  <c r="W30" i="3"/>
  <c r="R31" i="3"/>
  <c r="S31" i="3"/>
  <c r="T31" i="3"/>
  <c r="U31" i="3"/>
  <c r="V31" i="3"/>
  <c r="W31" i="3"/>
  <c r="R32" i="3"/>
  <c r="S32" i="3"/>
  <c r="T32" i="3"/>
  <c r="U32" i="3"/>
  <c r="V32" i="3"/>
  <c r="W32" i="3"/>
  <c r="R33" i="3"/>
  <c r="S33" i="3"/>
  <c r="T33" i="3"/>
  <c r="U33" i="3"/>
  <c r="V33" i="3"/>
  <c r="W33" i="3"/>
  <c r="R34" i="3"/>
  <c r="S34" i="3"/>
  <c r="T34" i="3"/>
  <c r="U34" i="3"/>
  <c r="V34" i="3"/>
  <c r="W34" i="3"/>
  <c r="R6" i="3"/>
  <c r="S6" i="3"/>
  <c r="T6" i="3"/>
  <c r="U6" i="3"/>
  <c r="V6" i="3"/>
  <c r="W6" i="3"/>
  <c r="W5" i="3"/>
  <c r="V5" i="3"/>
  <c r="U5" i="3"/>
  <c r="T5" i="3"/>
  <c r="S5" i="3"/>
  <c r="R5" i="3"/>
  <c r="Q35" i="3"/>
  <c r="P35" i="3"/>
  <c r="O35" i="3"/>
  <c r="N35" i="3"/>
  <c r="M35" i="3"/>
  <c r="L35" i="3"/>
  <c r="L6" i="3"/>
  <c r="M6" i="3"/>
  <c r="N6" i="3"/>
  <c r="O6" i="3"/>
  <c r="P6" i="3"/>
  <c r="Q6" i="3"/>
  <c r="L7" i="3"/>
  <c r="M7" i="3"/>
  <c r="N7" i="3"/>
  <c r="O7" i="3"/>
  <c r="P7" i="3"/>
  <c r="Q7" i="3"/>
  <c r="L8" i="3"/>
  <c r="M8" i="3"/>
  <c r="N8" i="3"/>
  <c r="O8" i="3"/>
  <c r="P8" i="3"/>
  <c r="Q8" i="3"/>
  <c r="L9" i="3"/>
  <c r="M9" i="3"/>
  <c r="N9" i="3"/>
  <c r="O9" i="3"/>
  <c r="P9" i="3"/>
  <c r="Q9" i="3"/>
  <c r="L10" i="3"/>
  <c r="M10" i="3"/>
  <c r="N10" i="3"/>
  <c r="O10" i="3"/>
  <c r="P10" i="3"/>
  <c r="Q10" i="3"/>
  <c r="L11" i="3"/>
  <c r="M11" i="3"/>
  <c r="N11" i="3"/>
  <c r="O11" i="3"/>
  <c r="P11" i="3"/>
  <c r="Q11" i="3"/>
  <c r="L12" i="3"/>
  <c r="M12" i="3"/>
  <c r="N12" i="3"/>
  <c r="O12" i="3"/>
  <c r="P12" i="3"/>
  <c r="Q12" i="3"/>
  <c r="L13" i="3"/>
  <c r="M13" i="3"/>
  <c r="N13" i="3"/>
  <c r="O13" i="3"/>
  <c r="P13" i="3"/>
  <c r="Q13" i="3"/>
  <c r="L14" i="3"/>
  <c r="M14" i="3"/>
  <c r="N14" i="3"/>
  <c r="O14" i="3"/>
  <c r="P14" i="3"/>
  <c r="Q14" i="3"/>
  <c r="L15" i="3"/>
  <c r="M15" i="3"/>
  <c r="N15" i="3"/>
  <c r="O15" i="3"/>
  <c r="P15" i="3"/>
  <c r="Q15" i="3"/>
  <c r="L16" i="3"/>
  <c r="M16" i="3"/>
  <c r="N16" i="3"/>
  <c r="O16" i="3"/>
  <c r="P16" i="3"/>
  <c r="Q16" i="3"/>
  <c r="L17" i="3"/>
  <c r="M17" i="3"/>
  <c r="N17" i="3"/>
  <c r="O17" i="3"/>
  <c r="P17" i="3"/>
  <c r="Q17" i="3"/>
  <c r="L18" i="3"/>
  <c r="M18" i="3"/>
  <c r="N18" i="3"/>
  <c r="O18" i="3"/>
  <c r="P18" i="3"/>
  <c r="Q18" i="3"/>
  <c r="L19" i="3"/>
  <c r="M19" i="3"/>
  <c r="N19" i="3"/>
  <c r="O19" i="3"/>
  <c r="P19" i="3"/>
  <c r="Q19" i="3"/>
  <c r="L20" i="3"/>
  <c r="M20" i="3"/>
  <c r="N20" i="3"/>
  <c r="O20" i="3"/>
  <c r="P20" i="3"/>
  <c r="Q20" i="3"/>
  <c r="L21" i="3"/>
  <c r="M21" i="3"/>
  <c r="N21" i="3"/>
  <c r="O21" i="3"/>
  <c r="P21" i="3"/>
  <c r="Q21" i="3"/>
  <c r="L22" i="3"/>
  <c r="M22" i="3"/>
  <c r="N22" i="3"/>
  <c r="O22" i="3"/>
  <c r="P22" i="3"/>
  <c r="Q22" i="3"/>
  <c r="L23" i="3"/>
  <c r="M23" i="3"/>
  <c r="N23" i="3"/>
  <c r="O23" i="3"/>
  <c r="P23" i="3"/>
  <c r="Q23" i="3"/>
  <c r="L24" i="3"/>
  <c r="M24" i="3"/>
  <c r="N24" i="3"/>
  <c r="O24" i="3"/>
  <c r="P24" i="3"/>
  <c r="Q24" i="3"/>
  <c r="L25" i="3"/>
  <c r="M25" i="3"/>
  <c r="N25" i="3"/>
  <c r="O25" i="3"/>
  <c r="P25" i="3"/>
  <c r="Q25" i="3"/>
  <c r="L26" i="3"/>
  <c r="M26" i="3"/>
  <c r="N26" i="3"/>
  <c r="O26" i="3"/>
  <c r="P26" i="3"/>
  <c r="Q26" i="3"/>
  <c r="L27" i="3"/>
  <c r="M27" i="3"/>
  <c r="N27" i="3"/>
  <c r="O27" i="3"/>
  <c r="P27" i="3"/>
  <c r="Q27" i="3"/>
  <c r="L28" i="3"/>
  <c r="M28" i="3"/>
  <c r="N28" i="3"/>
  <c r="O28" i="3"/>
  <c r="P28" i="3"/>
  <c r="Q28" i="3"/>
  <c r="L29" i="3"/>
  <c r="M29" i="3"/>
  <c r="N29" i="3"/>
  <c r="O29" i="3"/>
  <c r="P29" i="3"/>
  <c r="Q29" i="3"/>
  <c r="L30" i="3"/>
  <c r="M30" i="3"/>
  <c r="N30" i="3"/>
  <c r="O30" i="3"/>
  <c r="P30" i="3"/>
  <c r="Q30" i="3"/>
  <c r="L31" i="3"/>
  <c r="M31" i="3"/>
  <c r="N31" i="3"/>
  <c r="O31" i="3"/>
  <c r="P31" i="3"/>
  <c r="Q31" i="3"/>
  <c r="L32" i="3"/>
  <c r="M32" i="3"/>
  <c r="N32" i="3"/>
  <c r="O32" i="3"/>
  <c r="P32" i="3"/>
  <c r="Q32" i="3"/>
  <c r="L33" i="3"/>
  <c r="M33" i="3"/>
  <c r="N33" i="3"/>
  <c r="O33" i="3"/>
  <c r="P33" i="3"/>
  <c r="Q33" i="3"/>
  <c r="L34" i="3"/>
  <c r="M34" i="3"/>
  <c r="N34" i="3"/>
  <c r="O34" i="3"/>
  <c r="P34" i="3"/>
  <c r="Q34" i="3"/>
  <c r="Q5" i="3"/>
  <c r="P5" i="3"/>
  <c r="O5" i="3"/>
  <c r="N5" i="3"/>
  <c r="M5" i="3"/>
  <c r="L5" i="3"/>
  <c r="C21" i="3" l="1"/>
  <c r="E21" i="3"/>
  <c r="I21" i="3"/>
  <c r="C22" i="3"/>
  <c r="E22" i="3"/>
  <c r="I22" i="3"/>
  <c r="C23" i="3"/>
  <c r="E23" i="3"/>
  <c r="I23" i="3"/>
  <c r="C24" i="3"/>
  <c r="E24" i="3"/>
  <c r="I24" i="3"/>
  <c r="C25" i="3"/>
  <c r="E25" i="3"/>
  <c r="I25" i="3"/>
  <c r="C26" i="3"/>
  <c r="E26" i="3"/>
  <c r="I26" i="3"/>
  <c r="C27" i="3"/>
  <c r="E27" i="3"/>
  <c r="I27" i="3"/>
  <c r="C28" i="3"/>
  <c r="E28" i="3"/>
  <c r="I28" i="3"/>
  <c r="C29" i="3"/>
  <c r="E29" i="3"/>
  <c r="I29" i="3"/>
  <c r="C30" i="3"/>
  <c r="E30" i="3"/>
  <c r="I30" i="3"/>
  <c r="C31" i="3"/>
  <c r="E31" i="3"/>
  <c r="I31" i="3"/>
  <c r="C32" i="3"/>
  <c r="E32" i="3"/>
  <c r="I32" i="3"/>
  <c r="C33" i="3"/>
  <c r="E33" i="3"/>
  <c r="I33" i="3"/>
  <c r="C34" i="3"/>
  <c r="E34" i="3"/>
  <c r="I34" i="3"/>
  <c r="C19" i="3"/>
  <c r="E19" i="3"/>
  <c r="I19" i="3"/>
  <c r="C20" i="3"/>
  <c r="E20" i="3"/>
  <c r="I20" i="3"/>
  <c r="C6" i="3"/>
  <c r="E6" i="3"/>
  <c r="I6" i="3"/>
  <c r="C7" i="3"/>
  <c r="E7" i="3"/>
  <c r="I7" i="3"/>
  <c r="C8" i="3"/>
  <c r="E8" i="3"/>
  <c r="I8" i="3"/>
  <c r="C9" i="3"/>
  <c r="E9" i="3"/>
  <c r="I9" i="3"/>
  <c r="C10" i="3"/>
  <c r="E10" i="3"/>
  <c r="I10" i="3"/>
  <c r="C11" i="3"/>
  <c r="E11" i="3"/>
  <c r="I11" i="3"/>
  <c r="C12" i="3"/>
  <c r="E12" i="3"/>
  <c r="I12" i="3"/>
  <c r="C13" i="3"/>
  <c r="E13" i="3"/>
  <c r="I13" i="3"/>
  <c r="C14" i="3"/>
  <c r="E14" i="3"/>
  <c r="I14" i="3"/>
  <c r="C15" i="3"/>
  <c r="E15" i="3"/>
  <c r="I15" i="3"/>
  <c r="C16" i="3"/>
  <c r="E16" i="3"/>
  <c r="I16" i="3"/>
  <c r="C17" i="3"/>
  <c r="E17" i="3"/>
  <c r="I17" i="3"/>
  <c r="C18" i="3"/>
  <c r="E18" i="3"/>
  <c r="I18" i="3"/>
  <c r="G6" i="3" l="1"/>
  <c r="H6" i="3" s="1"/>
  <c r="G9" i="3"/>
  <c r="H9" i="3" s="1"/>
  <c r="G17" i="3"/>
  <c r="H17" i="3" s="1"/>
  <c r="G34" i="3"/>
  <c r="H34" i="3" s="1"/>
  <c r="G21" i="3"/>
  <c r="H21" i="3" s="1"/>
  <c r="G22" i="3"/>
  <c r="H22" i="3" s="1"/>
  <c r="G32" i="3"/>
  <c r="H32" i="3" s="1"/>
  <c r="G29" i="3"/>
  <c r="H29" i="3" s="1"/>
  <c r="G14" i="3"/>
  <c r="H14" i="3" s="1"/>
  <c r="G33" i="3"/>
  <c r="H33" i="3" s="1"/>
  <c r="F32" i="3"/>
  <c r="G30" i="3"/>
  <c r="H30" i="3" s="1"/>
  <c r="G28" i="3"/>
  <c r="D28" i="3" s="1"/>
  <c r="G24" i="3"/>
  <c r="D24" i="3" s="1"/>
  <c r="D32" i="3"/>
  <c r="D17" i="3"/>
  <c r="G18" i="3"/>
  <c r="H18" i="3" s="1"/>
  <c r="F17" i="3"/>
  <c r="G13" i="3"/>
  <c r="H13" i="3" s="1"/>
  <c r="G10" i="3"/>
  <c r="H10" i="3" s="1"/>
  <c r="F9" i="3"/>
  <c r="G20" i="3"/>
  <c r="H20" i="3" s="1"/>
  <c r="G15" i="3"/>
  <c r="H15" i="3" s="1"/>
  <c r="G11" i="3"/>
  <c r="H11" i="3" s="1"/>
  <c r="G7" i="3"/>
  <c r="H7" i="3" s="1"/>
  <c r="G26" i="3"/>
  <c r="H26" i="3" s="1"/>
  <c r="G25" i="3"/>
  <c r="H25" i="3" s="1"/>
  <c r="D6" i="3"/>
  <c r="G16" i="3"/>
  <c r="H16" i="3" s="1"/>
  <c r="G12" i="3"/>
  <c r="H12" i="3" s="1"/>
  <c r="G8" i="3"/>
  <c r="H8" i="3" s="1"/>
  <c r="F6" i="3"/>
  <c r="G19" i="3"/>
  <c r="H19" i="3" s="1"/>
  <c r="F33" i="3"/>
  <c r="G31" i="3"/>
  <c r="H31" i="3" s="1"/>
  <c r="G27" i="3"/>
  <c r="H27" i="3" s="1"/>
  <c r="G23" i="3"/>
  <c r="H23" i="3" s="1"/>
  <c r="B17" i="6"/>
  <c r="B18" i="6"/>
  <c r="B19" i="6"/>
  <c r="B20" i="6"/>
  <c r="C21" i="6"/>
  <c r="C20" i="6"/>
  <c r="C19" i="6"/>
  <c r="C18" i="6"/>
  <c r="C17" i="6"/>
  <c r="C16" i="6"/>
  <c r="A17" i="6"/>
  <c r="A18" i="6"/>
  <c r="A19" i="6"/>
  <c r="A20" i="6"/>
  <c r="B16" i="6"/>
  <c r="A16" i="6"/>
  <c r="H24" i="3" l="1"/>
  <c r="D34" i="3"/>
  <c r="F24" i="3"/>
  <c r="F22" i="3"/>
  <c r="D33" i="3"/>
  <c r="D22" i="3"/>
  <c r="D9" i="3"/>
  <c r="D29" i="3"/>
  <c r="F29" i="3"/>
  <c r="F34" i="3"/>
  <c r="F30" i="3"/>
  <c r="F21" i="3"/>
  <c r="F14" i="3"/>
  <c r="F28" i="3"/>
  <c r="F10" i="3"/>
  <c r="D21" i="3"/>
  <c r="H28" i="3"/>
  <c r="D14" i="3"/>
  <c r="D10" i="3"/>
  <c r="F18" i="3"/>
  <c r="D30" i="3"/>
  <c r="D27" i="3"/>
  <c r="D12" i="3"/>
  <c r="D25" i="3"/>
  <c r="D18" i="3"/>
  <c r="F26" i="3"/>
  <c r="D15" i="3"/>
  <c r="D20" i="3"/>
  <c r="D13" i="3"/>
  <c r="F20" i="3"/>
  <c r="F13" i="3"/>
  <c r="F15" i="3"/>
  <c r="F25" i="3"/>
  <c r="F7" i="3"/>
  <c r="D19" i="3"/>
  <c r="D7" i="3"/>
  <c r="D11" i="3"/>
  <c r="D26" i="3"/>
  <c r="F11" i="3"/>
  <c r="D23" i="3"/>
  <c r="D31" i="3"/>
  <c r="D8" i="3"/>
  <c r="D16" i="3"/>
  <c r="F19" i="3"/>
  <c r="F8" i="3"/>
  <c r="F12" i="3"/>
  <c r="F16" i="3"/>
  <c r="F23" i="3"/>
  <c r="F27" i="3"/>
  <c r="F31" i="3"/>
  <c r="C22" i="6"/>
  <c r="C23" i="6" s="1"/>
  <c r="I5" i="3"/>
  <c r="I35" i="3" s="1"/>
  <c r="E5" i="3" l="1"/>
  <c r="E35" i="3" s="1"/>
  <c r="C5" i="3"/>
  <c r="C35" i="3" s="1"/>
  <c r="G5" i="3" l="1"/>
  <c r="F5" i="3" l="1"/>
  <c r="H5" i="3" l="1"/>
  <c r="G35" i="3"/>
  <c r="D5" i="3"/>
  <c r="D35" i="3" l="1"/>
  <c r="F35" i="3"/>
  <c r="H35"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SA_Life_premiums_CSV_file_for_acc_note" type="6" refreshedVersion="6" deleted="1" background="1" saveData="1">
    <textPr prompt="0" codePage="850" sourceFile="R:\St-Team\Statistics_Production\Solo Annual\SAS Reports\SA_Life_premiums_CSV_file_for_acc_note.csv" tab="0" comma="1">
      <textFields count="7">
        <textField/>
        <textField/>
        <textField/>
        <textField/>
        <textField/>
        <textField/>
        <textField/>
      </textFields>
    </textPr>
  </connection>
</connections>
</file>

<file path=xl/sharedStrings.xml><?xml version="1.0" encoding="utf-8"?>
<sst xmlns="http://schemas.openxmlformats.org/spreadsheetml/2006/main" count="496" uniqueCount="177">
  <si>
    <t>R0080</t>
  </si>
  <si>
    <t>R0090</t>
  </si>
  <si>
    <t>R0100</t>
  </si>
  <si>
    <t>R0140</t>
  </si>
  <si>
    <t>R0150</t>
  </si>
  <si>
    <t>R0160</t>
  </si>
  <si>
    <t>R0170</t>
  </si>
  <si>
    <t>R0180</t>
  </si>
  <si>
    <t>R0190</t>
  </si>
  <si>
    <t>R0200</t>
  </si>
  <si>
    <t>Property (other than for own use)</t>
  </si>
  <si>
    <t>Holdings in related undertakings, including participations</t>
  </si>
  <si>
    <t>Equities</t>
  </si>
  <si>
    <t>Government Bonds</t>
  </si>
  <si>
    <t>Corporate Bonds</t>
  </si>
  <si>
    <t>Structured notes</t>
  </si>
  <si>
    <t>Collateralised securities</t>
  </si>
  <si>
    <t>Collective Investments Undertakings</t>
  </si>
  <si>
    <t>Derivatives</t>
  </si>
  <si>
    <t>Deposits other than cash equivalents</t>
  </si>
  <si>
    <t>AUSTRIA</t>
  </si>
  <si>
    <t>BELGIUM</t>
  </si>
  <si>
    <t>BULGARIA</t>
  </si>
  <si>
    <t>CROATIA</t>
  </si>
  <si>
    <t>CYPRUS</t>
  </si>
  <si>
    <t>CZECH REPUBLIC</t>
  </si>
  <si>
    <t>DENMARK</t>
  </si>
  <si>
    <t>ESTONIA</t>
  </si>
  <si>
    <t>FINLAND</t>
  </si>
  <si>
    <t>FRANCE</t>
  </si>
  <si>
    <t>GERMANY</t>
  </si>
  <si>
    <t>GREECE</t>
  </si>
  <si>
    <t>HUNGARY</t>
  </si>
  <si>
    <t>IRELAND</t>
  </si>
  <si>
    <t>ITALY</t>
  </si>
  <si>
    <t>LATVIA</t>
  </si>
  <si>
    <t>LIECHTENSTEIN</t>
  </si>
  <si>
    <t>LITHUANIA</t>
  </si>
  <si>
    <t>LUXEMBOURG</t>
  </si>
  <si>
    <t>MALTA</t>
  </si>
  <si>
    <t>NETHERLANDS</t>
  </si>
  <si>
    <t>NORWAY</t>
  </si>
  <si>
    <t>POLAND</t>
  </si>
  <si>
    <t>PORTUGAL</t>
  </si>
  <si>
    <t>ROMANIA</t>
  </si>
  <si>
    <t>SLOVAKIA</t>
  </si>
  <si>
    <t>SLOVENIA</t>
  </si>
  <si>
    <t>SPAIN</t>
  </si>
  <si>
    <t>SWEDEN</t>
  </si>
  <si>
    <t>UNITED KINGDOM</t>
  </si>
  <si>
    <t>Total (ALL)</t>
  </si>
  <si>
    <t>R0070</t>
  </si>
  <si>
    <t>R0220</t>
  </si>
  <si>
    <t>R0500</t>
  </si>
  <si>
    <t>Investments (other than assets held for index-linked and unit-linked contracts)</t>
  </si>
  <si>
    <t>Assets held for index-linked and unit-linked contracts</t>
  </si>
  <si>
    <t>Total assets</t>
  </si>
  <si>
    <t>Other assets</t>
  </si>
  <si>
    <t>Eur mn.</t>
  </si>
  <si>
    <t>%</t>
  </si>
  <si>
    <t>R0520</t>
  </si>
  <si>
    <t>Technical provisions – non-life (excluding health)</t>
  </si>
  <si>
    <t>R0560</t>
  </si>
  <si>
    <t>Technical provisions - health (similar to non-life)</t>
  </si>
  <si>
    <t>R0610</t>
  </si>
  <si>
    <t>Technical provisions - health (similar to life)</t>
  </si>
  <si>
    <t>R0650</t>
  </si>
  <si>
    <t>Technical provisions – life (excluding health and index-linked and unit-linked)</t>
  </si>
  <si>
    <t>R0690</t>
  </si>
  <si>
    <t>Technical provisions – index-linked and unit-linked</t>
  </si>
  <si>
    <t>R0900</t>
  </si>
  <si>
    <t>Total liabilities</t>
  </si>
  <si>
    <t>Calculated</t>
  </si>
  <si>
    <t>Other liabilities</t>
  </si>
  <si>
    <t xml:space="preserve">Calculated </t>
  </si>
  <si>
    <t>Sum (equals total liabilities)</t>
  </si>
  <si>
    <t>Non-Life</t>
  </si>
  <si>
    <t>Gross - Direct Business</t>
  </si>
  <si>
    <t>Ratio of Eligible own funds to MCR</t>
  </si>
  <si>
    <t>Ratio of Eligible own funds to MCR (P10)</t>
  </si>
  <si>
    <t>Ratio of Eligible own funds to MCR (P25)</t>
  </si>
  <si>
    <t>Ratio of Eligible own funds to MCR (P50)</t>
  </si>
  <si>
    <t>Ratio of Eligible own funds to MCR (P75)</t>
  </si>
  <si>
    <t>Ratio of Eligible own funds to MCR (P90)</t>
  </si>
  <si>
    <t>Ratio of Eligible own funds to SCR</t>
  </si>
  <si>
    <t>Ratio of Eligible own funds to SCR (P10)</t>
  </si>
  <si>
    <t>Ratio of Eligible own funds to SCR (P25)</t>
  </si>
  <si>
    <t>Ratio of Eligible own funds to SCR (P50)</t>
  </si>
  <si>
    <t>Ratio of Eligible own funds to SCR (P75)</t>
  </si>
  <si>
    <t>Ratio of Eligible own funds to SCR (P90)</t>
  </si>
  <si>
    <t xml:space="preserve">10th </t>
  </si>
  <si>
    <t>25th</t>
  </si>
  <si>
    <t>50th</t>
  </si>
  <si>
    <t>75th</t>
  </si>
  <si>
    <t>90th</t>
  </si>
  <si>
    <t>Weighted average</t>
  </si>
  <si>
    <t>Percentiles</t>
  </si>
  <si>
    <t>SCR Ratio</t>
  </si>
  <si>
    <t>MCR Ratio</t>
  </si>
  <si>
    <t>For chart:</t>
  </si>
  <si>
    <t>R0620</t>
  </si>
  <si>
    <t>R0620_P10</t>
  </si>
  <si>
    <t>R0620_P25</t>
  </si>
  <si>
    <t>R0620_P50</t>
  </si>
  <si>
    <t>R0620_P75</t>
  </si>
  <si>
    <t>R0620_P90</t>
  </si>
  <si>
    <t>R0640</t>
  </si>
  <si>
    <t>R0640_P10</t>
  </si>
  <si>
    <t>R0640_P25</t>
  </si>
  <si>
    <t>R0640_P50</t>
  </si>
  <si>
    <t>R0640_P75</t>
  </si>
  <si>
    <t>R0640_P90</t>
  </si>
  <si>
    <t>Table 1</t>
  </si>
  <si>
    <t>Table 2</t>
  </si>
  <si>
    <t>Figure 2</t>
  </si>
  <si>
    <t>Figure 1</t>
  </si>
  <si>
    <t>Figure 3</t>
  </si>
  <si>
    <t>TOTAL</t>
  </si>
  <si>
    <t>Investments [From S.02.01/Annual/Solo/EUR million]</t>
  </si>
  <si>
    <t>Assets [From S.02.01/Annual/Solo/EUR million]</t>
  </si>
  <si>
    <t>Liabilities [From S.02.01/Annual/Solo/EUR million]</t>
  </si>
  <si>
    <t>R0730</t>
  </si>
  <si>
    <t>Other technical provisions</t>
  </si>
  <si>
    <t>Gross written premiums [From S.05.01/Annual/Solo/EUR million]</t>
  </si>
  <si>
    <t>AT</t>
  </si>
  <si>
    <t>BE</t>
  </si>
  <si>
    <t>BG</t>
  </si>
  <si>
    <t>HR</t>
  </si>
  <si>
    <t>CY</t>
  </si>
  <si>
    <t>CZ</t>
  </si>
  <si>
    <t>DK</t>
  </si>
  <si>
    <t>EE</t>
  </si>
  <si>
    <t>FI</t>
  </si>
  <si>
    <t>FR</t>
  </si>
  <si>
    <t>DE</t>
  </si>
  <si>
    <t>GR</t>
  </si>
  <si>
    <t>HU</t>
  </si>
  <si>
    <t>IE</t>
  </si>
  <si>
    <t>IT</t>
  </si>
  <si>
    <t>LT</t>
  </si>
  <si>
    <t>LI</t>
  </si>
  <si>
    <t>LV</t>
  </si>
  <si>
    <t>ES</t>
  </si>
  <si>
    <t>GB</t>
  </si>
  <si>
    <t>IS</t>
  </si>
  <si>
    <t>ICELAND</t>
  </si>
  <si>
    <t>LU</t>
  </si>
  <si>
    <t>MT</t>
  </si>
  <si>
    <t>NL</t>
  </si>
  <si>
    <t>NO</t>
  </si>
  <si>
    <t>PL</t>
  </si>
  <si>
    <t>PT</t>
  </si>
  <si>
    <t>RO</t>
  </si>
  <si>
    <t>SE</t>
  </si>
  <si>
    <t>SI</t>
  </si>
  <si>
    <t>SK</t>
  </si>
  <si>
    <t>COUNTRY ISO CODES</t>
  </si>
  <si>
    <t>REF</t>
  </si>
  <si>
    <t>Reporting country</t>
  </si>
  <si>
    <t>Reference period</t>
  </si>
  <si>
    <t>Item</t>
  </si>
  <si>
    <t>Business type</t>
  </si>
  <si>
    <t>Item code</t>
  </si>
  <si>
    <t>Value</t>
  </si>
  <si>
    <t>Gross</t>
  </si>
  <si>
    <t>Life</t>
  </si>
  <si>
    <t>R1410</t>
  </si>
  <si>
    <t>NON LIFE</t>
  </si>
  <si>
    <t>FIG GWP LIFE</t>
  </si>
  <si>
    <t>Date of extraction (yyyymmdd)</t>
  </si>
  <si>
    <t>Y2024</t>
  </si>
  <si>
    <t>CZECHIA</t>
  </si>
  <si>
    <t>Note: Exchange rate conversions to EUR using ECB exchange rates as of reference date. Sample includes insurers with financial year end within the calendar year 2016. Data covers the EU plus Norway and Liechtenstein. Data extracted on July 23, 2025</t>
  </si>
  <si>
    <t>Note: Exchange rate conversions to EUR using ECB exchange rates as of reference date. Sample includes insurers with financial year end within the calendar year 2016. Data extracted on July 23, 2025</t>
  </si>
  <si>
    <t>Item name</t>
  </si>
  <si>
    <t>EEA</t>
  </si>
  <si>
    <t>Note: Exchange rate conversions to EUR using ECB exchange rates as of reference date. Sample includes insurers with financial year end within the calendar year 2016. Data covers the EU plus Norway and Liechtenstein. Data extracted on  July 23, 2025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</si>
</sst>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_-* #,##0.00_-;\-* #,##0.00_-;_-* 0_-;_-@_-"/>
    <numFmt numFmtId="165" formatCode="0.0%"/>
  </numFmts>
  <fonts count="8" x14ac:knownFonts="1">
    <font>
      <sz val="11"/>
      <color theme="1"/>
      <name val="Calibri"/>
      <family val="2"/>
      <scheme val="minor"/>
    </font>
    <font>
      <sz val="10"/>
      <color theme="1"/>
      <name val="Calibri"/>
      <family val="2"/>
      <scheme val="minor"/>
    </font>
    <font>
      <b/>
      <sz val="11"/>
      <color theme="1"/>
      <name val="Calibri"/>
      <family val="2"/>
      <scheme val="minor"/>
    </font>
    <font>
      <sz val="11"/>
      <color theme="1"/>
      <name val="Calibri"/>
      <family val="2"/>
      <scheme val="minor"/>
    </font>
    <font>
      <b/>
      <sz val="10"/>
      <color theme="1"/>
      <name val="Calibri"/>
      <family val="2"/>
      <scheme val="minor"/>
    </font>
    <font>
      <b/>
      <sz val="10"/>
      <color theme="0" tint="-0.499984740745262"/>
      <name val="Calibri"/>
      <family val="2"/>
      <scheme val="minor"/>
    </font>
    <font>
      <sz val="10"/>
      <name val="Calibri"/>
      <family val="2"/>
      <scheme val="minor"/>
    </font>
    <font>
      <b/>
      <sz val="10"/>
      <name val="Calibri"/>
      <family val="2"/>
      <scheme val="minor"/>
    </font>
  </fonts>
  <fills count="2">
    <fill>
      <patternFill patternType="none"/>
    </fill>
    <fill>
      <patternFill patternType="gray125"/>
    </fill>
  </fills>
  <borders count="33">
    <border>
      <left/>
      <right/>
      <top/>
      <bottom/>
      <diagonal/>
    </border>
    <border>
      <left style="thin">
        <color indexed="64"/>
      </left>
      <right/>
      <top/>
      <bottom/>
      <diagonal/>
    </border>
    <border>
      <left/>
      <right/>
      <top/>
      <bottom style="thin">
        <color indexed="64"/>
      </bottom>
      <diagonal/>
    </border>
    <border>
      <left/>
      <right style="thin">
        <color indexed="64"/>
      </right>
      <top/>
      <bottom/>
      <diagonal/>
    </border>
    <border>
      <left/>
      <right style="thin">
        <color indexed="64"/>
      </right>
      <top/>
      <bottom style="thin">
        <color indexed="64"/>
      </bottom>
      <diagonal/>
    </border>
    <border>
      <left/>
      <right/>
      <top style="thin">
        <color indexed="64"/>
      </top>
      <bottom style="double">
        <color indexed="64"/>
      </bottom>
      <diagonal/>
    </border>
    <border>
      <left style="thin">
        <color indexed="64"/>
      </left>
      <right/>
      <top/>
      <bottom style="thin">
        <color indexed="64"/>
      </bottom>
      <diagonal/>
    </border>
    <border>
      <left style="thin">
        <color indexed="64"/>
      </left>
      <right/>
      <top style="thin">
        <color indexed="64"/>
      </top>
      <bottom style="double">
        <color indexed="64"/>
      </bottom>
      <diagonal/>
    </border>
    <border>
      <left style="thin">
        <color indexed="64"/>
      </left>
      <right style="thin">
        <color indexed="64"/>
      </right>
      <top style="thin">
        <color auto="1"/>
      </top>
      <bottom style="thin">
        <color auto="1"/>
      </bottom>
      <diagonal/>
    </border>
    <border>
      <left style="thin">
        <color indexed="64"/>
      </left>
      <right style="thin">
        <color indexed="64"/>
      </right>
      <top/>
      <bottom style="thin">
        <color auto="1"/>
      </bottom>
      <diagonal/>
    </border>
    <border>
      <left style="thin">
        <color indexed="64"/>
      </left>
      <right/>
      <top style="thin">
        <color rgb="FF000000"/>
      </top>
      <bottom style="thin">
        <color auto="1"/>
      </bottom>
      <diagonal/>
    </border>
    <border>
      <left style="thin">
        <color indexed="64"/>
      </left>
      <right/>
      <top style="thin">
        <color auto="1"/>
      </top>
      <bottom style="thin">
        <color auto="1"/>
      </bottom>
      <diagonal/>
    </border>
    <border>
      <left style="thin">
        <color indexed="64"/>
      </left>
      <right style="thin">
        <color rgb="FF000000"/>
      </right>
      <top/>
      <bottom style="thin">
        <color indexed="64"/>
      </bottom>
      <diagonal/>
    </border>
    <border>
      <left/>
      <right style="thin">
        <color indexed="64"/>
      </right>
      <top style="thin">
        <color rgb="FF000000"/>
      </top>
      <bottom style="thin">
        <color auto="1"/>
      </bottom>
      <diagonal/>
    </border>
    <border>
      <left style="thin">
        <color rgb="FF000000"/>
      </left>
      <right style="thin">
        <color indexed="64"/>
      </right>
      <top/>
      <bottom style="thin">
        <color indexed="64"/>
      </bottom>
      <diagonal/>
    </border>
    <border>
      <left/>
      <right/>
      <top style="thin">
        <color rgb="FF000000"/>
      </top>
      <bottom/>
      <diagonal/>
    </border>
    <border>
      <left style="thin">
        <color rgb="FF000000"/>
      </left>
      <right/>
      <top style="thin">
        <color rgb="FF000000"/>
      </top>
      <bottom/>
      <diagonal/>
    </border>
    <border>
      <left style="thin">
        <color rgb="FF000000"/>
      </left>
      <right/>
      <top/>
      <bottom/>
      <diagonal/>
    </border>
    <border>
      <left style="thin">
        <color rgb="FF000000"/>
      </left>
      <right/>
      <top/>
      <bottom style="thin">
        <color indexed="64"/>
      </bottom>
      <diagonal/>
    </border>
    <border>
      <left style="thin">
        <color rgb="FF000000"/>
      </left>
      <right style="thin">
        <color indexed="64"/>
      </right>
      <top style="thin">
        <color auto="1"/>
      </top>
      <bottom/>
      <diagonal/>
    </border>
    <border>
      <left style="thin">
        <color indexed="64"/>
      </left>
      <right style="thin">
        <color indexed="64"/>
      </right>
      <top style="thin">
        <color auto="1"/>
      </top>
      <bottom/>
      <diagonal/>
    </border>
    <border>
      <left style="thin">
        <color indexed="64"/>
      </left>
      <right/>
      <top style="thin">
        <color auto="1"/>
      </top>
      <bottom/>
      <diagonal/>
    </border>
    <border>
      <left style="thin">
        <color indexed="64"/>
      </left>
      <right style="thin">
        <color rgb="FF000000"/>
      </right>
      <top style="thin">
        <color auto="1"/>
      </top>
      <bottom/>
      <diagonal/>
    </border>
    <border>
      <left style="thin">
        <color rgb="FF000000"/>
      </left>
      <right style="thin">
        <color indexed="64"/>
      </right>
      <top style="thin">
        <color auto="1"/>
      </top>
      <bottom style="thin">
        <color auto="1"/>
      </bottom>
      <diagonal/>
    </border>
    <border>
      <left style="thin">
        <color rgb="FF000000"/>
      </left>
      <right style="thin">
        <color indexed="64"/>
      </right>
      <top style="thin">
        <color auto="1"/>
      </top>
      <bottom style="thin">
        <color rgb="FF000000"/>
      </bottom>
      <diagonal/>
    </border>
    <border>
      <left style="thin">
        <color indexed="64"/>
      </left>
      <right style="thin">
        <color rgb="FF000000"/>
      </right>
      <top style="thin">
        <color auto="1"/>
      </top>
      <bottom style="thin">
        <color rgb="FF000000"/>
      </bottom>
      <diagonal/>
    </border>
    <border>
      <left style="thin">
        <color indexed="64"/>
      </left>
      <right style="thin">
        <color indexed="64"/>
      </right>
      <top style="thin">
        <color auto="1"/>
      </top>
      <bottom style="thin">
        <color rgb="FF000000"/>
      </bottom>
      <diagonal/>
    </border>
    <border>
      <left style="thin">
        <color indexed="64"/>
      </left>
      <right/>
      <top style="thin">
        <color auto="1"/>
      </top>
      <bottom style="thin">
        <color rgb="FF000000"/>
      </bottom>
      <diagonal/>
    </border>
    <border>
      <left style="thin">
        <color indexed="64"/>
      </left>
      <right style="thin">
        <color indexed="64"/>
      </right>
      <top style="thin">
        <color rgb="FF000000"/>
      </top>
      <bottom style="thin">
        <color auto="1"/>
      </bottom>
      <diagonal/>
    </border>
    <border>
      <left style="thin">
        <color indexed="64"/>
      </left>
      <right style="thin">
        <color rgb="FF000000"/>
      </right>
      <top style="thin">
        <color rgb="FF000000"/>
      </top>
      <bottom style="thin">
        <color auto="1"/>
      </bottom>
      <diagonal/>
    </border>
    <border>
      <left style="thin">
        <color indexed="64"/>
      </left>
      <right style="thin">
        <color indexed="64"/>
      </right>
      <top style="thin">
        <color auto="1"/>
      </top>
      <bottom style="thin">
        <color auto="1"/>
      </bottom>
      <diagonal/>
    </border>
    <border>
      <left style="thin">
        <color indexed="64"/>
      </left>
      <right style="thin">
        <color rgb="FF000000"/>
      </right>
      <top style="thin">
        <color auto="1"/>
      </top>
      <bottom style="thin">
        <color auto="1"/>
      </bottom>
      <diagonal/>
    </border>
    <border>
      <left style="thin">
        <color rgb="FF000000"/>
      </left>
      <right style="thin">
        <color indexed="64"/>
      </right>
      <top style="thin">
        <color rgb="FF000000"/>
      </top>
      <bottom style="thin">
        <color auto="1"/>
      </bottom>
      <diagonal/>
    </border>
  </borders>
  <cellStyleXfs count="3">
    <xf numFmtId="0" fontId="0" fillId="0" borderId="0"/>
    <xf numFmtId="9" fontId="3" fillId="0" borderId="0" applyFont="0" applyFill="0" applyBorder="0" applyAlignment="0" applyProtection="0"/>
    <xf numFmtId="43" fontId="3" fillId="0" borderId="0" applyFont="0" applyFill="0" applyBorder="0" applyAlignment="0" applyProtection="0"/>
  </cellStyleXfs>
  <cellXfs count="79">
    <xf numFmtId="0" fontId="0" fillId="0" borderId="0" xfId="0"/>
    <xf numFmtId="0" fontId="1" fillId="0" borderId="0" xfId="0" applyFont="1"/>
    <xf numFmtId="0" fontId="2" fillId="0" borderId="0" xfId="0" applyFont="1"/>
    <xf numFmtId="49" fontId="4" fillId="0" borderId="0" xfId="0" applyNumberFormat="1" applyFont="1" applyAlignment="1">
      <alignment horizontal="left" vertical="top"/>
    </xf>
    <xf numFmtId="49" fontId="1" fillId="0" borderId="2" xfId="0" applyNumberFormat="1" applyFont="1" applyBorder="1" applyAlignment="1">
      <alignment horizontal="center" vertical="center" wrapText="1"/>
    </xf>
    <xf numFmtId="164" fontId="1" fillId="0" borderId="0" xfId="0" applyNumberFormat="1" applyFont="1"/>
    <xf numFmtId="165" fontId="1" fillId="0" borderId="0" xfId="1" applyNumberFormat="1" applyFont="1" applyBorder="1"/>
    <xf numFmtId="0" fontId="4" fillId="0" borderId="5" xfId="0" applyFont="1" applyBorder="1"/>
    <xf numFmtId="164" fontId="1" fillId="0" borderId="5" xfId="0" applyNumberFormat="1" applyFont="1" applyBorder="1"/>
    <xf numFmtId="165" fontId="1" fillId="0" borderId="5" xfId="1" applyNumberFormat="1" applyFont="1" applyBorder="1"/>
    <xf numFmtId="0" fontId="6" fillId="0" borderId="0" xfId="0" applyFont="1"/>
    <xf numFmtId="49" fontId="5" fillId="0" borderId="2" xfId="0" applyNumberFormat="1" applyFont="1" applyBorder="1" applyAlignment="1">
      <alignment horizontal="center" vertical="center" wrapText="1"/>
    </xf>
    <xf numFmtId="49" fontId="7" fillId="0" borderId="0" xfId="0" applyNumberFormat="1" applyFont="1" applyAlignment="1">
      <alignment horizontal="left" vertical="top"/>
    </xf>
    <xf numFmtId="9" fontId="1" fillId="0" borderId="0" xfId="1" applyFont="1" applyFill="1" applyBorder="1"/>
    <xf numFmtId="49" fontId="5" fillId="0" borderId="4" xfId="0" applyNumberFormat="1" applyFont="1" applyBorder="1" applyAlignment="1">
      <alignment horizontal="center" vertical="center" wrapText="1"/>
    </xf>
    <xf numFmtId="0" fontId="1" fillId="0" borderId="1" xfId="0" applyFont="1" applyBorder="1"/>
    <xf numFmtId="49" fontId="1" fillId="0" borderId="6" xfId="0" applyNumberFormat="1" applyFont="1" applyBorder="1" applyAlignment="1">
      <alignment horizontal="center" vertical="center" wrapText="1"/>
    </xf>
    <xf numFmtId="9" fontId="1" fillId="0" borderId="1" xfId="1" applyFont="1" applyFill="1" applyBorder="1"/>
    <xf numFmtId="9" fontId="1" fillId="0" borderId="5" xfId="1" applyFont="1" applyFill="1" applyBorder="1"/>
    <xf numFmtId="9" fontId="1" fillId="0" borderId="7" xfId="1" applyFont="1" applyFill="1" applyBorder="1"/>
    <xf numFmtId="0" fontId="4" fillId="0" borderId="0" xfId="0" applyFont="1"/>
    <xf numFmtId="49" fontId="4" fillId="0" borderId="0" xfId="0" applyNumberFormat="1" applyFont="1" applyAlignment="1">
      <alignment horizontal="center" vertical="center" wrapText="1"/>
    </xf>
    <xf numFmtId="49" fontId="4" fillId="0" borderId="0" xfId="0" applyNumberFormat="1" applyFont="1" applyAlignment="1">
      <alignment vertical="center" wrapText="1"/>
    </xf>
    <xf numFmtId="49" fontId="1" fillId="0" borderId="8" xfId="0" applyNumberFormat="1" applyFont="1" applyBorder="1" applyAlignment="1">
      <alignment horizontal="center" vertical="center"/>
    </xf>
    <xf numFmtId="0" fontId="1" fillId="0" borderId="8" xfId="0" applyFont="1" applyBorder="1" applyAlignment="1">
      <alignment horizontal="right"/>
    </xf>
    <xf numFmtId="49" fontId="1" fillId="0" borderId="8" xfId="0" applyNumberFormat="1" applyFont="1" applyBorder="1" applyAlignment="1">
      <alignment horizontal="left" vertical="center"/>
    </xf>
    <xf numFmtId="49" fontId="1" fillId="0" borderId="0" xfId="0" applyNumberFormat="1" applyFont="1"/>
    <xf numFmtId="49" fontId="0" fillId="0" borderId="0" xfId="0" applyNumberFormat="1" applyAlignment="1">
      <alignment vertical="center" wrapText="1"/>
    </xf>
    <xf numFmtId="49" fontId="0" fillId="0" borderId="8" xfId="0" applyNumberFormat="1" applyBorder="1" applyAlignment="1">
      <alignment horizontal="center" vertical="center" wrapText="1"/>
    </xf>
    <xf numFmtId="49" fontId="0" fillId="0" borderId="8" xfId="0" applyNumberFormat="1" applyBorder="1" applyAlignment="1">
      <alignment horizontal="left" vertical="top" wrapText="1"/>
    </xf>
    <xf numFmtId="49" fontId="0" fillId="0" borderId="9" xfId="0" applyNumberFormat="1" applyBorder="1" applyAlignment="1">
      <alignment horizontal="center" vertical="center"/>
    </xf>
    <xf numFmtId="49" fontId="0" fillId="0" borderId="10" xfId="0" applyNumberFormat="1" applyBorder="1" applyAlignment="1">
      <alignment horizontal="center" vertical="center"/>
    </xf>
    <xf numFmtId="49" fontId="0" fillId="0" borderId="6" xfId="0" applyNumberFormat="1" applyBorder="1" applyAlignment="1">
      <alignment horizontal="center" vertical="center"/>
    </xf>
    <xf numFmtId="49" fontId="0" fillId="0" borderId="12" xfId="0" applyNumberFormat="1" applyBorder="1" applyAlignment="1">
      <alignment horizontal="center" vertical="center"/>
    </xf>
    <xf numFmtId="0" fontId="1" fillId="0" borderId="15" xfId="0" applyFont="1" applyBorder="1"/>
    <xf numFmtId="0" fontId="1" fillId="0" borderId="2" xfId="0" applyFont="1" applyBorder="1"/>
    <xf numFmtId="0" fontId="1" fillId="0" borderId="11" xfId="0" applyFont="1" applyBorder="1" applyAlignment="1">
      <alignment horizontal="left" vertical="top"/>
    </xf>
    <xf numFmtId="0" fontId="1" fillId="0" borderId="16" xfId="0" applyFont="1" applyBorder="1"/>
    <xf numFmtId="0" fontId="1" fillId="0" borderId="17" xfId="0" applyFont="1" applyBorder="1"/>
    <xf numFmtId="0" fontId="1" fillId="0" borderId="18" xfId="0" applyFont="1" applyBorder="1"/>
    <xf numFmtId="49" fontId="1" fillId="0" borderId="19" xfId="0" applyNumberFormat="1" applyFont="1" applyBorder="1" applyAlignment="1">
      <alignment horizontal="left" vertical="top"/>
    </xf>
    <xf numFmtId="0" fontId="1" fillId="0" borderId="21" xfId="0" applyFont="1" applyBorder="1" applyAlignment="1">
      <alignment horizontal="left" vertical="top"/>
    </xf>
    <xf numFmtId="49" fontId="1" fillId="0" borderId="23" xfId="0" applyNumberFormat="1" applyFont="1" applyBorder="1" applyAlignment="1">
      <alignment horizontal="left" vertical="top"/>
    </xf>
    <xf numFmtId="49" fontId="1" fillId="0" borderId="24" xfId="0" applyNumberFormat="1" applyFont="1" applyBorder="1" applyAlignment="1">
      <alignment horizontal="left" vertical="top"/>
    </xf>
    <xf numFmtId="0" fontId="1" fillId="0" borderId="20" xfId="0" applyFont="1" applyBorder="1"/>
    <xf numFmtId="49" fontId="1" fillId="0" borderId="9" xfId="0" applyNumberFormat="1" applyFont="1" applyBorder="1"/>
    <xf numFmtId="49" fontId="0" fillId="0" borderId="26" xfId="0" applyNumberFormat="1" applyBorder="1" applyAlignment="1">
      <alignment horizontal="left" vertical="top"/>
    </xf>
    <xf numFmtId="49" fontId="1" fillId="0" borderId="29" xfId="0" applyNumberFormat="1" applyFont="1" applyBorder="1" applyAlignment="1">
      <alignment horizontal="center" vertical="center"/>
    </xf>
    <xf numFmtId="49" fontId="0" fillId="0" borderId="28" xfId="0" applyNumberFormat="1" applyBorder="1" applyAlignment="1">
      <alignment horizontal="center" vertical="center"/>
    </xf>
    <xf numFmtId="49" fontId="0" fillId="0" borderId="29" xfId="0" applyNumberFormat="1" applyBorder="1" applyAlignment="1">
      <alignment horizontal="center" vertical="center"/>
    </xf>
    <xf numFmtId="49" fontId="0" fillId="0" borderId="30" xfId="0" applyNumberFormat="1" applyBorder="1" applyAlignment="1">
      <alignment horizontal="left" vertical="top"/>
    </xf>
    <xf numFmtId="0" fontId="1" fillId="0" borderId="27" xfId="0" applyFont="1" applyBorder="1" applyAlignment="1">
      <alignment horizontal="left" vertical="top"/>
    </xf>
    <xf numFmtId="49" fontId="1" fillId="0" borderId="31" xfId="0" applyNumberFormat="1" applyFont="1" applyBorder="1" applyAlignment="1">
      <alignment horizontal="center" vertical="center"/>
    </xf>
    <xf numFmtId="10" fontId="0" fillId="0" borderId="0" xfId="1" applyNumberFormat="1" applyFont="1" applyFill="1"/>
    <xf numFmtId="0" fontId="1" fillId="0" borderId="0" xfId="0" applyFont="1" applyAlignment="1">
      <alignment wrapText="1"/>
    </xf>
    <xf numFmtId="9" fontId="1" fillId="0" borderId="21" xfId="1" applyFont="1" applyFill="1" applyBorder="1"/>
    <xf numFmtId="43" fontId="0" fillId="0" borderId="8" xfId="2" applyFont="1" applyBorder="1" applyAlignment="1">
      <alignment horizontal="right" wrapText="1"/>
    </xf>
    <xf numFmtId="43" fontId="0" fillId="0" borderId="0" xfId="2" applyFont="1"/>
    <xf numFmtId="43" fontId="0" fillId="0" borderId="26" xfId="2" applyFont="1" applyBorder="1" applyAlignment="1">
      <alignment horizontal="right"/>
    </xf>
    <xf numFmtId="43" fontId="1" fillId="0" borderId="31" xfId="2" applyFont="1" applyBorder="1" applyAlignment="1">
      <alignment horizontal="right"/>
    </xf>
    <xf numFmtId="43" fontId="1" fillId="0" borderId="22" xfId="2" applyFont="1" applyBorder="1" applyAlignment="1">
      <alignment horizontal="right"/>
    </xf>
    <xf numFmtId="43" fontId="1" fillId="0" borderId="25" xfId="2" applyFont="1" applyBorder="1" applyAlignment="1">
      <alignment horizontal="right"/>
    </xf>
    <xf numFmtId="0" fontId="5" fillId="0" borderId="0" xfId="0" applyFont="1" applyAlignment="1">
      <alignment horizontal="center"/>
    </xf>
    <xf numFmtId="0" fontId="5" fillId="0" borderId="3" xfId="0" applyFont="1" applyBorder="1" applyAlignment="1">
      <alignment horizontal="center"/>
    </xf>
    <xf numFmtId="0" fontId="4" fillId="0" borderId="2" xfId="0" applyFont="1" applyBorder="1" applyAlignment="1">
      <alignment horizontal="center"/>
    </xf>
    <xf numFmtId="0" fontId="4" fillId="0" borderId="4" xfId="0" applyFont="1" applyBorder="1" applyAlignment="1">
      <alignment horizontal="center"/>
    </xf>
    <xf numFmtId="0" fontId="4" fillId="0" borderId="6" xfId="0" applyFont="1" applyBorder="1" applyAlignment="1">
      <alignment horizontal="center"/>
    </xf>
    <xf numFmtId="49" fontId="4" fillId="0" borderId="0" xfId="0" applyNumberFormat="1" applyFont="1" applyAlignment="1">
      <alignment horizontal="center" vertical="center" wrapText="1"/>
    </xf>
    <xf numFmtId="49" fontId="0" fillId="0" borderId="0" xfId="0" applyNumberFormat="1" applyAlignment="1">
      <alignment horizontal="center" vertical="center" wrapText="1"/>
    </xf>
    <xf numFmtId="0" fontId="0" fillId="0" borderId="8" xfId="0" applyBorder="1" applyAlignment="1">
      <alignment horizontal="left" wrapText="1"/>
    </xf>
    <xf numFmtId="49" fontId="0" fillId="0" borderId="8" xfId="0" applyNumberFormat="1" applyBorder="1" applyAlignment="1">
      <alignment horizontal="left" wrapText="1"/>
    </xf>
    <xf numFmtId="0" fontId="0" fillId="0" borderId="32" xfId="0" applyBorder="1" applyAlignment="1">
      <alignment horizontal="left"/>
    </xf>
    <xf numFmtId="0" fontId="0" fillId="0" borderId="13" xfId="0" applyBorder="1" applyAlignment="1">
      <alignment horizontal="left"/>
    </xf>
    <xf numFmtId="0" fontId="0" fillId="0" borderId="14" xfId="0" applyBorder="1" applyAlignment="1">
      <alignment horizontal="left"/>
    </xf>
    <xf numFmtId="0" fontId="0" fillId="0" borderId="4" xfId="0" applyBorder="1" applyAlignment="1">
      <alignment horizontal="left"/>
    </xf>
    <xf numFmtId="49" fontId="0" fillId="0" borderId="23" xfId="0" applyNumberFormat="1" applyBorder="1" applyAlignment="1">
      <alignment horizontal="left" vertical="top"/>
    </xf>
    <xf numFmtId="49" fontId="0" fillId="0" borderId="24" xfId="0" applyNumberFormat="1" applyBorder="1" applyAlignment="1">
      <alignment horizontal="left" vertical="top"/>
    </xf>
    <xf numFmtId="0" fontId="1" fillId="0" borderId="8" xfId="0" applyFont="1" applyBorder="1" applyAlignment="1">
      <alignment horizontal="center" vertical="center"/>
    </xf>
    <xf numFmtId="49" fontId="1" fillId="0" borderId="0" xfId="0" applyNumberFormat="1" applyFont="1" applyAlignment="1">
      <alignment horizontal="center" vertical="center" wrapText="1"/>
    </xf>
  </cellXfs>
  <cellStyles count="3">
    <cellStyle name="Comma" xfId="2" builtinId="3"/>
    <cellStyle name="Normal" xfId="0" builtinId="0"/>
    <cellStyle name="Per cent" xfId="1" builtinId="5"/>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18" Type="http://schemas.openxmlformats.org/officeDocument/2006/relationships/customXml" Target="../customXml/item5.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17" Type="http://schemas.openxmlformats.org/officeDocument/2006/relationships/customXml" Target="../customXml/item4.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11"/>
    </mc:Choice>
    <mc:Fallback>
      <c:style val="11"/>
    </mc:Fallback>
  </mc:AlternateContent>
  <c:chart>
    <c:autoTitleDeleted val="1"/>
    <c:plotArea>
      <c:layout>
        <c:manualLayout>
          <c:layoutTarget val="inner"/>
          <c:xMode val="edge"/>
          <c:yMode val="edge"/>
          <c:x val="0.28457239720034994"/>
          <c:y val="0.21412452504808741"/>
          <c:w val="0.44029595909886265"/>
          <c:h val="0.70447353455818018"/>
        </c:manualLayout>
      </c:layout>
      <c:pieChart>
        <c:varyColors val="1"/>
        <c:ser>
          <c:idx val="0"/>
          <c:order val="0"/>
          <c:dLbls>
            <c:dLbl>
              <c:idx val="0"/>
              <c:layout>
                <c:manualLayout>
                  <c:x val="0.1467155595846929"/>
                  <c:y val="-8.1257378928716942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0-FAA7-4946-9B60-C4C2026D67E2}"/>
                </c:ext>
              </c:extLst>
            </c:dLbl>
            <c:dLbl>
              <c:idx val="1"/>
              <c:layout>
                <c:manualLayout>
                  <c:x val="5.3410128626430957E-2"/>
                  <c:y val="1.2189848110141467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FAA7-4946-9B60-C4C2026D67E2}"/>
                </c:ext>
              </c:extLst>
            </c:dLbl>
            <c:dLbl>
              <c:idx val="2"/>
              <c:layout>
                <c:manualLayout>
                  <c:x val="4.3137556379814576E-2"/>
                  <c:y val="2.0006632744914106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FAA7-4946-9B60-C4C2026D67E2}"/>
                </c:ext>
              </c:extLst>
            </c:dLbl>
            <c:dLbl>
              <c:idx val="3"/>
              <c:layout>
                <c:manualLayout>
                  <c:x val="3.5176266233820093E-2"/>
                  <c:y val="-5.4120734908136486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FAA7-4946-9B60-C4C2026D67E2}"/>
                </c:ext>
              </c:extLst>
            </c:dLbl>
            <c:dLbl>
              <c:idx val="4"/>
              <c:layout>
                <c:manualLayout>
                  <c:x val="-5.4626058132378724E-2"/>
                  <c:y val="-5.1156466452523759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FAA7-4946-9B60-C4C2026D67E2}"/>
                </c:ext>
              </c:extLst>
            </c:dLbl>
            <c:dLbl>
              <c:idx val="7"/>
              <c:layout>
                <c:manualLayout>
                  <c:x val="1.1754849203176347E-2"/>
                  <c:y val="-1.6131404152098315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FAA7-4946-9B60-C4C2026D67E2}"/>
                </c:ext>
              </c:extLst>
            </c:dLbl>
            <c:dLbl>
              <c:idx val="9"/>
              <c:layout>
                <c:manualLayout>
                  <c:x val="-2.4905404665652563E-3"/>
                  <c:y val="-8.1227436823104696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6-FAA7-4946-9B60-C4C2026D67E2}"/>
                </c:ext>
              </c:extLst>
            </c:dLbl>
            <c:numFmt formatCode="0.00%" sourceLinked="0"/>
            <c:spPr>
              <a:noFill/>
              <a:ln>
                <a:noFill/>
              </a:ln>
              <a:effectLst/>
            </c:spPr>
            <c:showLegendKey val="0"/>
            <c:showVal val="0"/>
            <c:showCatName val="1"/>
            <c:showSerName val="0"/>
            <c:showPercent val="1"/>
            <c:showBubbleSize val="0"/>
            <c:showLeaderLines val="1"/>
            <c:extLst>
              <c:ext xmlns:c15="http://schemas.microsoft.com/office/drawing/2012/chart" uri="{CE6537A1-D6FC-4f65-9D91-7224C49458BB}"/>
            </c:extLst>
          </c:dLbls>
          <c:cat>
            <c:strRef>
              <c:f>'Z1. Input tables (Assets)'!$C$4:$L$4</c:f>
              <c:strCache>
                <c:ptCount val="10"/>
                <c:pt idx="0">
                  <c:v>Property (other than for own use)</c:v>
                </c:pt>
                <c:pt idx="1">
                  <c:v>Holdings in related undertakings, including participations</c:v>
                </c:pt>
                <c:pt idx="2">
                  <c:v>Equities</c:v>
                </c:pt>
                <c:pt idx="3">
                  <c:v>Government Bonds</c:v>
                </c:pt>
                <c:pt idx="4">
                  <c:v>Corporate Bonds</c:v>
                </c:pt>
                <c:pt idx="5">
                  <c:v>Structured notes</c:v>
                </c:pt>
                <c:pt idx="6">
                  <c:v>Collateralised securities</c:v>
                </c:pt>
                <c:pt idx="7">
                  <c:v>Collective Investments Undertakings</c:v>
                </c:pt>
                <c:pt idx="8">
                  <c:v>Derivatives</c:v>
                </c:pt>
                <c:pt idx="9">
                  <c:v>Deposits other than cash equivalents</c:v>
                </c:pt>
              </c:strCache>
            </c:strRef>
          </c:cat>
          <c:val>
            <c:numRef>
              <c:f>'Z1. Input tables (Assets)'!$C$5:$L$5</c:f>
              <c:numCache>
                <c:formatCode>_(* #,##0.00_);_(* \(#,##0.00\);_(* "-"??_);_(@_)</c:formatCode>
                <c:ptCount val="10"/>
                <c:pt idx="0">
                  <c:v>102336.575408</c:v>
                </c:pt>
                <c:pt idx="1">
                  <c:v>1153940.7559239999</c:v>
                </c:pt>
                <c:pt idx="2">
                  <c:v>196892.85420500001</c:v>
                </c:pt>
                <c:pt idx="3">
                  <c:v>1716894.324207</c:v>
                </c:pt>
                <c:pt idx="4">
                  <c:v>1548610.924942001</c:v>
                </c:pt>
                <c:pt idx="5">
                  <c:v>104143.757352</c:v>
                </c:pt>
                <c:pt idx="6">
                  <c:v>31886.712309999999</c:v>
                </c:pt>
                <c:pt idx="7">
                  <c:v>1423870.7679399999</c:v>
                </c:pt>
                <c:pt idx="8">
                  <c:v>68060.455332999991</c:v>
                </c:pt>
                <c:pt idx="9">
                  <c:v>49612.732531999987</c:v>
                </c:pt>
              </c:numCache>
            </c:numRef>
          </c:val>
          <c:extLst>
            <c:ext xmlns:c16="http://schemas.microsoft.com/office/drawing/2014/chart" uri="{C3380CC4-5D6E-409C-BE32-E72D297353CC}">
              <c16:uniqueId val="{00000007-FAA7-4946-9B60-C4C2026D67E2}"/>
            </c:ext>
          </c:extLst>
        </c:ser>
        <c:dLbls>
          <c:showLegendKey val="0"/>
          <c:showVal val="0"/>
          <c:showCatName val="1"/>
          <c:showSerName val="0"/>
          <c:showPercent val="1"/>
          <c:showBubbleSize val="0"/>
          <c:showLeaderLines val="1"/>
        </c:dLbls>
        <c:firstSliceAng val="0"/>
      </c:pieChart>
    </c:plotArea>
    <c:plotVisOnly val="1"/>
    <c:dispBlanksAs val="gap"/>
    <c:showDLblsOverMax val="0"/>
  </c:chart>
  <c:spPr>
    <a:ln>
      <a:noFill/>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11"/>
    </mc:Choice>
    <mc:Fallback>
      <c:style val="11"/>
    </mc:Fallback>
  </mc:AlternateContent>
  <c:chart>
    <c:autoTitleDeleted val="1"/>
    <c:plotArea>
      <c:layout>
        <c:manualLayout>
          <c:layoutTarget val="inner"/>
          <c:xMode val="edge"/>
          <c:yMode val="edge"/>
          <c:x val="3.3070155947020181E-2"/>
          <c:y val="3.5951269365665575E-2"/>
          <c:w val="0.93750004827722389"/>
          <c:h val="0.92809746126866888"/>
        </c:manualLayout>
      </c:layout>
      <c:ofPieChart>
        <c:ofPieType val="pie"/>
        <c:varyColors val="1"/>
        <c:ser>
          <c:idx val="0"/>
          <c:order val="0"/>
          <c:dLbls>
            <c:dLbl>
              <c:idx val="2"/>
              <c:layout>
                <c:manualLayout>
                  <c:x val="9.7790988714973586E-3"/>
                  <c:y val="-8.8739925208463979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0-88B6-4366-B6A1-49D701A3D6E3}"/>
                </c:ext>
              </c:extLst>
            </c:dLbl>
            <c:dLbl>
              <c:idx val="3"/>
              <c:layout>
                <c:manualLayout>
                  <c:x val="-0.10675722787287462"/>
                  <c:y val="0.15014888625647457"/>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88B6-4366-B6A1-49D701A3D6E3}"/>
                </c:ext>
              </c:extLst>
            </c:dLbl>
            <c:dLbl>
              <c:idx val="6"/>
              <c:layout>
                <c:manualLayout>
                  <c:x val="-0.17577853138882116"/>
                  <c:y val="6.0483589993728655E-4"/>
                </c:manualLayout>
              </c:layout>
              <c:tx>
                <c:rich>
                  <a:bodyPr/>
                  <a:lstStyle/>
                  <a:p>
                    <a:r>
                      <a:rPr lang="en-US"/>
                      <a:t>Technical provisions
88.1%</a:t>
                    </a:r>
                  </a:p>
                </c:rich>
              </c:tx>
              <c:dLblPos val="bestFit"/>
              <c:showLegendKey val="0"/>
              <c:showVal val="0"/>
              <c:showCatName val="1"/>
              <c:showSerName val="0"/>
              <c:showPercent val="1"/>
              <c:showBubbleSize val="0"/>
              <c:extLst>
                <c:ext xmlns:c15="http://schemas.microsoft.com/office/drawing/2012/chart" uri="{CE6537A1-D6FC-4f65-9D91-7224C49458BB}">
                  <c15:showDataLabelsRange val="0"/>
                </c:ext>
                <c:ext xmlns:c16="http://schemas.microsoft.com/office/drawing/2014/chart" uri="{C3380CC4-5D6E-409C-BE32-E72D297353CC}">
                  <c16:uniqueId val="{00000002-88B6-4366-B6A1-49D701A3D6E3}"/>
                </c:ext>
              </c:extLst>
            </c:dLbl>
            <c:numFmt formatCode="0.0%" sourceLinked="0"/>
            <c:spPr>
              <a:noFill/>
              <a:ln>
                <a:noFill/>
              </a:ln>
              <a:effectLst/>
            </c:spPr>
            <c:dLblPos val="bestFit"/>
            <c:showLegendKey val="0"/>
            <c:showVal val="0"/>
            <c:showCatName val="1"/>
            <c:showSerName val="0"/>
            <c:showPercent val="1"/>
            <c:showBubbleSize val="0"/>
            <c:showLeaderLines val="1"/>
            <c:extLst>
              <c:ext xmlns:c15="http://schemas.microsoft.com/office/drawing/2012/chart" uri="{CE6537A1-D6FC-4f65-9D91-7224C49458BB}"/>
            </c:extLst>
          </c:dLbls>
          <c:cat>
            <c:strRef>
              <c:f>'Z2. Input table (Liab.)'!$B$16:$B$21</c:f>
              <c:strCache>
                <c:ptCount val="6"/>
                <c:pt idx="0">
                  <c:v>Technical provisions – non-life (excluding health)</c:v>
                </c:pt>
                <c:pt idx="1">
                  <c:v>Technical provisions - health (similar to non-life)</c:v>
                </c:pt>
                <c:pt idx="2">
                  <c:v>Technical provisions - health (similar to life)</c:v>
                </c:pt>
                <c:pt idx="3">
                  <c:v>Technical provisions – life (excluding health and index-linked and unit-linked)</c:v>
                </c:pt>
                <c:pt idx="4">
                  <c:v>Technical provisions – index-linked and unit-linked</c:v>
                </c:pt>
                <c:pt idx="5">
                  <c:v>Other liabilities</c:v>
                </c:pt>
              </c:strCache>
            </c:strRef>
          </c:cat>
          <c:val>
            <c:numRef>
              <c:f>'Z2. Input table (Liab.)'!$C$16:$C$21</c:f>
              <c:numCache>
                <c:formatCode>General</c:formatCode>
                <c:ptCount val="6"/>
                <c:pt idx="0">
                  <c:v>772885.09576199984</c:v>
                </c:pt>
                <c:pt idx="1">
                  <c:v>100237.43681299999</c:v>
                </c:pt>
                <c:pt idx="2">
                  <c:v>457897.27552000002</c:v>
                </c:pt>
                <c:pt idx="3">
                  <c:v>3796845.1484520002</c:v>
                </c:pt>
                <c:pt idx="4">
                  <c:v>2472154.5496740001</c:v>
                </c:pt>
                <c:pt idx="5">
                  <c:v>1029800.85372</c:v>
                </c:pt>
              </c:numCache>
            </c:numRef>
          </c:val>
          <c:extLst>
            <c:ext xmlns:c16="http://schemas.microsoft.com/office/drawing/2014/chart" uri="{C3380CC4-5D6E-409C-BE32-E72D297353CC}">
              <c16:uniqueId val="{00000003-88B6-4366-B6A1-49D701A3D6E3}"/>
            </c:ext>
          </c:extLst>
        </c:ser>
        <c:dLbls>
          <c:dLblPos val="bestFit"/>
          <c:showLegendKey val="0"/>
          <c:showVal val="0"/>
          <c:showCatName val="1"/>
          <c:showSerName val="0"/>
          <c:showPercent val="1"/>
          <c:showBubbleSize val="0"/>
          <c:showLeaderLines val="1"/>
        </c:dLbls>
        <c:gapWidth val="100"/>
        <c:splitType val="cust"/>
        <c:custSplit>
          <c:secondPiePt val="0"/>
          <c:secondPiePt val="1"/>
          <c:secondPiePt val="2"/>
          <c:secondPiePt val="3"/>
          <c:secondPiePt val="4"/>
        </c:custSplit>
        <c:secondPieSize val="75"/>
        <c:serLines>
          <c:spPr>
            <a:ln>
              <a:solidFill>
                <a:schemeClr val="bg1">
                  <a:lumMod val="50000"/>
                </a:schemeClr>
              </a:solidFill>
            </a:ln>
          </c:spPr>
        </c:serLines>
      </c:ofPieChart>
    </c:plotArea>
    <c:plotVisOnly val="1"/>
    <c:dispBlanksAs val="gap"/>
    <c:showDLblsOverMax val="0"/>
  </c:chart>
  <c:spPr>
    <a:ln>
      <a:noFill/>
    </a:ln>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10"/>
    </mc:Choice>
    <mc:Fallback>
      <c:style val="10"/>
    </mc:Fallback>
  </mc:AlternateContent>
  <c:chart>
    <c:autoTitleDeleted val="0"/>
    <c:plotArea>
      <c:layout>
        <c:manualLayout>
          <c:layoutTarget val="inner"/>
          <c:xMode val="edge"/>
          <c:yMode val="edge"/>
          <c:x val="0.21190542233357193"/>
          <c:y val="0.11783149929070491"/>
          <c:w val="0.73419783464566934"/>
          <c:h val="0.86837539476430348"/>
        </c:manualLayout>
      </c:layout>
      <c:barChart>
        <c:barDir val="bar"/>
        <c:grouping val="clustered"/>
        <c:varyColors val="0"/>
        <c:ser>
          <c:idx val="0"/>
          <c:order val="0"/>
          <c:invertIfNegative val="0"/>
          <c:cat>
            <c:strRef>
              <c:f>'Z3. Input table (GWP)'!$A$6:$A$35</c:f>
              <c:strCache>
                <c:ptCount val="30"/>
                <c:pt idx="0">
                  <c:v>FRANCE</c:v>
                </c:pt>
                <c:pt idx="1">
                  <c:v>GERMANY</c:v>
                </c:pt>
                <c:pt idx="2">
                  <c:v>NETHERLANDS</c:v>
                </c:pt>
                <c:pt idx="3">
                  <c:v>SPAIN</c:v>
                </c:pt>
                <c:pt idx="4">
                  <c:v>ITALY</c:v>
                </c:pt>
                <c:pt idx="5">
                  <c:v>BELGIUM</c:v>
                </c:pt>
                <c:pt idx="6">
                  <c:v>IRELAND</c:v>
                </c:pt>
                <c:pt idx="7">
                  <c:v>LUXEMBOURG</c:v>
                </c:pt>
                <c:pt idx="8">
                  <c:v>POLAND</c:v>
                </c:pt>
                <c:pt idx="9">
                  <c:v>AUSTRIA</c:v>
                </c:pt>
                <c:pt idx="10">
                  <c:v>SWEDEN</c:v>
                </c:pt>
                <c:pt idx="11">
                  <c:v>DENMARK</c:v>
                </c:pt>
                <c:pt idx="12">
                  <c:v>NORWAY</c:v>
                </c:pt>
                <c:pt idx="13">
                  <c:v>PORTUGAL</c:v>
                </c:pt>
                <c:pt idx="14">
                  <c:v>CZECHIA</c:v>
                </c:pt>
                <c:pt idx="15">
                  <c:v>MALTA</c:v>
                </c:pt>
                <c:pt idx="16">
                  <c:v>FINLAND</c:v>
                </c:pt>
                <c:pt idx="17">
                  <c:v>ROMANIA</c:v>
                </c:pt>
                <c:pt idx="18">
                  <c:v>GREECE</c:v>
                </c:pt>
                <c:pt idx="19">
                  <c:v>HUNGARY</c:v>
                </c:pt>
                <c:pt idx="20">
                  <c:v>LIECHTENSTEIN</c:v>
                </c:pt>
                <c:pt idx="21">
                  <c:v>BULGARIA</c:v>
                </c:pt>
                <c:pt idx="22">
                  <c:v>SLOVENIA</c:v>
                </c:pt>
                <c:pt idx="23">
                  <c:v>CROATIA</c:v>
                </c:pt>
                <c:pt idx="24">
                  <c:v>SLOVAKIA</c:v>
                </c:pt>
                <c:pt idx="25">
                  <c:v>CYPRUS</c:v>
                </c:pt>
                <c:pt idx="26">
                  <c:v>LITHUANIA</c:v>
                </c:pt>
                <c:pt idx="27">
                  <c:v>ESTONIA</c:v>
                </c:pt>
                <c:pt idx="28">
                  <c:v>LATVIA</c:v>
                </c:pt>
                <c:pt idx="29">
                  <c:v>ICELAND</c:v>
                </c:pt>
              </c:strCache>
            </c:strRef>
          </c:cat>
          <c:val>
            <c:numRef>
              <c:f>'Z3. Input table (GWP)'!$C$6:$C$35</c:f>
              <c:numCache>
                <c:formatCode>_(* #,##0.00_);_(* \(#,##0.00\);_(* "-"??_);_(@_)</c:formatCode>
                <c:ptCount val="30"/>
                <c:pt idx="0">
                  <c:v>138099.876834</c:v>
                </c:pt>
                <c:pt idx="1">
                  <c:v>115778.772392</c:v>
                </c:pt>
                <c:pt idx="2">
                  <c:v>77053.594144999995</c:v>
                </c:pt>
                <c:pt idx="3">
                  <c:v>41612.944089999997</c:v>
                </c:pt>
                <c:pt idx="4">
                  <c:v>41321.983323</c:v>
                </c:pt>
                <c:pt idx="5">
                  <c:v>26533.288295999999</c:v>
                </c:pt>
                <c:pt idx="6">
                  <c:v>19291.597819999999</c:v>
                </c:pt>
                <c:pt idx="7">
                  <c:v>17272.414135999999</c:v>
                </c:pt>
                <c:pt idx="8">
                  <c:v>13746.832128</c:v>
                </c:pt>
                <c:pt idx="9">
                  <c:v>13000.36644</c:v>
                </c:pt>
                <c:pt idx="10">
                  <c:v>12914.790935000001</c:v>
                </c:pt>
                <c:pt idx="11">
                  <c:v>11335.955212999999</c:v>
                </c:pt>
                <c:pt idx="12">
                  <c:v>9356.5890029999991</c:v>
                </c:pt>
                <c:pt idx="13">
                  <c:v>6605.7476660000002</c:v>
                </c:pt>
                <c:pt idx="14">
                  <c:v>6275.5834050000003</c:v>
                </c:pt>
                <c:pt idx="15">
                  <c:v>4439.5801439999996</c:v>
                </c:pt>
                <c:pt idx="16">
                  <c:v>4184.3091640000002</c:v>
                </c:pt>
                <c:pt idx="17">
                  <c:v>3308.6552390000002</c:v>
                </c:pt>
                <c:pt idx="18">
                  <c:v>2611.6758020000002</c:v>
                </c:pt>
                <c:pt idx="19">
                  <c:v>2257.2516580000001</c:v>
                </c:pt>
                <c:pt idx="20">
                  <c:v>2204.7443360000002</c:v>
                </c:pt>
                <c:pt idx="21">
                  <c:v>1845.2432899999999</c:v>
                </c:pt>
                <c:pt idx="22">
                  <c:v>1797.046155</c:v>
                </c:pt>
                <c:pt idx="23">
                  <c:v>1622.6955949999999</c:v>
                </c:pt>
                <c:pt idx="24">
                  <c:v>1269.832662</c:v>
                </c:pt>
                <c:pt idx="25">
                  <c:v>1051.2330750000001</c:v>
                </c:pt>
                <c:pt idx="26">
                  <c:v>927.49620700000003</c:v>
                </c:pt>
                <c:pt idx="27">
                  <c:v>897.30850699999996</c:v>
                </c:pt>
                <c:pt idx="28">
                  <c:v>683.594426</c:v>
                </c:pt>
                <c:pt idx="29">
                  <c:v>657.53303300000005</c:v>
                </c:pt>
              </c:numCache>
            </c:numRef>
          </c:val>
          <c:extLst>
            <c:ext xmlns:c16="http://schemas.microsoft.com/office/drawing/2014/chart" uri="{C3380CC4-5D6E-409C-BE32-E72D297353CC}">
              <c16:uniqueId val="{00000000-5671-4051-A164-CE5969C16487}"/>
            </c:ext>
          </c:extLst>
        </c:ser>
        <c:dLbls>
          <c:showLegendKey val="0"/>
          <c:showVal val="0"/>
          <c:showCatName val="0"/>
          <c:showSerName val="0"/>
          <c:showPercent val="0"/>
          <c:showBubbleSize val="0"/>
        </c:dLbls>
        <c:gapWidth val="150"/>
        <c:axId val="219702016"/>
        <c:axId val="219703552"/>
      </c:barChart>
      <c:catAx>
        <c:axId val="219702016"/>
        <c:scaling>
          <c:orientation val="maxMin"/>
        </c:scaling>
        <c:delete val="0"/>
        <c:axPos val="l"/>
        <c:numFmt formatCode="General" sourceLinked="0"/>
        <c:majorTickMark val="out"/>
        <c:minorTickMark val="none"/>
        <c:tickLblPos val="nextTo"/>
        <c:crossAx val="219703552"/>
        <c:crosses val="autoZero"/>
        <c:auto val="1"/>
        <c:lblAlgn val="ctr"/>
        <c:lblOffset val="100"/>
        <c:noMultiLvlLbl val="0"/>
      </c:catAx>
      <c:valAx>
        <c:axId val="219703552"/>
        <c:scaling>
          <c:orientation val="minMax"/>
        </c:scaling>
        <c:delete val="0"/>
        <c:axPos val="t"/>
        <c:majorGridlines/>
        <c:title>
          <c:tx>
            <c:rich>
              <a:bodyPr/>
              <a:lstStyle/>
              <a:p>
                <a:pPr>
                  <a:defRPr/>
                </a:pPr>
                <a:r>
                  <a:rPr lang="en-GB"/>
                  <a:t>EUR millions</a:t>
                </a:r>
              </a:p>
            </c:rich>
          </c:tx>
          <c:layout>
            <c:manualLayout>
              <c:xMode val="edge"/>
              <c:yMode val="edge"/>
              <c:x val="0.85828233118587449"/>
              <c:y val="1.8390807926655432E-2"/>
            </c:manualLayout>
          </c:layout>
          <c:overlay val="0"/>
        </c:title>
        <c:numFmt formatCode="#,##0" sourceLinked="0"/>
        <c:majorTickMark val="out"/>
        <c:minorTickMark val="none"/>
        <c:tickLblPos val="nextTo"/>
        <c:crossAx val="219702016"/>
        <c:crosses val="autoZero"/>
        <c:crossBetween val="between"/>
      </c:valAx>
    </c:plotArea>
    <c:plotVisOnly val="1"/>
    <c:dispBlanksAs val="gap"/>
    <c:showDLblsOverMax val="0"/>
  </c:chart>
  <c:spPr>
    <a:ln>
      <a:noFill/>
    </a:ln>
  </c:sp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10"/>
    </mc:Choice>
    <mc:Fallback>
      <c:style val="10"/>
    </mc:Fallback>
  </mc:AlternateContent>
  <c:chart>
    <c:autoTitleDeleted val="0"/>
    <c:plotArea>
      <c:layout>
        <c:manualLayout>
          <c:layoutTarget val="inner"/>
          <c:xMode val="edge"/>
          <c:yMode val="edge"/>
          <c:x val="0.21948117990932953"/>
          <c:y val="0.11783149929070491"/>
          <c:w val="0.72662207706991166"/>
          <c:h val="0.86837539476430348"/>
        </c:manualLayout>
      </c:layout>
      <c:barChart>
        <c:barDir val="bar"/>
        <c:grouping val="clustered"/>
        <c:varyColors val="0"/>
        <c:ser>
          <c:idx val="0"/>
          <c:order val="0"/>
          <c:invertIfNegative val="0"/>
          <c:cat>
            <c:strRef>
              <c:f>'Z3b. Input table (GWP Life)'!$A$2:$A$31</c:f>
              <c:strCache>
                <c:ptCount val="30"/>
                <c:pt idx="0">
                  <c:v>FRANCE</c:v>
                </c:pt>
                <c:pt idx="1">
                  <c:v>GERMANY</c:v>
                </c:pt>
                <c:pt idx="2">
                  <c:v>ITALY</c:v>
                </c:pt>
                <c:pt idx="3">
                  <c:v>IRELAND</c:v>
                </c:pt>
                <c:pt idx="4">
                  <c:v>DENMARK</c:v>
                </c:pt>
                <c:pt idx="5">
                  <c:v>SWEDEN</c:v>
                </c:pt>
                <c:pt idx="6">
                  <c:v>SPAIN</c:v>
                </c:pt>
                <c:pt idx="7">
                  <c:v>LUXEMBOURG</c:v>
                </c:pt>
                <c:pt idx="8">
                  <c:v>BELGIUM</c:v>
                </c:pt>
                <c:pt idx="9">
                  <c:v>NETHERLANDS</c:v>
                </c:pt>
                <c:pt idx="10">
                  <c:v>NORWAY</c:v>
                </c:pt>
                <c:pt idx="11">
                  <c:v>AUSTRIA</c:v>
                </c:pt>
                <c:pt idx="12">
                  <c:v>PORTUGAL</c:v>
                </c:pt>
                <c:pt idx="13">
                  <c:v>FINLAND</c:v>
                </c:pt>
                <c:pt idx="14">
                  <c:v>POLAND</c:v>
                </c:pt>
                <c:pt idx="15">
                  <c:v>MALTA</c:v>
                </c:pt>
                <c:pt idx="16">
                  <c:v>GREECE</c:v>
                </c:pt>
                <c:pt idx="17">
                  <c:v>LIECHTENSTEIN</c:v>
                </c:pt>
                <c:pt idx="18">
                  <c:v>CZECHIA</c:v>
                </c:pt>
                <c:pt idx="19">
                  <c:v>HUNGARY</c:v>
                </c:pt>
                <c:pt idx="20">
                  <c:v>SLOVAKIA</c:v>
                </c:pt>
                <c:pt idx="21">
                  <c:v>CYPRUS</c:v>
                </c:pt>
                <c:pt idx="22">
                  <c:v>SLOVENIA</c:v>
                </c:pt>
                <c:pt idx="23">
                  <c:v>ROMANIA</c:v>
                </c:pt>
                <c:pt idx="24">
                  <c:v>BULGARIA</c:v>
                </c:pt>
                <c:pt idx="25">
                  <c:v>CROATIA</c:v>
                </c:pt>
                <c:pt idx="26">
                  <c:v>ESTONIA</c:v>
                </c:pt>
                <c:pt idx="27">
                  <c:v>LITHUANIA</c:v>
                </c:pt>
                <c:pt idx="28">
                  <c:v>LATVIA</c:v>
                </c:pt>
                <c:pt idx="29">
                  <c:v>ICELAND</c:v>
                </c:pt>
              </c:strCache>
            </c:strRef>
          </c:cat>
          <c:val>
            <c:numRef>
              <c:f>'Z3b. Input table (GWP Life)'!$F$2:$F$31</c:f>
              <c:numCache>
                <c:formatCode>_(* #,##0.00_);_(* \(#,##0.00\);_(* "-"??_);_(@_)</c:formatCode>
                <c:ptCount val="30"/>
                <c:pt idx="0">
                  <c:v>217658.80564999999</c:v>
                </c:pt>
                <c:pt idx="1">
                  <c:v>160945.64719600001</c:v>
                </c:pt>
                <c:pt idx="2">
                  <c:v>112076.050736</c:v>
                </c:pt>
                <c:pt idx="3">
                  <c:v>56860.055789999999</c:v>
                </c:pt>
                <c:pt idx="4">
                  <c:v>34288.989201999997</c:v>
                </c:pt>
                <c:pt idx="5">
                  <c:v>32619.838731</c:v>
                </c:pt>
                <c:pt idx="6">
                  <c:v>31029.387159000002</c:v>
                </c:pt>
                <c:pt idx="7">
                  <c:v>30611.827462000001</c:v>
                </c:pt>
                <c:pt idx="8">
                  <c:v>19873.779065999999</c:v>
                </c:pt>
                <c:pt idx="9">
                  <c:v>16611.624156999998</c:v>
                </c:pt>
                <c:pt idx="10">
                  <c:v>16393.512294</c:v>
                </c:pt>
                <c:pt idx="11">
                  <c:v>8311.2355910000006</c:v>
                </c:pt>
                <c:pt idx="12">
                  <c:v>6686.2020359999997</c:v>
                </c:pt>
                <c:pt idx="13">
                  <c:v>5493.4737219999997</c:v>
                </c:pt>
                <c:pt idx="14">
                  <c:v>5164.4221500000003</c:v>
                </c:pt>
                <c:pt idx="15">
                  <c:v>2916.126792</c:v>
                </c:pt>
                <c:pt idx="16">
                  <c:v>2795.814065</c:v>
                </c:pt>
                <c:pt idx="17">
                  <c:v>2680.8952939999999</c:v>
                </c:pt>
                <c:pt idx="18">
                  <c:v>2011.0918340000001</c:v>
                </c:pt>
                <c:pt idx="19">
                  <c:v>1470.2664480000001</c:v>
                </c:pt>
                <c:pt idx="20">
                  <c:v>781.72925899999996</c:v>
                </c:pt>
                <c:pt idx="21">
                  <c:v>653.76775399999997</c:v>
                </c:pt>
                <c:pt idx="22">
                  <c:v>636.29949999999997</c:v>
                </c:pt>
                <c:pt idx="23">
                  <c:v>629.94925699999999</c:v>
                </c:pt>
                <c:pt idx="24">
                  <c:v>355.47796199999999</c:v>
                </c:pt>
                <c:pt idx="25">
                  <c:v>336.20459</c:v>
                </c:pt>
                <c:pt idx="26">
                  <c:v>293.205353</c:v>
                </c:pt>
                <c:pt idx="27">
                  <c:v>176.764162</c:v>
                </c:pt>
                <c:pt idx="28">
                  <c:v>97.219649000000004</c:v>
                </c:pt>
                <c:pt idx="29">
                  <c:v>69.457329999999999</c:v>
                </c:pt>
              </c:numCache>
            </c:numRef>
          </c:val>
          <c:extLst>
            <c:ext xmlns:c16="http://schemas.microsoft.com/office/drawing/2014/chart" uri="{C3380CC4-5D6E-409C-BE32-E72D297353CC}">
              <c16:uniqueId val="{00000000-3814-4FD1-99E7-15AC14415DF0}"/>
            </c:ext>
          </c:extLst>
        </c:ser>
        <c:dLbls>
          <c:showLegendKey val="0"/>
          <c:showVal val="0"/>
          <c:showCatName val="0"/>
          <c:showSerName val="0"/>
          <c:showPercent val="0"/>
          <c:showBubbleSize val="0"/>
        </c:dLbls>
        <c:gapWidth val="150"/>
        <c:axId val="219744128"/>
        <c:axId val="219745664"/>
      </c:barChart>
      <c:catAx>
        <c:axId val="219744128"/>
        <c:scaling>
          <c:orientation val="maxMin"/>
        </c:scaling>
        <c:delete val="0"/>
        <c:axPos val="l"/>
        <c:numFmt formatCode="General" sourceLinked="0"/>
        <c:majorTickMark val="out"/>
        <c:minorTickMark val="none"/>
        <c:tickLblPos val="nextTo"/>
        <c:crossAx val="219745664"/>
        <c:crosses val="autoZero"/>
        <c:auto val="1"/>
        <c:lblAlgn val="ctr"/>
        <c:lblOffset val="100"/>
        <c:noMultiLvlLbl val="0"/>
      </c:catAx>
      <c:valAx>
        <c:axId val="219745664"/>
        <c:scaling>
          <c:orientation val="minMax"/>
        </c:scaling>
        <c:delete val="0"/>
        <c:axPos val="t"/>
        <c:majorGridlines/>
        <c:title>
          <c:tx>
            <c:rich>
              <a:bodyPr/>
              <a:lstStyle/>
              <a:p>
                <a:pPr>
                  <a:defRPr/>
                </a:pPr>
                <a:r>
                  <a:rPr lang="en-GB"/>
                  <a:t>EUR millions</a:t>
                </a:r>
              </a:p>
            </c:rich>
          </c:tx>
          <c:layout>
            <c:manualLayout>
              <c:xMode val="edge"/>
              <c:yMode val="edge"/>
              <c:x val="0.85828233118587449"/>
              <c:y val="1.8390807926655432E-2"/>
            </c:manualLayout>
          </c:layout>
          <c:overlay val="0"/>
        </c:title>
        <c:numFmt formatCode="#,##0" sourceLinked="0"/>
        <c:majorTickMark val="out"/>
        <c:minorTickMark val="none"/>
        <c:tickLblPos val="nextTo"/>
        <c:crossAx val="219744128"/>
        <c:crosses val="autoZero"/>
        <c:crossBetween val="between"/>
      </c:valAx>
    </c:plotArea>
    <c:plotVisOnly val="1"/>
    <c:dispBlanksAs val="gap"/>
    <c:showDLblsOverMax val="0"/>
  </c:chart>
  <c:spPr>
    <a:ln>
      <a:noFill/>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12</xdr:col>
      <xdr:colOff>0</xdr:colOff>
      <xdr:row>24</xdr:row>
      <xdr:rowOff>0</xdr:rowOff>
    </xdr:to>
    <xdr:graphicFrame macro="">
      <xdr:nvGraphicFramePr>
        <xdr:cNvPr id="3" name="Chart 2">
          <a:extLst>
            <a:ext uri="{FF2B5EF4-FFF2-40B4-BE49-F238E27FC236}">
              <a16:creationId xmlns:a16="http://schemas.microsoft.com/office/drawing/2014/main" id="{00000000-0008-0000-00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27</xdr:row>
      <xdr:rowOff>0</xdr:rowOff>
    </xdr:from>
    <xdr:to>
      <xdr:col>14</xdr:col>
      <xdr:colOff>0</xdr:colOff>
      <xdr:row>50</xdr:row>
      <xdr:rowOff>0</xdr:rowOff>
    </xdr:to>
    <xdr:graphicFrame macro="">
      <xdr:nvGraphicFramePr>
        <xdr:cNvPr id="9" name="Chart 8">
          <a:extLst>
            <a:ext uri="{FF2B5EF4-FFF2-40B4-BE49-F238E27FC236}">
              <a16:creationId xmlns:a16="http://schemas.microsoft.com/office/drawing/2014/main" id="{00000000-0008-0000-00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52</xdr:row>
      <xdr:rowOff>0</xdr:rowOff>
    </xdr:from>
    <xdr:to>
      <xdr:col>12</xdr:col>
      <xdr:colOff>0</xdr:colOff>
      <xdr:row>83</xdr:row>
      <xdr:rowOff>0</xdr:rowOff>
    </xdr:to>
    <xdr:graphicFrame macro="">
      <xdr:nvGraphicFramePr>
        <xdr:cNvPr id="10" name="Chart 9">
          <a:extLst>
            <a:ext uri="{FF2B5EF4-FFF2-40B4-BE49-F238E27FC236}">
              <a16:creationId xmlns:a16="http://schemas.microsoft.com/office/drawing/2014/main" id="{00000000-0008-0000-00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0</xdr:colOff>
      <xdr:row>86</xdr:row>
      <xdr:rowOff>0</xdr:rowOff>
    </xdr:from>
    <xdr:to>
      <xdr:col>12</xdr:col>
      <xdr:colOff>0</xdr:colOff>
      <xdr:row>117</xdr:row>
      <xdr:rowOff>0</xdr:rowOff>
    </xdr:to>
    <xdr:graphicFrame macro="">
      <xdr:nvGraphicFramePr>
        <xdr:cNvPr id="5" name="Chart 4">
          <a:extLst>
            <a:ext uri="{FF2B5EF4-FFF2-40B4-BE49-F238E27FC236}">
              <a16:creationId xmlns:a16="http://schemas.microsoft.com/office/drawing/2014/main" id="{00000000-0008-0000-00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SA_Life_premiums_CSV_file_for_acc_note" connectionId="1" xr16:uid="{00000000-0016-0000-0500-000000000000}" autoFormatId="16" applyNumberFormats="0" applyBorderFormats="0" applyFontFormats="1" applyPatternFormats="1" applyAlignmentFormats="0" applyWidthHeightFormats="0"/>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B1:C86"/>
  <sheetViews>
    <sheetView tabSelected="1" workbookViewId="0">
      <selection activeCell="R27" sqref="R27"/>
    </sheetView>
  </sheetViews>
  <sheetFormatPr defaultRowHeight="15" x14ac:dyDescent="0.25"/>
  <sheetData>
    <row r="1" spans="2:2" x14ac:dyDescent="0.25">
      <c r="B1" s="2" t="s">
        <v>115</v>
      </c>
    </row>
    <row r="27" spans="2:2" x14ac:dyDescent="0.25">
      <c r="B27" s="2" t="s">
        <v>114</v>
      </c>
    </row>
    <row r="52" spans="2:3" x14ac:dyDescent="0.25">
      <c r="B52" s="2" t="s">
        <v>116</v>
      </c>
      <c r="C52" t="s">
        <v>167</v>
      </c>
    </row>
    <row r="84" spans="2:2" x14ac:dyDescent="0.25">
      <c r="B84" s="2"/>
    </row>
    <row r="86" spans="2:2" x14ac:dyDescent="0.25">
      <c r="B86" t="s">
        <v>168</v>
      </c>
    </row>
  </sheetData>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B1:W38"/>
  <sheetViews>
    <sheetView showGridLines="0" workbookViewId="0">
      <selection activeCell="I26" sqref="I26"/>
    </sheetView>
  </sheetViews>
  <sheetFormatPr defaultColWidth="9.140625" defaultRowHeight="12.75" x14ac:dyDescent="0.2"/>
  <cols>
    <col min="1" max="1" width="9.140625" style="1"/>
    <col min="2" max="2" width="15.140625" style="1" bestFit="1" customWidth="1"/>
    <col min="3" max="3" width="14.140625" style="1" customWidth="1"/>
    <col min="4" max="4" width="12.140625" style="1" customWidth="1"/>
    <col min="5" max="5" width="14.140625" style="1" customWidth="1"/>
    <col min="6" max="6" width="12.140625" style="1" customWidth="1"/>
    <col min="7" max="7" width="14.140625" style="1" customWidth="1"/>
    <col min="8" max="8" width="12.140625" style="1" customWidth="1"/>
    <col min="9" max="9" width="14.140625" style="1" customWidth="1"/>
    <col min="10" max="10" width="9.140625" style="1"/>
    <col min="11" max="11" width="15.140625" style="1" bestFit="1" customWidth="1"/>
    <col min="12" max="12" width="10.85546875" style="1" customWidth="1"/>
    <col min="13" max="13" width="8.85546875" style="1" hidden="1" customWidth="1"/>
    <col min="14" max="16" width="8.85546875" style="1" customWidth="1"/>
    <col min="17" max="17" width="8.85546875" style="1" hidden="1" customWidth="1"/>
    <col min="18" max="18" width="9.140625" style="1"/>
    <col min="19" max="19" width="9.140625" style="1" hidden="1" customWidth="1"/>
    <col min="20" max="21" width="9.140625" style="1"/>
    <col min="22" max="22" width="9.140625" style="1" customWidth="1"/>
    <col min="23" max="23" width="9.140625" style="1" hidden="1" customWidth="1"/>
    <col min="24" max="16384" width="9.140625" style="1"/>
  </cols>
  <sheetData>
    <row r="1" spans="2:23" x14ac:dyDescent="0.2">
      <c r="B1" s="20" t="s">
        <v>112</v>
      </c>
      <c r="C1" s="20"/>
      <c r="D1" s="20"/>
      <c r="E1" s="20"/>
      <c r="F1" s="20"/>
      <c r="G1" s="20"/>
      <c r="H1" s="20"/>
      <c r="I1" s="20"/>
      <c r="J1" s="20"/>
      <c r="K1" s="20" t="s">
        <v>113</v>
      </c>
    </row>
    <row r="2" spans="2:23" x14ac:dyDescent="0.2">
      <c r="K2" s="10"/>
      <c r="L2" s="64" t="s">
        <v>97</v>
      </c>
      <c r="M2" s="64"/>
      <c r="N2" s="64"/>
      <c r="O2" s="64"/>
      <c r="P2" s="64"/>
      <c r="Q2" s="65"/>
      <c r="R2" s="66" t="s">
        <v>98</v>
      </c>
      <c r="S2" s="64"/>
      <c r="T2" s="64"/>
      <c r="U2" s="64"/>
      <c r="V2" s="64"/>
      <c r="W2" s="64"/>
    </row>
    <row r="3" spans="2:23" ht="38.25" customHeight="1" x14ac:dyDescent="0.2">
      <c r="C3" s="67" t="s">
        <v>54</v>
      </c>
      <c r="D3" s="67"/>
      <c r="E3" s="67" t="s">
        <v>55</v>
      </c>
      <c r="F3" s="67"/>
      <c r="G3" s="67" t="s">
        <v>57</v>
      </c>
      <c r="H3" s="67"/>
      <c r="I3" s="21" t="s">
        <v>56</v>
      </c>
      <c r="J3" s="22"/>
      <c r="K3" s="10"/>
      <c r="M3" s="62" t="s">
        <v>96</v>
      </c>
      <c r="N3" s="62"/>
      <c r="O3" s="62"/>
      <c r="P3" s="62"/>
      <c r="Q3" s="63"/>
      <c r="R3" s="15"/>
      <c r="S3" s="62" t="s">
        <v>96</v>
      </c>
      <c r="T3" s="62"/>
      <c r="U3" s="62"/>
      <c r="V3" s="62"/>
      <c r="W3" s="62"/>
    </row>
    <row r="4" spans="2:23" ht="25.5" x14ac:dyDescent="0.2">
      <c r="C4" s="4" t="s">
        <v>58</v>
      </c>
      <c r="D4" s="4" t="s">
        <v>59</v>
      </c>
      <c r="E4" s="4" t="s">
        <v>58</v>
      </c>
      <c r="F4" s="4" t="s">
        <v>59</v>
      </c>
      <c r="G4" s="4" t="s">
        <v>58</v>
      </c>
      <c r="H4" s="4" t="s">
        <v>59</v>
      </c>
      <c r="I4" s="4" t="s">
        <v>58</v>
      </c>
      <c r="K4" s="10"/>
      <c r="L4" s="4" t="s">
        <v>95</v>
      </c>
      <c r="M4" s="11" t="s">
        <v>90</v>
      </c>
      <c r="N4" s="11" t="s">
        <v>91</v>
      </c>
      <c r="O4" s="11" t="s">
        <v>92</v>
      </c>
      <c r="P4" s="11" t="s">
        <v>93</v>
      </c>
      <c r="Q4" s="14" t="s">
        <v>94</v>
      </c>
      <c r="R4" s="16" t="s">
        <v>95</v>
      </c>
      <c r="S4" s="11" t="s">
        <v>90</v>
      </c>
      <c r="T4" s="11" t="s">
        <v>91</v>
      </c>
      <c r="U4" s="11" t="s">
        <v>92</v>
      </c>
      <c r="V4" s="11" t="s">
        <v>93</v>
      </c>
      <c r="W4" s="11" t="s">
        <v>94</v>
      </c>
    </row>
    <row r="5" spans="2:23" x14ac:dyDescent="0.2">
      <c r="B5" s="3" t="s">
        <v>20</v>
      </c>
      <c r="C5" s="5">
        <f>VLOOKUP(B5,'Z1. Input tables (Assets)'!$P$5:$S$35,2,FALSE)</f>
        <v>100354.355658</v>
      </c>
      <c r="D5" s="6">
        <f>C5/SUM(C5,E5,G5)</f>
        <v>0.75083995420326455</v>
      </c>
      <c r="E5" s="5">
        <f>VLOOKUP(B5,'Z1. Input tables (Assets)'!$P$5:$S$35,3,FALSE)</f>
        <v>17606.270369999998</v>
      </c>
      <c r="F5" s="6">
        <f>E5/SUM(C5,E5,G5)</f>
        <v>0.13172812631423902</v>
      </c>
      <c r="G5" s="5">
        <f>VLOOKUP(B5,'Z1. Input tables (Assets)'!$P$5:$S$35,4,FALSE)-SUM(E5,C5)</f>
        <v>15695.494822000008</v>
      </c>
      <c r="H5" s="6">
        <f>G5/SUM(C5,E5,G5)</f>
        <v>0.11743191948249639</v>
      </c>
      <c r="I5" s="5">
        <f>VLOOKUP(B5,'Z1. Input tables (Assets)'!$P$5:$S$35,4,FALSE)</f>
        <v>133656.12085000001</v>
      </c>
      <c r="K5" s="12" t="s">
        <v>20</v>
      </c>
      <c r="L5" s="13">
        <f>VLOOKUP($K5,'Z4. Input table (SCR and MCR)'!$A:$M,2,FALSE)</f>
        <v>2.9462700000000002</v>
      </c>
      <c r="M5" s="13">
        <f>VLOOKUP($K5,'Z4. Input table (SCR and MCR)'!$A:$M,3,FALSE)</f>
        <v>1.6758999999999999</v>
      </c>
      <c r="N5" s="13">
        <f>VLOOKUP($K5,'Z4. Input table (SCR and MCR)'!$A:$M,4,FALSE)</f>
        <v>2.0523899999999999</v>
      </c>
      <c r="O5" s="13">
        <f>VLOOKUP($K5,'Z4. Input table (SCR and MCR)'!$A:$M,5,FALSE)</f>
        <v>2.5283000000000002</v>
      </c>
      <c r="P5" s="13">
        <f>VLOOKUP($K5,'Z4. Input table (SCR and MCR)'!$A:$M,6,FALSE)</f>
        <v>3.1586799999999999</v>
      </c>
      <c r="Q5" s="13">
        <f>VLOOKUP($K5,'Z4. Input table (SCR and MCR)'!$A:$M,7,FALSE)</f>
        <v>3.2783500000000001</v>
      </c>
      <c r="R5" s="55">
        <f>VLOOKUP($K5,'Z4. Input table (SCR and MCR)'!$A:$M,8,FALSE)</f>
        <v>9.8082399999999996</v>
      </c>
      <c r="S5" s="13">
        <f>VLOOKUP($K5,'Z4. Input table (SCR and MCR)'!$A:$M,9,FALSE)</f>
        <v>4.4165700000000001</v>
      </c>
      <c r="T5" s="13">
        <f>VLOOKUP($K5,'Z4. Input table (SCR and MCR)'!$A:$M,10,FALSE)</f>
        <v>5.3467099999999999</v>
      </c>
      <c r="U5" s="13">
        <f>VLOOKUP($K5,'Z4. Input table (SCR and MCR)'!$A:$M,11,FALSE)</f>
        <v>8.1113900000000001</v>
      </c>
      <c r="V5" s="13">
        <f>VLOOKUP($K5,'Z4. Input table (SCR and MCR)'!$A:$M,12,FALSE)</f>
        <v>10.59901</v>
      </c>
      <c r="W5" s="13">
        <f>VLOOKUP($K5,'Z4. Input table (SCR and MCR)'!$A:$M,13,FALSE)</f>
        <v>12.163880000000001</v>
      </c>
    </row>
    <row r="6" spans="2:23" x14ac:dyDescent="0.2">
      <c r="B6" s="3" t="s">
        <v>21</v>
      </c>
      <c r="C6" s="5">
        <f>VLOOKUP(B6,'Z1. Input tables (Assets)'!$P$5:$S$35,2,FALSE)</f>
        <v>209609.72954199999</v>
      </c>
      <c r="D6" s="6">
        <f t="shared" ref="D6:D18" si="0">C6/SUM(C6,E6,G6)</f>
        <v>0.60126463240381633</v>
      </c>
      <c r="E6" s="5">
        <f>VLOOKUP(B6,'Z1. Input tables (Assets)'!$P$5:$S$35,3,FALSE)</f>
        <v>57505.076265999996</v>
      </c>
      <c r="F6" s="6">
        <f t="shared" ref="F6:F18" si="1">E6/SUM(C6,E6,G6)</f>
        <v>0.16495307072805457</v>
      </c>
      <c r="G6" s="5">
        <f>VLOOKUP(B6,'Z1. Input tables (Assets)'!$P$5:$S$35,4,FALSE)-SUM(E6,C6)</f>
        <v>81499.960878000013</v>
      </c>
      <c r="H6" s="6">
        <f t="shared" ref="H6:H18" si="2">G6/SUM(C6,E6,G6)</f>
        <v>0.2337822968681291</v>
      </c>
      <c r="I6" s="5">
        <f>VLOOKUP(B6,'Z1. Input tables (Assets)'!$P$5:$S$35,4,FALSE)</f>
        <v>348614.76668599999</v>
      </c>
      <c r="K6" s="12" t="s">
        <v>21</v>
      </c>
      <c r="L6" s="13">
        <f>VLOOKUP($K6,'Z4. Input table (SCR and MCR)'!$A:$M,2,FALSE)</f>
        <v>2.0031699999999999</v>
      </c>
      <c r="M6" s="13">
        <f>VLOOKUP($K6,'Z4. Input table (SCR and MCR)'!$A:$M,3,FALSE)</f>
        <v>1.5550999999999999</v>
      </c>
      <c r="N6" s="13">
        <f>VLOOKUP($K6,'Z4. Input table (SCR and MCR)'!$A:$M,4,FALSE)</f>
        <v>1.77904</v>
      </c>
      <c r="O6" s="13">
        <f>VLOOKUP($K6,'Z4. Input table (SCR and MCR)'!$A:$M,5,FALSE)</f>
        <v>2.0381499999999999</v>
      </c>
      <c r="P6" s="13">
        <f>VLOOKUP($K6,'Z4. Input table (SCR and MCR)'!$A:$M,6,FALSE)</f>
        <v>2.7417500000000001</v>
      </c>
      <c r="Q6" s="13">
        <f>VLOOKUP($K6,'Z4. Input table (SCR and MCR)'!$A:$M,7,FALSE)</f>
        <v>3.56006</v>
      </c>
      <c r="R6" s="17">
        <f>VLOOKUP($K6,'Z4. Input table (SCR and MCR)'!$A:$M,8,FALSE)</f>
        <v>4.5706300000000004</v>
      </c>
      <c r="S6" s="13">
        <f>VLOOKUP($K6,'Z4. Input table (SCR and MCR)'!$A:$M,9,FALSE)</f>
        <v>3.1099399999999999</v>
      </c>
      <c r="T6" s="13">
        <f>VLOOKUP($K6,'Z4. Input table (SCR and MCR)'!$A:$M,10,FALSE)</f>
        <v>4.0119300000000004</v>
      </c>
      <c r="U6" s="13">
        <f>VLOOKUP($K6,'Z4. Input table (SCR and MCR)'!$A:$M,11,FALSE)</f>
        <v>5.5625400000000003</v>
      </c>
      <c r="V6" s="13">
        <f>VLOOKUP($K6,'Z4. Input table (SCR and MCR)'!$A:$M,12,FALSE)</f>
        <v>8.0632900000000003</v>
      </c>
      <c r="W6" s="13">
        <f>VLOOKUP($K6,'Z4. Input table (SCR and MCR)'!$A:$M,13,FALSE)</f>
        <v>10.050090000000001</v>
      </c>
    </row>
    <row r="7" spans="2:23" x14ac:dyDescent="0.2">
      <c r="B7" s="3" t="s">
        <v>22</v>
      </c>
      <c r="C7" s="5">
        <f>VLOOKUP(B7,'Z1. Input tables (Assets)'!$P$5:$S$35,2,FALSE)</f>
        <v>3568.4788229999999</v>
      </c>
      <c r="D7" s="6">
        <f t="shared" si="0"/>
        <v>0.62082499107232791</v>
      </c>
      <c r="E7" s="5">
        <f>VLOOKUP(B7,'Z1. Input tables (Assets)'!$P$5:$S$35,3,FALSE)</f>
        <v>683.59462699999995</v>
      </c>
      <c r="F7" s="6">
        <f t="shared" si="1"/>
        <v>0.11892816218188507</v>
      </c>
      <c r="G7" s="5">
        <f>VLOOKUP(B7,'Z1. Input tables (Assets)'!$P$5:$S$35,4,FALSE)-SUM(E7,C7)</f>
        <v>1495.8891389999999</v>
      </c>
      <c r="H7" s="6">
        <f t="shared" si="2"/>
        <v>0.26024684674578696</v>
      </c>
      <c r="I7" s="5">
        <f>VLOOKUP(B7,'Z1. Input tables (Assets)'!$P$5:$S$35,4,FALSE)</f>
        <v>5747.9625889999998</v>
      </c>
      <c r="K7" s="12" t="s">
        <v>22</v>
      </c>
      <c r="L7" s="13">
        <f>VLOOKUP($K7,'Z4. Input table (SCR and MCR)'!$A:$M,2,FALSE)</f>
        <v>1.83853</v>
      </c>
      <c r="M7" s="13">
        <f>VLOOKUP($K7,'Z4. Input table (SCR and MCR)'!$A:$M,3,FALSE)</f>
        <v>1.2922800000000001</v>
      </c>
      <c r="N7" s="13">
        <f>VLOOKUP($K7,'Z4. Input table (SCR and MCR)'!$A:$M,4,FALSE)</f>
        <v>1.4459500000000001</v>
      </c>
      <c r="O7" s="13">
        <f>VLOOKUP($K7,'Z4. Input table (SCR and MCR)'!$A:$M,5,FALSE)</f>
        <v>1.7334000000000001</v>
      </c>
      <c r="P7" s="13">
        <f>VLOOKUP($K7,'Z4. Input table (SCR and MCR)'!$A:$M,6,FALSE)</f>
        <v>2.2376800000000001</v>
      </c>
      <c r="Q7" s="13">
        <f>VLOOKUP($K7,'Z4. Input table (SCR and MCR)'!$A:$M,7,FALSE)</f>
        <v>3.1409099999999999</v>
      </c>
      <c r="R7" s="17">
        <f>VLOOKUP($K7,'Z4. Input table (SCR and MCR)'!$A:$M,8,FALSE)</f>
        <v>4.9942799999999998</v>
      </c>
      <c r="S7" s="13">
        <f>VLOOKUP($K7,'Z4. Input table (SCR and MCR)'!$A:$M,9,FALSE)</f>
        <v>1.3803799999999999</v>
      </c>
      <c r="T7" s="13">
        <f>VLOOKUP($K7,'Z4. Input table (SCR and MCR)'!$A:$M,10,FALSE)</f>
        <v>1.7863199999999999</v>
      </c>
      <c r="U7" s="13">
        <f>VLOOKUP($K7,'Z4. Input table (SCR and MCR)'!$A:$M,11,FALSE)</f>
        <v>3.4812799999999999</v>
      </c>
      <c r="V7" s="13">
        <f>VLOOKUP($K7,'Z4. Input table (SCR and MCR)'!$A:$M,12,FALSE)</f>
        <v>5.1002799999999997</v>
      </c>
      <c r="W7" s="13">
        <f>VLOOKUP($K7,'Z4. Input table (SCR and MCR)'!$A:$M,13,FALSE)</f>
        <v>5.96638</v>
      </c>
    </row>
    <row r="8" spans="2:23" x14ac:dyDescent="0.2">
      <c r="B8" s="3" t="s">
        <v>23</v>
      </c>
      <c r="C8" s="5">
        <f>VLOOKUP(B8,'Z1. Input tables (Assets)'!$P$5:$S$35,2,FALSE)</f>
        <v>4710.133718</v>
      </c>
      <c r="D8" s="6">
        <f t="shared" si="0"/>
        <v>0.76407986716069642</v>
      </c>
      <c r="E8" s="5">
        <f>VLOOKUP(B8,'Z1. Input tables (Assets)'!$P$5:$S$35,3,FALSE)</f>
        <v>312.315608</v>
      </c>
      <c r="F8" s="6">
        <f t="shared" si="1"/>
        <v>5.0663968914704205E-2</v>
      </c>
      <c r="G8" s="5">
        <f>VLOOKUP(B8,'Z1. Input tables (Assets)'!$P$5:$S$35,4,FALSE)-SUM(E8,C8)</f>
        <v>1142.002743</v>
      </c>
      <c r="H8" s="6">
        <f t="shared" si="2"/>
        <v>0.18525616392459943</v>
      </c>
      <c r="I8" s="5">
        <f>VLOOKUP(B8,'Z1. Input tables (Assets)'!$P$5:$S$35,4,FALSE)</f>
        <v>6164.4520689999999</v>
      </c>
      <c r="K8" s="12" t="s">
        <v>23</v>
      </c>
      <c r="L8" s="13">
        <f>VLOOKUP($K8,'Z4. Input table (SCR and MCR)'!$A:$M,2,FALSE)</f>
        <v>2.2987000000000002</v>
      </c>
      <c r="M8" s="13">
        <f>VLOOKUP($K8,'Z4. Input table (SCR and MCR)'!$A:$M,3,FALSE)</f>
        <v>1.4923599999999999</v>
      </c>
      <c r="N8" s="13">
        <f>VLOOKUP($K8,'Z4. Input table (SCR and MCR)'!$A:$M,4,FALSE)</f>
        <v>1.85429</v>
      </c>
      <c r="O8" s="13">
        <f>VLOOKUP($K8,'Z4. Input table (SCR and MCR)'!$A:$M,5,FALSE)</f>
        <v>2.0365799999999998</v>
      </c>
      <c r="P8" s="13">
        <f>VLOOKUP($K8,'Z4. Input table (SCR and MCR)'!$A:$M,6,FALSE)</f>
        <v>2.5280100000000001</v>
      </c>
      <c r="Q8" s="13">
        <f>VLOOKUP($K8,'Z4. Input table (SCR and MCR)'!$A:$M,7,FALSE)</f>
        <v>2.7633399999999999</v>
      </c>
      <c r="R8" s="17">
        <f>VLOOKUP($K8,'Z4. Input table (SCR and MCR)'!$A:$M,8,FALSE)</f>
        <v>6.8099499999999997</v>
      </c>
      <c r="S8" s="13">
        <f>VLOOKUP($K8,'Z4. Input table (SCR and MCR)'!$A:$M,9,FALSE)</f>
        <v>3.2783099999999998</v>
      </c>
      <c r="T8" s="13">
        <f>VLOOKUP($K8,'Z4. Input table (SCR and MCR)'!$A:$M,10,FALSE)</f>
        <v>3.6107499999999999</v>
      </c>
      <c r="U8" s="13">
        <f>VLOOKUP($K8,'Z4. Input table (SCR and MCR)'!$A:$M,11,FALSE)</f>
        <v>4.8220900000000002</v>
      </c>
      <c r="V8" s="13">
        <f>VLOOKUP($K8,'Z4. Input table (SCR and MCR)'!$A:$M,12,FALSE)</f>
        <v>7.4042300000000001</v>
      </c>
      <c r="W8" s="13">
        <f>VLOOKUP($K8,'Z4. Input table (SCR and MCR)'!$A:$M,13,FALSE)</f>
        <v>8.6765600000000003</v>
      </c>
    </row>
    <row r="9" spans="2:23" x14ac:dyDescent="0.2">
      <c r="B9" s="3" t="s">
        <v>24</v>
      </c>
      <c r="C9" s="5">
        <f>VLOOKUP(B9,'Z1. Input tables (Assets)'!$P$5:$S$35,2,FALSE)</f>
        <v>2183.751409</v>
      </c>
      <c r="D9" s="6">
        <f t="shared" si="0"/>
        <v>0.4059721199260154</v>
      </c>
      <c r="E9" s="5">
        <f>VLOOKUP(B9,'Z1. Input tables (Assets)'!$P$5:$S$35,3,FALSE)</f>
        <v>2240.2106349999999</v>
      </c>
      <c r="F9" s="6">
        <f t="shared" si="1"/>
        <v>0.41646821924122918</v>
      </c>
      <c r="G9" s="5">
        <f>VLOOKUP(B9,'Z1. Input tables (Assets)'!$P$5:$S$35,4,FALSE)-SUM(E9,C9)</f>
        <v>955.10538900000029</v>
      </c>
      <c r="H9" s="6">
        <f t="shared" si="2"/>
        <v>0.1775596608327554</v>
      </c>
      <c r="I9" s="5">
        <f>VLOOKUP(B9,'Z1. Input tables (Assets)'!$P$5:$S$35,4,FALSE)</f>
        <v>5379.0674330000002</v>
      </c>
      <c r="K9" s="12" t="s">
        <v>24</v>
      </c>
      <c r="L9" s="13">
        <f>VLOOKUP($K9,'Z4. Input table (SCR and MCR)'!$A:$M,2,FALSE)</f>
        <v>2.7757800000000001</v>
      </c>
      <c r="M9" s="13">
        <f>VLOOKUP($K9,'Z4. Input table (SCR and MCR)'!$A:$M,3,FALSE)</f>
        <v>1.4087700000000001</v>
      </c>
      <c r="N9" s="13">
        <f>VLOOKUP($K9,'Z4. Input table (SCR and MCR)'!$A:$M,4,FALSE)</f>
        <v>1.74339</v>
      </c>
      <c r="O9" s="13">
        <f>VLOOKUP($K9,'Z4. Input table (SCR and MCR)'!$A:$M,5,FALSE)</f>
        <v>2.0486</v>
      </c>
      <c r="P9" s="13">
        <f>VLOOKUP($K9,'Z4. Input table (SCR and MCR)'!$A:$M,6,FALSE)</f>
        <v>2.48394</v>
      </c>
      <c r="Q9" s="13">
        <f>VLOOKUP($K9,'Z4. Input table (SCR and MCR)'!$A:$M,7,FALSE)</f>
        <v>3.1183000000000001</v>
      </c>
      <c r="R9" s="17">
        <f>VLOOKUP($K9,'Z4. Input table (SCR and MCR)'!$A:$M,8,FALSE)</f>
        <v>7.4123299999999999</v>
      </c>
      <c r="S9" s="13">
        <f>VLOOKUP($K9,'Z4. Input table (SCR and MCR)'!$A:$M,9,FALSE)</f>
        <v>1.2381599999999999</v>
      </c>
      <c r="T9" s="13">
        <f>VLOOKUP($K9,'Z4. Input table (SCR and MCR)'!$A:$M,10,FALSE)</f>
        <v>2.4806900000000001</v>
      </c>
      <c r="U9" s="13">
        <f>VLOOKUP($K9,'Z4. Input table (SCR and MCR)'!$A:$M,11,FALSE)</f>
        <v>4.4664099999999998</v>
      </c>
      <c r="V9" s="13">
        <f>VLOOKUP($K9,'Z4. Input table (SCR and MCR)'!$A:$M,12,FALSE)</f>
        <v>7.6987399999999999</v>
      </c>
      <c r="W9" s="13">
        <f>VLOOKUP($K9,'Z4. Input table (SCR and MCR)'!$A:$M,13,FALSE)</f>
        <v>10.303570000000001</v>
      </c>
    </row>
    <row r="10" spans="2:23" x14ac:dyDescent="0.2">
      <c r="B10" s="12" t="s">
        <v>171</v>
      </c>
      <c r="C10" s="5">
        <f>VLOOKUP(B10,'Z1. Input tables (Assets)'!$P$5:$S$35,2,FALSE)</f>
        <v>10759.66743</v>
      </c>
      <c r="D10" s="6">
        <f t="shared" si="0"/>
        <v>0.56958679882986463</v>
      </c>
      <c r="E10" s="5">
        <f>VLOOKUP(B10,'Z1. Input tables (Assets)'!$P$5:$S$35,3,FALSE)</f>
        <v>3600.8045390000002</v>
      </c>
      <c r="F10" s="6">
        <f t="shared" si="1"/>
        <v>0.19061655426844887</v>
      </c>
      <c r="G10" s="5">
        <f>VLOOKUP(B10,'Z1. Input tables (Assets)'!$P$5:$S$35,4,FALSE)-SUM(E10,C10)</f>
        <v>4529.8314090000003</v>
      </c>
      <c r="H10" s="6">
        <f t="shared" si="2"/>
        <v>0.23979664690168642</v>
      </c>
      <c r="I10" s="5">
        <f>VLOOKUP(B10,'Z1. Input tables (Assets)'!$P$5:$S$35,4,FALSE)</f>
        <v>18890.303378000001</v>
      </c>
      <c r="K10" s="12" t="s">
        <v>171</v>
      </c>
      <c r="L10" s="13">
        <f>VLOOKUP($K10,'Z4. Input table (SCR and MCR)'!$A:$M,2,FALSE)</f>
        <v>2.0293600000000001</v>
      </c>
      <c r="M10" s="13">
        <f>VLOOKUP($K10,'Z4. Input table (SCR and MCR)'!$A:$M,3,FALSE)</f>
        <v>1.42797</v>
      </c>
      <c r="N10" s="13">
        <f>VLOOKUP($K10,'Z4. Input table (SCR and MCR)'!$A:$M,4,FALSE)</f>
        <v>1.59396</v>
      </c>
      <c r="O10" s="13">
        <f>VLOOKUP($K10,'Z4. Input table (SCR and MCR)'!$A:$M,5,FALSE)</f>
        <v>1.8340000000000001</v>
      </c>
      <c r="P10" s="13">
        <f>VLOOKUP($K10,'Z4. Input table (SCR and MCR)'!$A:$M,6,FALSE)</f>
        <v>2.1164200000000002</v>
      </c>
      <c r="Q10" s="13">
        <f>VLOOKUP($K10,'Z4. Input table (SCR and MCR)'!$A:$M,7,FALSE)</f>
        <v>2.6611400000000001</v>
      </c>
      <c r="R10" s="17">
        <f>VLOOKUP($K10,'Z4. Input table (SCR and MCR)'!$A:$M,8,FALSE)</f>
        <v>5.01152</v>
      </c>
      <c r="S10" s="13">
        <f>VLOOKUP($K10,'Z4. Input table (SCR and MCR)'!$A:$M,9,FALSE)</f>
        <v>1.9681500000000001</v>
      </c>
      <c r="T10" s="13">
        <f>VLOOKUP($K10,'Z4. Input table (SCR and MCR)'!$A:$M,10,FALSE)</f>
        <v>2.6384300000000001</v>
      </c>
      <c r="U10" s="13">
        <f>VLOOKUP($K10,'Z4. Input table (SCR and MCR)'!$A:$M,11,FALSE)</f>
        <v>3.8706999999999998</v>
      </c>
      <c r="V10" s="13">
        <f>VLOOKUP($K10,'Z4. Input table (SCR and MCR)'!$A:$M,12,FALSE)</f>
        <v>5.6580599999999999</v>
      </c>
      <c r="W10" s="13">
        <f>VLOOKUP($K10,'Z4. Input table (SCR and MCR)'!$A:$M,13,FALSE)</f>
        <v>6.0406000000000004</v>
      </c>
    </row>
    <row r="11" spans="2:23" x14ac:dyDescent="0.2">
      <c r="B11" s="3" t="s">
        <v>26</v>
      </c>
      <c r="C11" s="5">
        <f>VLOOKUP(B11,'Z1. Input tables (Assets)'!$P$5:$S$35,2,FALSE)</f>
        <v>282415.01355199999</v>
      </c>
      <c r="D11" s="6">
        <f t="shared" si="0"/>
        <v>0.46654476146626922</v>
      </c>
      <c r="E11" s="5">
        <f>VLOOKUP(B11,'Z1. Input tables (Assets)'!$P$5:$S$35,3,FALSE)</f>
        <v>296106.44418200001</v>
      </c>
      <c r="F11" s="6">
        <f t="shared" si="1"/>
        <v>0.48916277017999216</v>
      </c>
      <c r="G11" s="5">
        <f>VLOOKUP(B11,'Z1. Input tables (Assets)'!$P$5:$S$35,4,FALSE)-SUM(E11,C11)</f>
        <v>26811.699720000033</v>
      </c>
      <c r="H11" s="6">
        <f t="shared" si="2"/>
        <v>4.429246835373872E-2</v>
      </c>
      <c r="I11" s="5">
        <f>VLOOKUP(B11,'Z1. Input tables (Assets)'!$P$5:$S$35,4,FALSE)</f>
        <v>605333.15745399997</v>
      </c>
      <c r="K11" s="12" t="s">
        <v>26</v>
      </c>
      <c r="L11" s="13">
        <f>VLOOKUP($K11,'Z4. Input table (SCR and MCR)'!$A:$M,2,FALSE)</f>
        <v>2.4100600000000001</v>
      </c>
      <c r="M11" s="13">
        <f>VLOOKUP($K11,'Z4. Input table (SCR and MCR)'!$A:$M,3,FALSE)</f>
        <v>1.7028000000000001</v>
      </c>
      <c r="N11" s="13">
        <f>VLOOKUP($K11,'Z4. Input table (SCR and MCR)'!$A:$M,4,FALSE)</f>
        <v>1.9938199999999999</v>
      </c>
      <c r="O11" s="13">
        <f>VLOOKUP($K11,'Z4. Input table (SCR and MCR)'!$A:$M,5,FALSE)</f>
        <v>2.6672699999999998</v>
      </c>
      <c r="P11" s="13">
        <f>VLOOKUP($K11,'Z4. Input table (SCR and MCR)'!$A:$M,6,FALSE)</f>
        <v>3.0948000000000002</v>
      </c>
      <c r="Q11" s="13">
        <f>VLOOKUP($K11,'Z4. Input table (SCR and MCR)'!$A:$M,7,FALSE)</f>
        <v>3.8638599999999999</v>
      </c>
      <c r="R11" s="17">
        <f>VLOOKUP($K11,'Z4. Input table (SCR and MCR)'!$A:$M,8,FALSE)</f>
        <v>6.3311700000000002</v>
      </c>
      <c r="S11" s="13">
        <f>VLOOKUP($K11,'Z4. Input table (SCR and MCR)'!$A:$M,9,FALSE)</f>
        <v>2.9764499999999998</v>
      </c>
      <c r="T11" s="13">
        <f>VLOOKUP($K11,'Z4. Input table (SCR and MCR)'!$A:$M,10,FALSE)</f>
        <v>4.0024199999999999</v>
      </c>
      <c r="U11" s="13">
        <f>VLOOKUP($K11,'Z4. Input table (SCR and MCR)'!$A:$M,11,FALSE)</f>
        <v>6.7820900000000002</v>
      </c>
      <c r="V11" s="13">
        <f>VLOOKUP($K11,'Z4. Input table (SCR and MCR)'!$A:$M,12,FALSE)</f>
        <v>9.9641800000000007</v>
      </c>
      <c r="W11" s="13">
        <f>VLOOKUP($K11,'Z4. Input table (SCR and MCR)'!$A:$M,13,FALSE)</f>
        <v>12.32508</v>
      </c>
    </row>
    <row r="12" spans="2:23" x14ac:dyDescent="0.2">
      <c r="B12" s="3" t="s">
        <v>27</v>
      </c>
      <c r="C12" s="5">
        <f>VLOOKUP(B12,'Z1. Input tables (Assets)'!$P$5:$S$35,2,FALSE)</f>
        <v>1326.7170209999999</v>
      </c>
      <c r="D12" s="6">
        <f t="shared" si="0"/>
        <v>0.49259190542546255</v>
      </c>
      <c r="E12" s="5">
        <f>VLOOKUP(B12,'Z1. Input tables (Assets)'!$P$5:$S$35,3,FALSE)</f>
        <v>1073.864851</v>
      </c>
      <c r="F12" s="6">
        <f t="shared" si="1"/>
        <v>0.39871134895428506</v>
      </c>
      <c r="G12" s="5">
        <f>VLOOKUP(B12,'Z1. Input tables (Assets)'!$P$5:$S$35,4,FALSE)-SUM(E12,C12)</f>
        <v>292.75719100000015</v>
      </c>
      <c r="H12" s="6">
        <f t="shared" si="2"/>
        <v>0.10869674562025247</v>
      </c>
      <c r="I12" s="5">
        <f>VLOOKUP(B12,'Z1. Input tables (Assets)'!$P$5:$S$35,4,FALSE)</f>
        <v>2693.3390629999999</v>
      </c>
      <c r="K12" s="12" t="s">
        <v>27</v>
      </c>
      <c r="L12" s="13">
        <f>VLOOKUP($K12,'Z4. Input table (SCR and MCR)'!$A:$M,2,FALSE)</f>
        <v>1.60165</v>
      </c>
      <c r="M12" s="13">
        <f>VLOOKUP($K12,'Z4. Input table (SCR and MCR)'!$A:$M,3,FALSE)</f>
        <v>1.47926</v>
      </c>
      <c r="N12" s="13">
        <f>VLOOKUP($K12,'Z4. Input table (SCR and MCR)'!$A:$M,4,FALSE)</f>
        <v>1.5235000000000001</v>
      </c>
      <c r="O12" s="13">
        <f>VLOOKUP($K12,'Z4. Input table (SCR and MCR)'!$A:$M,5,FALSE)</f>
        <v>1.5616000000000001</v>
      </c>
      <c r="P12" s="13">
        <f>VLOOKUP($K12,'Z4. Input table (SCR and MCR)'!$A:$M,6,FALSE)</f>
        <v>1.94129</v>
      </c>
      <c r="Q12" s="13">
        <f>VLOOKUP($K12,'Z4. Input table (SCR and MCR)'!$A:$M,7,FALSE)</f>
        <v>2.4895800000000001</v>
      </c>
      <c r="R12" s="17">
        <f>VLOOKUP($K12,'Z4. Input table (SCR and MCR)'!$A:$M,8,FALSE)</f>
        <v>4.6408100000000001</v>
      </c>
      <c r="S12" s="13">
        <f>VLOOKUP($K12,'Z4. Input table (SCR and MCR)'!$A:$M,9,FALSE)</f>
        <v>2.4674499999999999</v>
      </c>
      <c r="T12" s="13">
        <f>VLOOKUP($K12,'Z4. Input table (SCR and MCR)'!$A:$M,10,FALSE)</f>
        <v>3.3195600000000001</v>
      </c>
      <c r="U12" s="13">
        <f>VLOOKUP($K12,'Z4. Input table (SCR and MCR)'!$A:$M,11,FALSE)</f>
        <v>4.1737000000000002</v>
      </c>
      <c r="V12" s="13">
        <f>VLOOKUP($K12,'Z4. Input table (SCR and MCR)'!$A:$M,12,FALSE)</f>
        <v>6.1767000000000003</v>
      </c>
      <c r="W12" s="13">
        <f>VLOOKUP($K12,'Z4. Input table (SCR and MCR)'!$A:$M,13,FALSE)</f>
        <v>6.4298299999999999</v>
      </c>
    </row>
    <row r="13" spans="2:23" x14ac:dyDescent="0.2">
      <c r="B13" s="3" t="s">
        <v>28</v>
      </c>
      <c r="C13" s="5">
        <f>VLOOKUP(B13,'Z1. Input tables (Assets)'!$P$5:$S$35,2,FALSE)</f>
        <v>30039.759274</v>
      </c>
      <c r="D13" s="6">
        <f t="shared" si="0"/>
        <v>0.33376435135988836</v>
      </c>
      <c r="E13" s="5">
        <f>VLOOKUP(B13,'Z1. Input tables (Assets)'!$P$5:$S$35,3,FALSE)</f>
        <v>56114.720601000001</v>
      </c>
      <c r="F13" s="6">
        <f t="shared" si="1"/>
        <v>0.62347681125875487</v>
      </c>
      <c r="G13" s="5">
        <f>VLOOKUP(B13,'Z1. Input tables (Assets)'!$P$5:$S$35,4,FALSE)-SUM(E13,C13)</f>
        <v>3848.4193309999973</v>
      </c>
      <c r="H13" s="6">
        <f t="shared" si="2"/>
        <v>4.275883738135676E-2</v>
      </c>
      <c r="I13" s="5">
        <f>VLOOKUP(B13,'Z1. Input tables (Assets)'!$P$5:$S$35,4,FALSE)</f>
        <v>90002.899206000002</v>
      </c>
      <c r="K13" s="12" t="s">
        <v>28</v>
      </c>
      <c r="L13" s="13">
        <f>VLOOKUP($K13,'Z4. Input table (SCR and MCR)'!$A:$M,2,FALSE)</f>
        <v>2.3798599999999999</v>
      </c>
      <c r="M13" s="13">
        <f>VLOOKUP($K13,'Z4. Input table (SCR and MCR)'!$A:$M,3,FALSE)</f>
        <v>1.9200999999999999</v>
      </c>
      <c r="N13" s="13">
        <f>VLOOKUP($K13,'Z4. Input table (SCR and MCR)'!$A:$M,4,FALSE)</f>
        <v>2.0762499999999999</v>
      </c>
      <c r="O13" s="13">
        <f>VLOOKUP($K13,'Z4. Input table (SCR and MCR)'!$A:$M,5,FALSE)</f>
        <v>2.4552999999999998</v>
      </c>
      <c r="P13" s="13">
        <f>VLOOKUP($K13,'Z4. Input table (SCR and MCR)'!$A:$M,6,FALSE)</f>
        <v>2.73889</v>
      </c>
      <c r="Q13" s="13">
        <f>VLOOKUP($K13,'Z4. Input table (SCR and MCR)'!$A:$M,7,FALSE)</f>
        <v>3.1789900000000002</v>
      </c>
      <c r="R13" s="17">
        <f>VLOOKUP($K13,'Z4. Input table (SCR and MCR)'!$A:$M,8,FALSE)</f>
        <v>8.7608999999999995</v>
      </c>
      <c r="S13" s="13">
        <f>VLOOKUP($K13,'Z4. Input table (SCR and MCR)'!$A:$M,9,FALSE)</f>
        <v>5.5326000000000004</v>
      </c>
      <c r="T13" s="13">
        <f>VLOOKUP($K13,'Z4. Input table (SCR and MCR)'!$A:$M,10,FALSE)</f>
        <v>7.1721500000000002</v>
      </c>
      <c r="U13" s="13">
        <f>VLOOKUP($K13,'Z4. Input table (SCR and MCR)'!$A:$M,11,FALSE)</f>
        <v>9.4080499999999994</v>
      </c>
      <c r="V13" s="13">
        <f>VLOOKUP($K13,'Z4. Input table (SCR and MCR)'!$A:$M,12,FALSE)</f>
        <v>10.680009999999999</v>
      </c>
      <c r="W13" s="13">
        <f>VLOOKUP($K13,'Z4. Input table (SCR and MCR)'!$A:$M,13,FALSE)</f>
        <v>12.697369999999999</v>
      </c>
    </row>
    <row r="14" spans="2:23" x14ac:dyDescent="0.2">
      <c r="B14" s="3" t="s">
        <v>29</v>
      </c>
      <c r="C14" s="5">
        <f>VLOOKUP(B14,'Z1. Input tables (Assets)'!$P$5:$S$35,2,FALSE)</f>
        <v>2069202.786971</v>
      </c>
      <c r="D14" s="6">
        <f t="shared" si="0"/>
        <v>0.69633754829231176</v>
      </c>
      <c r="E14" s="5">
        <f>VLOOKUP(B14,'Z1. Input tables (Assets)'!$P$5:$S$35,3,FALSE)</f>
        <v>561276.16696900001</v>
      </c>
      <c r="F14" s="6">
        <f t="shared" si="1"/>
        <v>0.18888321264743071</v>
      </c>
      <c r="G14" s="5">
        <f>VLOOKUP(B14,'Z1. Input tables (Assets)'!$P$5:$S$35,4,FALSE)-SUM(E14,C14)</f>
        <v>341072.40365300002</v>
      </c>
      <c r="H14" s="6">
        <f t="shared" si="2"/>
        <v>0.11477923906025762</v>
      </c>
      <c r="I14" s="5">
        <f>VLOOKUP(B14,'Z1. Input tables (Assets)'!$P$5:$S$35,4,FALSE)</f>
        <v>2971551.3575929999</v>
      </c>
      <c r="K14" s="12" t="s">
        <v>29</v>
      </c>
      <c r="L14" s="13">
        <f>VLOOKUP($K14,'Z4. Input table (SCR and MCR)'!$A:$M,2,FALSE)</f>
        <v>2.3940700000000001</v>
      </c>
      <c r="M14" s="13">
        <f>VLOOKUP($K14,'Z4. Input table (SCR and MCR)'!$A:$M,3,FALSE)</f>
        <v>1.4703999999999999</v>
      </c>
      <c r="N14" s="13">
        <f>VLOOKUP($K14,'Z4. Input table (SCR and MCR)'!$A:$M,4,FALSE)</f>
        <v>1.8142199999999999</v>
      </c>
      <c r="O14" s="13">
        <f>VLOOKUP($K14,'Z4. Input table (SCR and MCR)'!$A:$M,5,FALSE)</f>
        <v>2.3830900000000002</v>
      </c>
      <c r="P14" s="13">
        <f>VLOOKUP($K14,'Z4. Input table (SCR and MCR)'!$A:$M,6,FALSE)</f>
        <v>3.3478400000000001</v>
      </c>
      <c r="Q14" s="13">
        <f>VLOOKUP($K14,'Z4. Input table (SCR and MCR)'!$A:$M,7,FALSE)</f>
        <v>4.7363299999999997</v>
      </c>
      <c r="R14" s="17">
        <f>VLOOKUP($K14,'Z4. Input table (SCR and MCR)'!$A:$M,8,FALSE)</f>
        <v>6.4070499999999999</v>
      </c>
      <c r="S14" s="13">
        <f>VLOOKUP($K14,'Z4. Input table (SCR and MCR)'!$A:$M,9,FALSE)</f>
        <v>2.72994</v>
      </c>
      <c r="T14" s="13">
        <f>VLOOKUP($K14,'Z4. Input table (SCR and MCR)'!$A:$M,10,FALSE)</f>
        <v>3.9240499999999998</v>
      </c>
      <c r="U14" s="13">
        <f>VLOOKUP($K14,'Z4. Input table (SCR and MCR)'!$A:$M,11,FALSE)</f>
        <v>6.4118399999999998</v>
      </c>
      <c r="V14" s="13">
        <f>VLOOKUP($K14,'Z4. Input table (SCR and MCR)'!$A:$M,12,FALSE)</f>
        <v>9.8685799999999997</v>
      </c>
      <c r="W14" s="13">
        <f>VLOOKUP($K14,'Z4. Input table (SCR and MCR)'!$A:$M,13,FALSE)</f>
        <v>14.195740000000001</v>
      </c>
    </row>
    <row r="15" spans="2:23" x14ac:dyDescent="0.2">
      <c r="B15" s="3" t="s">
        <v>30</v>
      </c>
      <c r="C15" s="5">
        <f>VLOOKUP(B15,'Z1. Input tables (Assets)'!$P$5:$S$35,2,FALSE)</f>
        <v>1906138.347085</v>
      </c>
      <c r="D15" s="6">
        <f t="shared" si="0"/>
        <v>0.76612580597808388</v>
      </c>
      <c r="E15" s="5">
        <f>VLOOKUP(B15,'Z1. Input tables (Assets)'!$P$5:$S$35,3,FALSE)</f>
        <v>215259.520662</v>
      </c>
      <c r="F15" s="6">
        <f t="shared" si="1"/>
        <v>8.6518312804436073E-2</v>
      </c>
      <c r="G15" s="5">
        <f>VLOOKUP(B15,'Z1. Input tables (Assets)'!$P$5:$S$35,4,FALSE)-SUM(E15,C15)</f>
        <v>366624.76797599997</v>
      </c>
      <c r="H15" s="6">
        <f t="shared" si="2"/>
        <v>0.14735588121748003</v>
      </c>
      <c r="I15" s="5">
        <f>VLOOKUP(B15,'Z1. Input tables (Assets)'!$P$5:$S$35,4,FALSE)</f>
        <v>2488022.6357229999</v>
      </c>
      <c r="K15" s="12" t="s">
        <v>30</v>
      </c>
      <c r="L15" s="13">
        <f>VLOOKUP($K15,'Z4. Input table (SCR and MCR)'!$A:$M,2,FALSE)</f>
        <v>2.8777499999999998</v>
      </c>
      <c r="M15" s="13">
        <f>VLOOKUP($K15,'Z4. Input table (SCR and MCR)'!$A:$M,3,FALSE)</f>
        <v>1.59144</v>
      </c>
      <c r="N15" s="13">
        <f>VLOOKUP($K15,'Z4. Input table (SCR and MCR)'!$A:$M,4,FALSE)</f>
        <v>1.9065099999999999</v>
      </c>
      <c r="O15" s="13">
        <f>VLOOKUP($K15,'Z4. Input table (SCR and MCR)'!$A:$M,5,FALSE)</f>
        <v>2.6576900000000001</v>
      </c>
      <c r="P15" s="13">
        <f>VLOOKUP($K15,'Z4. Input table (SCR and MCR)'!$A:$M,6,FALSE)</f>
        <v>3.9083399999999999</v>
      </c>
      <c r="Q15" s="13">
        <f>VLOOKUP($K15,'Z4. Input table (SCR and MCR)'!$A:$M,7,FALSE)</f>
        <v>5.4704800000000002</v>
      </c>
      <c r="R15" s="17">
        <f>VLOOKUP($K15,'Z4. Input table (SCR and MCR)'!$A:$M,8,FALSE)</f>
        <v>8.1673899999999993</v>
      </c>
      <c r="S15" s="13">
        <f>VLOOKUP($K15,'Z4. Input table (SCR and MCR)'!$A:$M,9,FALSE)</f>
        <v>3.4096799999999998</v>
      </c>
      <c r="T15" s="13">
        <f>VLOOKUP($K15,'Z4. Input table (SCR and MCR)'!$A:$M,10,FALSE)</f>
        <v>4.7475399999999999</v>
      </c>
      <c r="U15" s="13">
        <f>VLOOKUP($K15,'Z4. Input table (SCR and MCR)'!$A:$M,11,FALSE)</f>
        <v>6.9487100000000002</v>
      </c>
      <c r="V15" s="13">
        <f>VLOOKUP($K15,'Z4. Input table (SCR and MCR)'!$A:$M,12,FALSE)</f>
        <v>11.369859999999999</v>
      </c>
      <c r="W15" s="13">
        <f>VLOOKUP($K15,'Z4. Input table (SCR and MCR)'!$A:$M,13,FALSE)</f>
        <v>16.53199</v>
      </c>
    </row>
    <row r="16" spans="2:23" x14ac:dyDescent="0.2">
      <c r="B16" s="3" t="s">
        <v>31</v>
      </c>
      <c r="C16" s="5">
        <f>VLOOKUP(B16,'Z1. Input tables (Assets)'!$P$5:$S$35,2,FALSE)</f>
        <v>13323.345304</v>
      </c>
      <c r="D16" s="6">
        <f t="shared" si="0"/>
        <v>0.62781026853236177</v>
      </c>
      <c r="E16" s="5">
        <f>VLOOKUP(B16,'Z1. Input tables (Assets)'!$P$5:$S$35,3,FALSE)</f>
        <v>5426.8352500000001</v>
      </c>
      <c r="F16" s="6">
        <f t="shared" si="1"/>
        <v>0.25571827629210464</v>
      </c>
      <c r="G16" s="5">
        <f>VLOOKUP(B16,'Z1. Input tables (Assets)'!$P$5:$S$35,4,FALSE)-SUM(E16,C16)</f>
        <v>2471.7490190000026</v>
      </c>
      <c r="H16" s="6">
        <f t="shared" si="2"/>
        <v>0.1164714551755337</v>
      </c>
      <c r="I16" s="5">
        <f>VLOOKUP(B16,'Z1. Input tables (Assets)'!$P$5:$S$35,4,FALSE)</f>
        <v>21221.929573000001</v>
      </c>
      <c r="K16" s="12" t="s">
        <v>31</v>
      </c>
      <c r="L16" s="13">
        <f>VLOOKUP($K16,'Z4. Input table (SCR and MCR)'!$A:$M,2,FALSE)</f>
        <v>1.7306699999999999</v>
      </c>
      <c r="M16" s="13">
        <f>VLOOKUP($K16,'Z4. Input table (SCR and MCR)'!$A:$M,3,FALSE)</f>
        <v>1.3762000000000001</v>
      </c>
      <c r="N16" s="13">
        <f>VLOOKUP($K16,'Z4. Input table (SCR and MCR)'!$A:$M,4,FALSE)</f>
        <v>1.5035799999999999</v>
      </c>
      <c r="O16" s="13">
        <f>VLOOKUP($K16,'Z4. Input table (SCR and MCR)'!$A:$M,5,FALSE)</f>
        <v>1.7949999999999999</v>
      </c>
      <c r="P16" s="13">
        <f>VLOOKUP($K16,'Z4. Input table (SCR and MCR)'!$A:$M,6,FALSE)</f>
        <v>2.3826700000000001</v>
      </c>
      <c r="Q16" s="13">
        <f>VLOOKUP($K16,'Z4. Input table (SCR and MCR)'!$A:$M,7,FALSE)</f>
        <v>3.06589</v>
      </c>
      <c r="R16" s="17">
        <f>VLOOKUP($K16,'Z4. Input table (SCR and MCR)'!$A:$M,8,FALSE)</f>
        <v>4.5603300000000004</v>
      </c>
      <c r="S16" s="13">
        <f>VLOOKUP($K16,'Z4. Input table (SCR and MCR)'!$A:$M,9,FALSE)</f>
        <v>2.28511</v>
      </c>
      <c r="T16" s="13">
        <f>VLOOKUP($K16,'Z4. Input table (SCR and MCR)'!$A:$M,10,FALSE)</f>
        <v>2.9302999999999999</v>
      </c>
      <c r="U16" s="13">
        <f>VLOOKUP($K16,'Z4. Input table (SCR and MCR)'!$A:$M,11,FALSE)</f>
        <v>3.8443999999999998</v>
      </c>
      <c r="V16" s="13">
        <f>VLOOKUP($K16,'Z4. Input table (SCR and MCR)'!$A:$M,12,FALSE)</f>
        <v>6.0962899999999998</v>
      </c>
      <c r="W16" s="13">
        <f>VLOOKUP($K16,'Z4. Input table (SCR and MCR)'!$A:$M,13,FALSE)</f>
        <v>8.0743399999999994</v>
      </c>
    </row>
    <row r="17" spans="2:23" x14ac:dyDescent="0.2">
      <c r="B17" s="3" t="s">
        <v>32</v>
      </c>
      <c r="C17" s="5">
        <f>VLOOKUP(B17,'Z1. Input tables (Assets)'!$P$5:$S$35,2,FALSE)</f>
        <v>4023.1933479999998</v>
      </c>
      <c r="D17" s="6">
        <f t="shared" si="0"/>
        <v>0.40591345722939864</v>
      </c>
      <c r="E17" s="5">
        <f>VLOOKUP(B17,'Z1. Input tables (Assets)'!$P$5:$S$35,3,FALSE)</f>
        <v>5063.4248280000002</v>
      </c>
      <c r="F17" s="6">
        <f t="shared" si="1"/>
        <v>0.51086589670774463</v>
      </c>
      <c r="G17" s="5">
        <f>VLOOKUP(B17,'Z1. Input tables (Assets)'!$P$5:$S$35,4,FALSE)-SUM(E17,C17)</f>
        <v>824.83776700000089</v>
      </c>
      <c r="H17" s="6">
        <f t="shared" si="2"/>
        <v>8.3220646062856729E-2</v>
      </c>
      <c r="I17" s="5">
        <f>VLOOKUP(B17,'Z1. Input tables (Assets)'!$P$5:$S$35,4,FALSE)</f>
        <v>9911.4559430000008</v>
      </c>
      <c r="K17" s="12" t="s">
        <v>32</v>
      </c>
      <c r="L17" s="13">
        <f>VLOOKUP($K17,'Z4. Input table (SCR and MCR)'!$A:$M,2,FALSE)</f>
        <v>1.9655400000000001</v>
      </c>
      <c r="M17" s="13">
        <f>VLOOKUP($K17,'Z4. Input table (SCR and MCR)'!$A:$M,3,FALSE)</f>
        <v>1.6919599999999999</v>
      </c>
      <c r="N17" s="13">
        <f>VLOOKUP($K17,'Z4. Input table (SCR and MCR)'!$A:$M,4,FALSE)</f>
        <v>1.84842</v>
      </c>
      <c r="O17" s="13">
        <f>VLOOKUP($K17,'Z4. Input table (SCR and MCR)'!$A:$M,5,FALSE)</f>
        <v>2.0082</v>
      </c>
      <c r="P17" s="13">
        <f>VLOOKUP($K17,'Z4. Input table (SCR and MCR)'!$A:$M,6,FALSE)</f>
        <v>2.6945299999999999</v>
      </c>
      <c r="Q17" s="13">
        <f>VLOOKUP($K17,'Z4. Input table (SCR and MCR)'!$A:$M,7,FALSE)</f>
        <v>3.3521100000000001</v>
      </c>
      <c r="R17" s="17">
        <f>VLOOKUP($K17,'Z4. Input table (SCR and MCR)'!$A:$M,8,FALSE)</f>
        <v>6.0899299999999998</v>
      </c>
      <c r="S17" s="13">
        <f>VLOOKUP($K17,'Z4. Input table (SCR and MCR)'!$A:$M,9,FALSE)</f>
        <v>2.1001599999999998</v>
      </c>
      <c r="T17" s="13">
        <f>VLOOKUP($K17,'Z4. Input table (SCR and MCR)'!$A:$M,10,FALSE)</f>
        <v>4.0523199999999999</v>
      </c>
      <c r="U17" s="13">
        <f>VLOOKUP($K17,'Z4. Input table (SCR and MCR)'!$A:$M,11,FALSE)</f>
        <v>5.0497500000000004</v>
      </c>
      <c r="V17" s="13">
        <f>VLOOKUP($K17,'Z4. Input table (SCR and MCR)'!$A:$M,12,FALSE)</f>
        <v>7.0368300000000001</v>
      </c>
      <c r="W17" s="13">
        <f>VLOOKUP($K17,'Z4. Input table (SCR and MCR)'!$A:$M,13,FALSE)</f>
        <v>10.442489999999999</v>
      </c>
    </row>
    <row r="18" spans="2:23" x14ac:dyDescent="0.2">
      <c r="B18" s="3" t="s">
        <v>145</v>
      </c>
      <c r="C18" s="5">
        <f>VLOOKUP(B18,'Z1. Input tables (Assets)'!$P$5:$S$35,2,FALSE)</f>
        <v>1393.858418</v>
      </c>
      <c r="D18" s="6">
        <f t="shared" si="0"/>
        <v>0.80222026592585094</v>
      </c>
      <c r="E18" s="5">
        <f>VLOOKUP(B18,'Z1. Input tables (Assets)'!$P$5:$S$35,3,FALSE)</f>
        <v>46.395870000000002</v>
      </c>
      <c r="F18" s="6">
        <f t="shared" si="1"/>
        <v>2.6702645468588193E-2</v>
      </c>
      <c r="G18" s="5">
        <f>VLOOKUP(B18,'Z1. Input tables (Assets)'!$P$5:$S$35,4,FALSE)-SUM(E18,C18)</f>
        <v>297.24659199999996</v>
      </c>
      <c r="H18" s="6">
        <f t="shared" si="2"/>
        <v>0.17107708860556084</v>
      </c>
      <c r="I18" s="5">
        <f>VLOOKUP(B18,'Z1. Input tables (Assets)'!$P$5:$S$35,4,FALSE)</f>
        <v>1737.5008800000001</v>
      </c>
      <c r="K18" s="12" t="s">
        <v>145</v>
      </c>
      <c r="L18" s="13">
        <f>VLOOKUP($K18,'Z4. Input table (SCR and MCR)'!$A:$M,2,FALSE)</f>
        <v>1.5347900000000001</v>
      </c>
      <c r="M18" s="13">
        <f>VLOOKUP($K18,'Z4. Input table (SCR and MCR)'!$A:$M,3,FALSE)</f>
        <v>1.3878600000000001</v>
      </c>
      <c r="N18" s="13">
        <f>VLOOKUP($K18,'Z4. Input table (SCR and MCR)'!$A:$M,4,FALSE)</f>
        <v>1.47298</v>
      </c>
      <c r="O18" s="13">
        <f>VLOOKUP($K18,'Z4. Input table (SCR and MCR)'!$A:$M,5,FALSE)</f>
        <v>1.71184</v>
      </c>
      <c r="P18" s="13">
        <f>VLOOKUP($K18,'Z4. Input table (SCR and MCR)'!$A:$M,6,FALSE)</f>
        <v>1.7524999999999999</v>
      </c>
      <c r="Q18" s="13">
        <f>VLOOKUP($K18,'Z4. Input table (SCR and MCR)'!$A:$M,7,FALSE)</f>
        <v>1.80054</v>
      </c>
      <c r="R18" s="17">
        <f>VLOOKUP($K18,'Z4. Input table (SCR and MCR)'!$A:$M,8,FALSE)</f>
        <v>3.6527699999999999</v>
      </c>
      <c r="S18" s="13">
        <f>VLOOKUP($K18,'Z4. Input table (SCR and MCR)'!$A:$M,9,FALSE)</f>
        <v>1.55335</v>
      </c>
      <c r="T18" s="13">
        <f>VLOOKUP($K18,'Z4. Input table (SCR and MCR)'!$A:$M,10,FALSE)</f>
        <v>2.4026800000000001</v>
      </c>
      <c r="U18" s="13">
        <f>VLOOKUP($K18,'Z4. Input table (SCR and MCR)'!$A:$M,11,FALSE)</f>
        <v>2.9525800000000002</v>
      </c>
      <c r="V18" s="13">
        <f>VLOOKUP($K18,'Z4. Input table (SCR and MCR)'!$A:$M,12,FALSE)</f>
        <v>3.8155899999999998</v>
      </c>
      <c r="W18" s="13">
        <f>VLOOKUP($K18,'Z4. Input table (SCR and MCR)'!$A:$M,13,FALSE)</f>
        <v>4.8661099999999999</v>
      </c>
    </row>
    <row r="19" spans="2:23" x14ac:dyDescent="0.2">
      <c r="B19" s="3" t="s">
        <v>33</v>
      </c>
      <c r="C19" s="5">
        <f>VLOOKUP(B19,'Z1. Input tables (Assets)'!$P$5:$S$35,2,FALSE)</f>
        <v>90866.234257000004</v>
      </c>
      <c r="D19" s="6">
        <f>C19/SUM(C19,E19,G19)</f>
        <v>0.17554282851333036</v>
      </c>
      <c r="E19" s="5">
        <f>VLOOKUP(B19,'Z1. Input tables (Assets)'!$P$5:$S$35,3,FALSE)</f>
        <v>314786.80788099999</v>
      </c>
      <c r="F19" s="6">
        <f>E19/SUM(C19,E19,G19)</f>
        <v>0.60813091998314139</v>
      </c>
      <c r="G19" s="5">
        <f>VLOOKUP(B19,'Z1. Input tables (Assets)'!$P$5:$S$35,4,FALSE)-SUM(E19,C19)</f>
        <v>111976.95748399996</v>
      </c>
      <c r="H19" s="6">
        <f>G19/SUM(C19,E19,G19)</f>
        <v>0.21632625150352816</v>
      </c>
      <c r="I19" s="5">
        <f>VLOOKUP(B19,'Z1. Input tables (Assets)'!$P$5:$S$35,4,FALSE)</f>
        <v>517629.99962199997</v>
      </c>
      <c r="K19" s="12" t="s">
        <v>33</v>
      </c>
      <c r="L19" s="13">
        <f>VLOOKUP($K19,'Z4. Input table (SCR and MCR)'!$A:$M,2,FALSE)</f>
        <v>1.7679800000000001</v>
      </c>
      <c r="M19" s="13">
        <f>VLOOKUP($K19,'Z4. Input table (SCR and MCR)'!$A:$M,3,FALSE)</f>
        <v>1.4512499999999999</v>
      </c>
      <c r="N19" s="13">
        <f>VLOOKUP($K19,'Z4. Input table (SCR and MCR)'!$A:$M,4,FALSE)</f>
        <v>1.62277</v>
      </c>
      <c r="O19" s="13">
        <f>VLOOKUP($K19,'Z4. Input table (SCR and MCR)'!$A:$M,5,FALSE)</f>
        <v>1.9577500000000001</v>
      </c>
      <c r="P19" s="13">
        <f>VLOOKUP($K19,'Z4. Input table (SCR and MCR)'!$A:$M,6,FALSE)</f>
        <v>2.5900300000000001</v>
      </c>
      <c r="Q19" s="13">
        <f>VLOOKUP($K19,'Z4. Input table (SCR and MCR)'!$A:$M,7,FALSE)</f>
        <v>3.8986000000000001</v>
      </c>
      <c r="R19" s="17">
        <f>VLOOKUP($K19,'Z4. Input table (SCR and MCR)'!$A:$M,8,FALSE)</f>
        <v>4.8768099999999999</v>
      </c>
      <c r="S19" s="13">
        <f>VLOOKUP($K19,'Z4. Input table (SCR and MCR)'!$A:$M,9,FALSE)</f>
        <v>2.84911</v>
      </c>
      <c r="T19" s="13">
        <f>VLOOKUP($K19,'Z4. Input table (SCR and MCR)'!$A:$M,10,FALSE)</f>
        <v>3.9941599999999999</v>
      </c>
      <c r="U19" s="13">
        <f>VLOOKUP($K19,'Z4. Input table (SCR and MCR)'!$A:$M,11,FALSE)</f>
        <v>6.1104000000000003</v>
      </c>
      <c r="V19" s="13">
        <f>VLOOKUP($K19,'Z4. Input table (SCR and MCR)'!$A:$M,12,FALSE)</f>
        <v>7.7522900000000003</v>
      </c>
      <c r="W19" s="13">
        <f>VLOOKUP($K19,'Z4. Input table (SCR and MCR)'!$A:$M,13,FALSE)</f>
        <v>10.15104</v>
      </c>
    </row>
    <row r="20" spans="2:23" x14ac:dyDescent="0.2">
      <c r="B20" s="3" t="s">
        <v>34</v>
      </c>
      <c r="C20" s="5">
        <f>VLOOKUP(B20,'Z1. Input tables (Assets)'!$P$5:$S$35,2,FALSE)</f>
        <v>728369.37611499999</v>
      </c>
      <c r="D20" s="6">
        <f t="shared" ref="D20" si="3">C20/SUM(C20,E20,G20)</f>
        <v>0.66297992314672083</v>
      </c>
      <c r="E20" s="5">
        <f>VLOOKUP(B20,'Z1. Input tables (Assets)'!$P$5:$S$35,3,FALSE)</f>
        <v>282177.47363399999</v>
      </c>
      <c r="F20" s="6">
        <f t="shared" ref="F20" si="4">E20/SUM(C20,E20,G20)</f>
        <v>0.25684495520864398</v>
      </c>
      <c r="G20" s="5">
        <f>VLOOKUP(B20,'Z1. Input tables (Assets)'!$P$5:$S$35,4,FALSE)-SUM(E20,C20)</f>
        <v>88082.762830999913</v>
      </c>
      <c r="H20" s="6">
        <f t="shared" ref="H20" si="5">G20/SUM(C20,E20,G20)</f>
        <v>8.0175121644635181E-2</v>
      </c>
      <c r="I20" s="5">
        <f>VLOOKUP(B20,'Z1. Input tables (Assets)'!$P$5:$S$35,4,FALSE)</f>
        <v>1098629.61258</v>
      </c>
      <c r="K20" s="12" t="s">
        <v>34</v>
      </c>
      <c r="L20" s="13">
        <f>VLOOKUP($K20,'Z4. Input table (SCR and MCR)'!$A:$M,2,FALSE)</f>
        <v>2.5941399999999999</v>
      </c>
      <c r="M20" s="13">
        <f>VLOOKUP($K20,'Z4. Input table (SCR and MCR)'!$A:$M,3,FALSE)</f>
        <v>1.6204499999999999</v>
      </c>
      <c r="N20" s="13">
        <f>VLOOKUP($K20,'Z4. Input table (SCR and MCR)'!$A:$M,4,FALSE)</f>
        <v>1.83321</v>
      </c>
      <c r="O20" s="13">
        <f>VLOOKUP($K20,'Z4. Input table (SCR and MCR)'!$A:$M,5,FALSE)</f>
        <v>2.29541</v>
      </c>
      <c r="P20" s="13">
        <f>VLOOKUP($K20,'Z4. Input table (SCR and MCR)'!$A:$M,6,FALSE)</f>
        <v>2.7270400000000001</v>
      </c>
      <c r="Q20" s="13">
        <f>VLOOKUP($K20,'Z4. Input table (SCR and MCR)'!$A:$M,7,FALSE)</f>
        <v>3.4649299999999998</v>
      </c>
      <c r="R20" s="17">
        <f>VLOOKUP($K20,'Z4. Input table (SCR and MCR)'!$A:$M,8,FALSE)</f>
        <v>6.4206300000000001</v>
      </c>
      <c r="S20" s="13">
        <f>VLOOKUP($K20,'Z4. Input table (SCR and MCR)'!$A:$M,9,FALSE)</f>
        <v>3.3764500000000002</v>
      </c>
      <c r="T20" s="13">
        <f>VLOOKUP($K20,'Z4. Input table (SCR and MCR)'!$A:$M,10,FALSE)</f>
        <v>3.9742500000000001</v>
      </c>
      <c r="U20" s="13">
        <f>VLOOKUP($K20,'Z4. Input table (SCR and MCR)'!$A:$M,11,FALSE)</f>
        <v>5.52034</v>
      </c>
      <c r="V20" s="13">
        <f>VLOOKUP($K20,'Z4. Input table (SCR and MCR)'!$A:$M,12,FALSE)</f>
        <v>6.7379899999999999</v>
      </c>
      <c r="W20" s="13">
        <f>VLOOKUP($K20,'Z4. Input table (SCR and MCR)'!$A:$M,13,FALSE)</f>
        <v>8.6202199999999998</v>
      </c>
    </row>
    <row r="21" spans="2:23" x14ac:dyDescent="0.2">
      <c r="B21" s="3" t="s">
        <v>35</v>
      </c>
      <c r="C21" s="5">
        <f>VLOOKUP(B21,'Z1. Input tables (Assets)'!$P$5:$S$35,2,FALSE)</f>
        <v>927.43941500000005</v>
      </c>
      <c r="D21" s="6">
        <f>C21/SUM(C21,E21,G21)</f>
        <v>0.54460426803622852</v>
      </c>
      <c r="E21" s="5">
        <f>VLOOKUP(B21,'Z1. Input tables (Assets)'!$P$5:$S$35,3,FALSE)</f>
        <v>499.99280800000003</v>
      </c>
      <c r="F21" s="6">
        <f>E21/SUM(C21,E21,G21)</f>
        <v>0.29360216184495297</v>
      </c>
      <c r="G21" s="5">
        <f>VLOOKUP(B21,'Z1. Input tables (Assets)'!$P$5:$S$35,4,FALSE)-SUM(E21,C21)</f>
        <v>275.52801700000009</v>
      </c>
      <c r="H21" s="6">
        <f>G21/SUM(C21,E21,G21)</f>
        <v>0.16179357011881856</v>
      </c>
      <c r="I21" s="5">
        <f>VLOOKUP(B21,'Z1. Input tables (Assets)'!$P$5:$S$35,4,FALSE)</f>
        <v>1702.9602400000001</v>
      </c>
      <c r="K21" s="12" t="s">
        <v>35</v>
      </c>
      <c r="L21" s="13">
        <f>VLOOKUP($K21,'Z4. Input table (SCR and MCR)'!$A:$M,2,FALSE)</f>
        <v>1.50553</v>
      </c>
      <c r="M21" s="13">
        <f>VLOOKUP($K21,'Z4. Input table (SCR and MCR)'!$A:$M,3,FALSE)</f>
        <v>1.3372999999999999</v>
      </c>
      <c r="N21" s="13">
        <f>VLOOKUP($K21,'Z4. Input table (SCR and MCR)'!$A:$M,4,FALSE)</f>
        <v>1.3530899999999999</v>
      </c>
      <c r="O21" s="13">
        <f>VLOOKUP($K21,'Z4. Input table (SCR and MCR)'!$A:$M,5,FALSE)</f>
        <v>1.4907999999999999</v>
      </c>
      <c r="P21" s="13">
        <f>VLOOKUP($K21,'Z4. Input table (SCR and MCR)'!$A:$M,6,FALSE)</f>
        <v>1.6792100000000001</v>
      </c>
      <c r="Q21" s="13">
        <f>VLOOKUP($K21,'Z4. Input table (SCR and MCR)'!$A:$M,7,FALSE)</f>
        <v>2.1331500000000001</v>
      </c>
      <c r="R21" s="17">
        <f>VLOOKUP($K21,'Z4. Input table (SCR and MCR)'!$A:$M,8,FALSE)</f>
        <v>3.28186</v>
      </c>
      <c r="S21" s="13">
        <f>VLOOKUP($K21,'Z4. Input table (SCR and MCR)'!$A:$M,9,FALSE)</f>
        <v>1.9911399999999999</v>
      </c>
      <c r="T21" s="13">
        <f>VLOOKUP($K21,'Z4. Input table (SCR and MCR)'!$A:$M,10,FALSE)</f>
        <v>2.56508</v>
      </c>
      <c r="U21" s="13">
        <f>VLOOKUP($K21,'Z4. Input table (SCR and MCR)'!$A:$M,11,FALSE)</f>
        <v>2.9177499999999998</v>
      </c>
      <c r="V21" s="13">
        <f>VLOOKUP($K21,'Z4. Input table (SCR and MCR)'!$A:$M,12,FALSE)</f>
        <v>3.44171</v>
      </c>
      <c r="W21" s="13">
        <f>VLOOKUP($K21,'Z4. Input table (SCR and MCR)'!$A:$M,13,FALSE)</f>
        <v>4.7385700000000002</v>
      </c>
    </row>
    <row r="22" spans="2:23" x14ac:dyDescent="0.2">
      <c r="B22" s="3" t="s">
        <v>36</v>
      </c>
      <c r="C22" s="5">
        <f>VLOOKUP(B22,'Z1. Input tables (Assets)'!$P$5:$S$35,2,FALSE)</f>
        <v>4593.2833909999999</v>
      </c>
      <c r="D22" s="6">
        <f t="shared" ref="D22:D34" si="6">C22/SUM(C22,E22,G22)</f>
        <v>0.15822720078295863</v>
      </c>
      <c r="E22" s="5">
        <f>VLOOKUP(B22,'Z1. Input tables (Assets)'!$P$5:$S$35,3,FALSE)</f>
        <v>14731.315339999999</v>
      </c>
      <c r="F22" s="6">
        <f t="shared" ref="F22:F34" si="7">E22/SUM(C22,E22,G22)</f>
        <v>0.50745721343176287</v>
      </c>
      <c r="G22" s="5">
        <f>VLOOKUP(B22,'Z1. Input tables (Assets)'!$P$5:$S$35,4,FALSE)-SUM(E22,C22)</f>
        <v>9705.0710620000027</v>
      </c>
      <c r="H22" s="6">
        <f t="shared" ref="H22:H34" si="8">G22/SUM(C22,E22,G22)</f>
        <v>0.33431558578527859</v>
      </c>
      <c r="I22" s="5">
        <f>VLOOKUP(B22,'Z1. Input tables (Assets)'!$P$5:$S$35,4,FALSE)</f>
        <v>29029.669793000001</v>
      </c>
      <c r="K22" s="12" t="s">
        <v>36</v>
      </c>
      <c r="L22" s="13">
        <f>VLOOKUP($K22,'Z4. Input table (SCR and MCR)'!$A:$M,2,FALSE)</f>
        <v>1.85178</v>
      </c>
      <c r="M22" s="13">
        <f>VLOOKUP($K22,'Z4. Input table (SCR and MCR)'!$A:$M,3,FALSE)</f>
        <v>1.4580299999999999</v>
      </c>
      <c r="N22" s="13">
        <f>VLOOKUP($K22,'Z4. Input table (SCR and MCR)'!$A:$M,4,FALSE)</f>
        <v>1.6014600000000001</v>
      </c>
      <c r="O22" s="13">
        <f>VLOOKUP($K22,'Z4. Input table (SCR and MCR)'!$A:$M,5,FALSE)</f>
        <v>2.1682999999999999</v>
      </c>
      <c r="P22" s="13">
        <f>VLOOKUP($K22,'Z4. Input table (SCR and MCR)'!$A:$M,6,FALSE)</f>
        <v>2.7614999999999998</v>
      </c>
      <c r="Q22" s="13">
        <f>VLOOKUP($K22,'Z4. Input table (SCR and MCR)'!$A:$M,7,FALSE)</f>
        <v>4.2731899999999996</v>
      </c>
      <c r="R22" s="17">
        <f>VLOOKUP($K22,'Z4. Input table (SCR and MCR)'!$A:$M,8,FALSE)</f>
        <v>5.4588099999999997</v>
      </c>
      <c r="S22" s="13">
        <f>VLOOKUP($K22,'Z4. Input table (SCR and MCR)'!$A:$M,9,FALSE)</f>
        <v>2.56094</v>
      </c>
      <c r="T22" s="13">
        <f>VLOOKUP($K22,'Z4. Input table (SCR and MCR)'!$A:$M,10,FALSE)</f>
        <v>3.4613299999999998</v>
      </c>
      <c r="U22" s="13">
        <f>VLOOKUP($K22,'Z4. Input table (SCR and MCR)'!$A:$M,11,FALSE)</f>
        <v>5.4875699999999998</v>
      </c>
      <c r="V22" s="13">
        <f>VLOOKUP($K22,'Z4. Input table (SCR and MCR)'!$A:$M,12,FALSE)</f>
        <v>8.6190999999999995</v>
      </c>
      <c r="W22" s="13">
        <f>VLOOKUP($K22,'Z4. Input table (SCR and MCR)'!$A:$M,13,FALSE)</f>
        <v>10.9925</v>
      </c>
    </row>
    <row r="23" spans="2:23" x14ac:dyDescent="0.2">
      <c r="B23" s="3" t="s">
        <v>37</v>
      </c>
      <c r="C23" s="5">
        <f>VLOOKUP(B23,'Z1. Input tables (Assets)'!$P$5:$S$35,2,FALSE)</f>
        <v>1121.942677</v>
      </c>
      <c r="D23" s="6">
        <f t="shared" si="6"/>
        <v>0.55816263315195325</v>
      </c>
      <c r="E23" s="5">
        <f>VLOOKUP(B23,'Z1. Input tables (Assets)'!$P$5:$S$35,3,FALSE)</f>
        <v>659.91426200000001</v>
      </c>
      <c r="F23" s="6">
        <f t="shared" si="7"/>
        <v>0.32830508160841443</v>
      </c>
      <c r="G23" s="5">
        <f>VLOOKUP(B23,'Z1. Input tables (Assets)'!$P$5:$S$35,4,FALSE)-SUM(E23,C23)</f>
        <v>228.2071719999999</v>
      </c>
      <c r="H23" s="6">
        <f t="shared" si="8"/>
        <v>0.1135322852396323</v>
      </c>
      <c r="I23" s="5">
        <f>VLOOKUP(B23,'Z1. Input tables (Assets)'!$P$5:$S$35,4,FALSE)</f>
        <v>2010.0641109999999</v>
      </c>
      <c r="K23" s="12" t="s">
        <v>37</v>
      </c>
      <c r="L23" s="13">
        <f>VLOOKUP($K23,'Z4. Input table (SCR and MCR)'!$A:$M,2,FALSE)</f>
        <v>1.6863699999999999</v>
      </c>
      <c r="M23" s="13">
        <f>VLOOKUP($K23,'Z4. Input table (SCR and MCR)'!$A:$M,3,FALSE)</f>
        <v>1.4217900000000001</v>
      </c>
      <c r="N23" s="13">
        <f>VLOOKUP($K23,'Z4. Input table (SCR and MCR)'!$A:$M,4,FALSE)</f>
        <v>1.5623100000000001</v>
      </c>
      <c r="O23" s="13">
        <f>VLOOKUP($K23,'Z4. Input table (SCR and MCR)'!$A:$M,5,FALSE)</f>
        <v>1.8976599999999999</v>
      </c>
      <c r="P23" s="13">
        <f>VLOOKUP($K23,'Z4. Input table (SCR and MCR)'!$A:$M,6,FALSE)</f>
        <v>2.0264799999999998</v>
      </c>
      <c r="Q23" s="13">
        <f>VLOOKUP($K23,'Z4. Input table (SCR and MCR)'!$A:$M,7,FALSE)</f>
        <v>2.09206</v>
      </c>
      <c r="R23" s="17">
        <f>VLOOKUP($K23,'Z4. Input table (SCR and MCR)'!$A:$M,8,FALSE)</f>
        <v>4.3880699999999999</v>
      </c>
      <c r="S23" s="13">
        <f>VLOOKUP($K23,'Z4. Input table (SCR and MCR)'!$A:$M,9,FALSE)</f>
        <v>2.3268599999999999</v>
      </c>
      <c r="T23" s="13">
        <f>VLOOKUP($K23,'Z4. Input table (SCR and MCR)'!$A:$M,10,FALSE)</f>
        <v>2.9503200000000001</v>
      </c>
      <c r="U23" s="13">
        <f>VLOOKUP($K23,'Z4. Input table (SCR and MCR)'!$A:$M,11,FALSE)</f>
        <v>5.36815</v>
      </c>
      <c r="V23" s="13">
        <f>VLOOKUP($K23,'Z4. Input table (SCR and MCR)'!$A:$M,12,FALSE)</f>
        <v>7.8947700000000003</v>
      </c>
      <c r="W23" s="13">
        <f>VLOOKUP($K23,'Z4. Input table (SCR and MCR)'!$A:$M,13,FALSE)</f>
        <v>8.1166300000000007</v>
      </c>
    </row>
    <row r="24" spans="2:23" x14ac:dyDescent="0.2">
      <c r="B24" s="3" t="s">
        <v>38</v>
      </c>
      <c r="C24" s="5">
        <f>VLOOKUP(B24,'Z1. Input tables (Assets)'!$P$5:$S$35,2,FALSE)</f>
        <v>76292.587954000002</v>
      </c>
      <c r="D24" s="6">
        <f t="shared" si="6"/>
        <v>0.22005803581203864</v>
      </c>
      <c r="E24" s="5">
        <f>VLOOKUP(B24,'Z1. Input tables (Assets)'!$P$5:$S$35,3,FALSE)</f>
        <v>192461.46264099999</v>
      </c>
      <c r="F24" s="6">
        <f t="shared" si="7"/>
        <v>0.55513507372205972</v>
      </c>
      <c r="G24" s="5">
        <f>VLOOKUP(B24,'Z1. Input tables (Assets)'!$P$5:$S$35,4,FALSE)-SUM(E24,C24)</f>
        <v>77938.982779000013</v>
      </c>
      <c r="H24" s="6">
        <f t="shared" si="8"/>
        <v>0.22480689046590169</v>
      </c>
      <c r="I24" s="5">
        <f>VLOOKUP(B24,'Z1. Input tables (Assets)'!$P$5:$S$35,4,FALSE)</f>
        <v>346693.03337399999</v>
      </c>
      <c r="K24" s="12" t="s">
        <v>38</v>
      </c>
      <c r="L24" s="13">
        <f>VLOOKUP($K24,'Z4. Input table (SCR and MCR)'!$A:$M,2,FALSE)</f>
        <v>2.1276000000000002</v>
      </c>
      <c r="M24" s="13">
        <f>VLOOKUP($K24,'Z4. Input table (SCR and MCR)'!$A:$M,3,FALSE)</f>
        <v>1.3179000000000001</v>
      </c>
      <c r="N24" s="13">
        <f>VLOOKUP($K24,'Z4. Input table (SCR and MCR)'!$A:$M,4,FALSE)</f>
        <v>1.5847599999999999</v>
      </c>
      <c r="O24" s="13">
        <f>VLOOKUP($K24,'Z4. Input table (SCR and MCR)'!$A:$M,5,FALSE)</f>
        <v>2.1259999999999999</v>
      </c>
      <c r="P24" s="13">
        <f>VLOOKUP($K24,'Z4. Input table (SCR and MCR)'!$A:$M,6,FALSE)</f>
        <v>2.9752200000000002</v>
      </c>
      <c r="Q24" s="13">
        <f>VLOOKUP($K24,'Z4. Input table (SCR and MCR)'!$A:$M,7,FALSE)</f>
        <v>4.12174</v>
      </c>
      <c r="R24" s="17">
        <f>VLOOKUP($K24,'Z4. Input table (SCR and MCR)'!$A:$M,8,FALSE)</f>
        <v>6.0947699999999996</v>
      </c>
      <c r="S24" s="13">
        <f>VLOOKUP($K24,'Z4. Input table (SCR and MCR)'!$A:$M,9,FALSE)</f>
        <v>3.2408800000000002</v>
      </c>
      <c r="T24" s="13">
        <f>VLOOKUP($K24,'Z4. Input table (SCR and MCR)'!$A:$M,10,FALSE)</f>
        <v>4.7873799999999997</v>
      </c>
      <c r="U24" s="13">
        <f>VLOOKUP($K24,'Z4. Input table (SCR and MCR)'!$A:$M,11,FALSE)</f>
        <v>6.7055899999999999</v>
      </c>
      <c r="V24" s="13">
        <f>VLOOKUP($K24,'Z4. Input table (SCR and MCR)'!$A:$M,12,FALSE)</f>
        <v>9.5182099999999998</v>
      </c>
      <c r="W24" s="13">
        <f>VLOOKUP($K24,'Z4. Input table (SCR and MCR)'!$A:$M,13,FALSE)</f>
        <v>13.75755</v>
      </c>
    </row>
    <row r="25" spans="2:23" x14ac:dyDescent="0.2">
      <c r="B25" s="3" t="s">
        <v>39</v>
      </c>
      <c r="C25" s="5">
        <f>VLOOKUP(B25,'Z1. Input tables (Assets)'!$P$5:$S$35,2,FALSE)</f>
        <v>8501.7582289999991</v>
      </c>
      <c r="D25" s="6">
        <f t="shared" si="6"/>
        <v>0.49840026966962586</v>
      </c>
      <c r="E25" s="5">
        <f>VLOOKUP(B25,'Z1. Input tables (Assets)'!$P$5:$S$35,3,FALSE)</f>
        <v>762.21061799999995</v>
      </c>
      <c r="F25" s="6">
        <f t="shared" si="7"/>
        <v>4.4683225201634022E-2</v>
      </c>
      <c r="G25" s="5">
        <f>VLOOKUP(B25,'Z1. Input tables (Assets)'!$P$5:$S$35,4,FALSE)-SUM(E25,C25)</f>
        <v>7794.1243090000007</v>
      </c>
      <c r="H25" s="6">
        <f t="shared" si="8"/>
        <v>0.45691650512874016</v>
      </c>
      <c r="I25" s="5">
        <f>VLOOKUP(B25,'Z1. Input tables (Assets)'!$P$5:$S$35,4,FALSE)</f>
        <v>17058.093155999999</v>
      </c>
      <c r="K25" s="12" t="s">
        <v>39</v>
      </c>
      <c r="L25" s="13">
        <f>VLOOKUP($K25,'Z4. Input table (SCR and MCR)'!$A:$M,2,FALSE)</f>
        <v>2.4567600000000001</v>
      </c>
      <c r="M25" s="13">
        <f>VLOOKUP($K25,'Z4. Input table (SCR and MCR)'!$A:$M,3,FALSE)</f>
        <v>1.2890600000000001</v>
      </c>
      <c r="N25" s="13">
        <f>VLOOKUP($K25,'Z4. Input table (SCR and MCR)'!$A:$M,4,FALSE)</f>
        <v>1.5292399999999999</v>
      </c>
      <c r="O25" s="13">
        <f>VLOOKUP($K25,'Z4. Input table (SCR and MCR)'!$A:$M,5,FALSE)</f>
        <v>2.23963</v>
      </c>
      <c r="P25" s="13">
        <f>VLOOKUP($K25,'Z4. Input table (SCR and MCR)'!$A:$M,6,FALSE)</f>
        <v>2.8994300000000002</v>
      </c>
      <c r="Q25" s="13">
        <f>VLOOKUP($K25,'Z4. Input table (SCR and MCR)'!$A:$M,7,FALSE)</f>
        <v>3.9006099999999999</v>
      </c>
      <c r="R25" s="17">
        <f>VLOOKUP($K25,'Z4. Input table (SCR and MCR)'!$A:$M,8,FALSE)</f>
        <v>6.3864000000000001</v>
      </c>
      <c r="S25" s="13">
        <f>VLOOKUP($K25,'Z4. Input table (SCR and MCR)'!$A:$M,9,FALSE)</f>
        <v>1.6596299999999999</v>
      </c>
      <c r="T25" s="13">
        <f>VLOOKUP($K25,'Z4. Input table (SCR and MCR)'!$A:$M,10,FALSE)</f>
        <v>3.3233899999999998</v>
      </c>
      <c r="U25" s="13">
        <f>VLOOKUP($K25,'Z4. Input table (SCR and MCR)'!$A:$M,11,FALSE)</f>
        <v>4.2083000000000004</v>
      </c>
      <c r="V25" s="13">
        <f>VLOOKUP($K25,'Z4. Input table (SCR and MCR)'!$A:$M,12,FALSE)</f>
        <v>6.8111899999999999</v>
      </c>
      <c r="W25" s="13">
        <f>VLOOKUP($K25,'Z4. Input table (SCR and MCR)'!$A:$M,13,FALSE)</f>
        <v>8.4498300000000004</v>
      </c>
    </row>
    <row r="26" spans="2:23" x14ac:dyDescent="0.2">
      <c r="B26" s="3" t="s">
        <v>40</v>
      </c>
      <c r="C26" s="5">
        <f>VLOOKUP(B26,'Z1. Input tables (Assets)'!$P$5:$S$35,2,FALSE)</f>
        <v>241712.74729500001</v>
      </c>
      <c r="D26" s="6">
        <f t="shared" si="6"/>
        <v>0.52885338818361372</v>
      </c>
      <c r="E26" s="5">
        <f>VLOOKUP(B26,'Z1. Input tables (Assets)'!$P$5:$S$35,3,FALSE)</f>
        <v>91897.360906000002</v>
      </c>
      <c r="F26" s="6">
        <f t="shared" si="7"/>
        <v>0.20106606384708367</v>
      </c>
      <c r="G26" s="5">
        <f>VLOOKUP(B26,'Z1. Input tables (Assets)'!$P$5:$S$35,4,FALSE)-SUM(E26,C26)</f>
        <v>123440.47083599999</v>
      </c>
      <c r="H26" s="6">
        <f t="shared" si="8"/>
        <v>0.27008054796930253</v>
      </c>
      <c r="I26" s="5">
        <f>VLOOKUP(B26,'Z1. Input tables (Assets)'!$P$5:$S$35,4,FALSE)</f>
        <v>457050.57903700002</v>
      </c>
      <c r="K26" s="12" t="s">
        <v>40</v>
      </c>
      <c r="L26" s="13">
        <f>VLOOKUP($K26,'Z4. Input table (SCR and MCR)'!$A:$M,2,FALSE)</f>
        <v>1.86097</v>
      </c>
      <c r="M26" s="13">
        <f>VLOOKUP($K26,'Z4. Input table (SCR and MCR)'!$A:$M,3,FALSE)</f>
        <v>1.3990400000000001</v>
      </c>
      <c r="N26" s="13">
        <f>VLOOKUP($K26,'Z4. Input table (SCR and MCR)'!$A:$M,4,FALSE)</f>
        <v>1.6295200000000001</v>
      </c>
      <c r="O26" s="13">
        <f>VLOOKUP($K26,'Z4. Input table (SCR and MCR)'!$A:$M,5,FALSE)</f>
        <v>1.9690799999999999</v>
      </c>
      <c r="P26" s="13">
        <f>VLOOKUP($K26,'Z4. Input table (SCR and MCR)'!$A:$M,6,FALSE)</f>
        <v>2.5082800000000001</v>
      </c>
      <c r="Q26" s="13">
        <f>VLOOKUP($K26,'Z4. Input table (SCR and MCR)'!$A:$M,7,FALSE)</f>
        <v>3.1126299999999998</v>
      </c>
      <c r="R26" s="17">
        <f>VLOOKUP($K26,'Z4. Input table (SCR and MCR)'!$A:$M,8,FALSE)</f>
        <v>4.5115699999999999</v>
      </c>
      <c r="S26" s="13">
        <f>VLOOKUP($K26,'Z4. Input table (SCR and MCR)'!$A:$M,9,FALSE)</f>
        <v>3.05905</v>
      </c>
      <c r="T26" s="13">
        <f>VLOOKUP($K26,'Z4. Input table (SCR and MCR)'!$A:$M,10,FALSE)</f>
        <v>3.61659</v>
      </c>
      <c r="U26" s="13">
        <f>VLOOKUP($K26,'Z4. Input table (SCR and MCR)'!$A:$M,11,FALSE)</f>
        <v>4.6002799999999997</v>
      </c>
      <c r="V26" s="13">
        <f>VLOOKUP($K26,'Z4. Input table (SCR and MCR)'!$A:$M,12,FALSE)</f>
        <v>7.9867800000000004</v>
      </c>
      <c r="W26" s="13">
        <f>VLOOKUP($K26,'Z4. Input table (SCR and MCR)'!$A:$M,13,FALSE)</f>
        <v>10.226789999999999</v>
      </c>
    </row>
    <row r="27" spans="2:23" x14ac:dyDescent="0.2">
      <c r="B27" s="3" t="s">
        <v>41</v>
      </c>
      <c r="C27" s="5">
        <f>VLOOKUP(B27,'Z1. Input tables (Assets)'!$P$5:$S$35,2,FALSE)</f>
        <v>136881.85891800001</v>
      </c>
      <c r="D27" s="6">
        <f t="shared" si="6"/>
        <v>0.58901815576361261</v>
      </c>
      <c r="E27" s="5">
        <f>VLOOKUP(B27,'Z1. Input tables (Assets)'!$P$5:$S$35,3,FALSE)</f>
        <v>70371.933571000001</v>
      </c>
      <c r="F27" s="6">
        <f t="shared" si="7"/>
        <v>0.30281840747312599</v>
      </c>
      <c r="G27" s="5">
        <f>VLOOKUP(B27,'Z1. Input tables (Assets)'!$P$5:$S$35,4,FALSE)-SUM(E27,C27)</f>
        <v>25136.088159999985</v>
      </c>
      <c r="H27" s="6">
        <f t="shared" si="8"/>
        <v>0.10816343676326144</v>
      </c>
      <c r="I27" s="5">
        <f>VLOOKUP(B27,'Z1. Input tables (Assets)'!$P$5:$S$35,4,FALSE)</f>
        <v>232389.880649</v>
      </c>
      <c r="K27" s="12" t="s">
        <v>41</v>
      </c>
      <c r="L27" s="13">
        <f>VLOOKUP($K27,'Z4. Input table (SCR and MCR)'!$A:$M,2,FALSE)</f>
        <v>2.50468</v>
      </c>
      <c r="M27" s="13">
        <f>VLOOKUP($K27,'Z4. Input table (SCR and MCR)'!$A:$M,3,FALSE)</f>
        <v>1.5223500000000001</v>
      </c>
      <c r="N27" s="13">
        <f>VLOOKUP($K27,'Z4. Input table (SCR and MCR)'!$A:$M,4,FALSE)</f>
        <v>1.9264699999999999</v>
      </c>
      <c r="O27" s="13">
        <f>VLOOKUP($K27,'Z4. Input table (SCR and MCR)'!$A:$M,5,FALSE)</f>
        <v>2.3667799999999999</v>
      </c>
      <c r="P27" s="13">
        <f>VLOOKUP($K27,'Z4. Input table (SCR and MCR)'!$A:$M,6,FALSE)</f>
        <v>2.7220499999999999</v>
      </c>
      <c r="Q27" s="13">
        <f>VLOOKUP($K27,'Z4. Input table (SCR and MCR)'!$A:$M,7,FALSE)</f>
        <v>3.4516800000000001</v>
      </c>
      <c r="R27" s="17">
        <f>VLOOKUP($K27,'Z4. Input table (SCR and MCR)'!$A:$M,8,FALSE)</f>
        <v>6.2124100000000002</v>
      </c>
      <c r="S27" s="13">
        <f>VLOOKUP($K27,'Z4. Input table (SCR and MCR)'!$A:$M,9,FALSE)</f>
        <v>3.0121699999999998</v>
      </c>
      <c r="T27" s="13">
        <f>VLOOKUP($K27,'Z4. Input table (SCR and MCR)'!$A:$M,10,FALSE)</f>
        <v>3.7295600000000002</v>
      </c>
      <c r="U27" s="13">
        <f>VLOOKUP($K27,'Z4. Input table (SCR and MCR)'!$A:$M,11,FALSE)</f>
        <v>5.5295399999999999</v>
      </c>
      <c r="V27" s="13">
        <f>VLOOKUP($K27,'Z4. Input table (SCR and MCR)'!$A:$M,12,FALSE)</f>
        <v>7.6311799999999996</v>
      </c>
      <c r="W27" s="13">
        <f>VLOOKUP($K27,'Z4. Input table (SCR and MCR)'!$A:$M,13,FALSE)</f>
        <v>10.846550000000001</v>
      </c>
    </row>
    <row r="28" spans="2:23" x14ac:dyDescent="0.2">
      <c r="B28" s="3" t="s">
        <v>42</v>
      </c>
      <c r="C28" s="5">
        <f>VLOOKUP(B28,'Z1. Input tables (Assets)'!$P$5:$S$35,2,FALSE)</f>
        <v>35577.331296999997</v>
      </c>
      <c r="D28" s="6">
        <f t="shared" si="6"/>
        <v>0.69353763489033793</v>
      </c>
      <c r="E28" s="5">
        <f>VLOOKUP(B28,'Z1. Input tables (Assets)'!$P$5:$S$35,3,FALSE)</f>
        <v>9107.6013610000009</v>
      </c>
      <c r="F28" s="6">
        <f t="shared" si="7"/>
        <v>0.17754182444720323</v>
      </c>
      <c r="G28" s="5">
        <f>VLOOKUP(B28,'Z1. Input tables (Assets)'!$P$5:$S$35,4,FALSE)-SUM(E28,C28)</f>
        <v>6613.4100810000018</v>
      </c>
      <c r="H28" s="6">
        <f t="shared" si="8"/>
        <v>0.12892054066245889</v>
      </c>
      <c r="I28" s="5">
        <f>VLOOKUP(B28,'Z1. Input tables (Assets)'!$P$5:$S$35,4,FALSE)</f>
        <v>51298.342739</v>
      </c>
      <c r="K28" s="12" t="s">
        <v>42</v>
      </c>
      <c r="L28" s="13">
        <f>VLOOKUP($K28,'Z4. Input table (SCR and MCR)'!$A:$M,2,FALSE)</f>
        <v>2.2952699999999999</v>
      </c>
      <c r="M28" s="13">
        <f>VLOOKUP($K28,'Z4. Input table (SCR and MCR)'!$A:$M,3,FALSE)</f>
        <v>1.5915299999999999</v>
      </c>
      <c r="N28" s="13">
        <f>VLOOKUP($K28,'Z4. Input table (SCR and MCR)'!$A:$M,4,FALSE)</f>
        <v>1.7316400000000001</v>
      </c>
      <c r="O28" s="13">
        <f>VLOOKUP($K28,'Z4. Input table (SCR and MCR)'!$A:$M,5,FALSE)</f>
        <v>2.0360499999999999</v>
      </c>
      <c r="P28" s="13">
        <f>VLOOKUP($K28,'Z4. Input table (SCR and MCR)'!$A:$M,6,FALSE)</f>
        <v>2.4304700000000001</v>
      </c>
      <c r="Q28" s="13">
        <f>VLOOKUP($K28,'Z4. Input table (SCR and MCR)'!$A:$M,7,FALSE)</f>
        <v>2.9496500000000001</v>
      </c>
      <c r="R28" s="17">
        <f>VLOOKUP($K28,'Z4. Input table (SCR and MCR)'!$A:$M,8,FALSE)</f>
        <v>6.4922599999999999</v>
      </c>
      <c r="S28" s="13">
        <f>VLOOKUP($K28,'Z4. Input table (SCR and MCR)'!$A:$M,9,FALSE)</f>
        <v>2.2635999999999998</v>
      </c>
      <c r="T28" s="13">
        <f>VLOOKUP($K28,'Z4. Input table (SCR and MCR)'!$A:$M,10,FALSE)</f>
        <v>3.7591299999999999</v>
      </c>
      <c r="U28" s="13">
        <f>VLOOKUP($K28,'Z4. Input table (SCR and MCR)'!$A:$M,11,FALSE)</f>
        <v>5.0838700000000001</v>
      </c>
      <c r="V28" s="13">
        <f>VLOOKUP($K28,'Z4. Input table (SCR and MCR)'!$A:$M,12,FALSE)</f>
        <v>7.0058499999999997</v>
      </c>
      <c r="W28" s="13">
        <f>VLOOKUP($K28,'Z4. Input table (SCR and MCR)'!$A:$M,13,FALSE)</f>
        <v>8.9524699999999999</v>
      </c>
    </row>
    <row r="29" spans="2:23" x14ac:dyDescent="0.2">
      <c r="B29" s="3" t="s">
        <v>43</v>
      </c>
      <c r="C29" s="5">
        <f>VLOOKUP(B29,'Z1. Input tables (Assets)'!$P$5:$S$35,2,FALSE)</f>
        <v>32675.045372</v>
      </c>
      <c r="D29" s="6">
        <f t="shared" si="6"/>
        <v>0.59671825924878463</v>
      </c>
      <c r="E29" s="5">
        <f>VLOOKUP(B29,'Z1. Input tables (Assets)'!$P$5:$S$35,3,FALSE)</f>
        <v>17539.269478999999</v>
      </c>
      <c r="F29" s="6">
        <f t="shared" si="7"/>
        <v>0.32030567158669582</v>
      </c>
      <c r="G29" s="5">
        <f>VLOOKUP(B29,'Z1. Input tables (Assets)'!$P$5:$S$35,4,FALSE)-SUM(E29,C29)</f>
        <v>4543.5962159999981</v>
      </c>
      <c r="H29" s="6">
        <f t="shared" si="8"/>
        <v>8.2976069164519467E-2</v>
      </c>
      <c r="I29" s="5">
        <f>VLOOKUP(B29,'Z1. Input tables (Assets)'!$P$5:$S$35,4,FALSE)</f>
        <v>54757.911067000001</v>
      </c>
      <c r="K29" s="12" t="s">
        <v>43</v>
      </c>
      <c r="L29" s="13">
        <f>VLOOKUP($K29,'Z4. Input table (SCR and MCR)'!$A:$M,2,FALSE)</f>
        <v>2.0766800000000001</v>
      </c>
      <c r="M29" s="13">
        <f>VLOOKUP($K29,'Z4. Input table (SCR and MCR)'!$A:$M,3,FALSE)</f>
        <v>1.4876</v>
      </c>
      <c r="N29" s="13">
        <f>VLOOKUP($K29,'Z4. Input table (SCR and MCR)'!$A:$M,4,FALSE)</f>
        <v>1.7074800000000001</v>
      </c>
      <c r="O29" s="13">
        <f>VLOOKUP($K29,'Z4. Input table (SCR and MCR)'!$A:$M,5,FALSE)</f>
        <v>2.0897999999999999</v>
      </c>
      <c r="P29" s="13">
        <f>VLOOKUP($K29,'Z4. Input table (SCR and MCR)'!$A:$M,6,FALSE)</f>
        <v>2.5329899999999999</v>
      </c>
      <c r="Q29" s="13">
        <f>VLOOKUP($K29,'Z4. Input table (SCR and MCR)'!$A:$M,7,FALSE)</f>
        <v>3.8379799999999999</v>
      </c>
      <c r="R29" s="17">
        <f>VLOOKUP($K29,'Z4. Input table (SCR and MCR)'!$A:$M,8,FALSE)</f>
        <v>5.4581299999999997</v>
      </c>
      <c r="S29" s="13">
        <f>VLOOKUP($K29,'Z4. Input table (SCR and MCR)'!$A:$M,9,FALSE)</f>
        <v>2.4786299999999999</v>
      </c>
      <c r="T29" s="13">
        <f>VLOOKUP($K29,'Z4. Input table (SCR and MCR)'!$A:$M,10,FALSE)</f>
        <v>3.4979</v>
      </c>
      <c r="U29" s="13">
        <f>VLOOKUP($K29,'Z4. Input table (SCR and MCR)'!$A:$M,11,FALSE)</f>
        <v>4.8273799999999998</v>
      </c>
      <c r="V29" s="13">
        <f>VLOOKUP($K29,'Z4. Input table (SCR and MCR)'!$A:$M,12,FALSE)</f>
        <v>6.05619</v>
      </c>
      <c r="W29" s="13">
        <f>VLOOKUP($K29,'Z4. Input table (SCR and MCR)'!$A:$M,13,FALSE)</f>
        <v>7.65367</v>
      </c>
    </row>
    <row r="30" spans="2:23" x14ac:dyDescent="0.2">
      <c r="B30" s="3" t="s">
        <v>44</v>
      </c>
      <c r="C30" s="5">
        <f>VLOOKUP(B30,'Z1. Input tables (Assets)'!$P$5:$S$35,2,FALSE)</f>
        <v>4904.8049520000004</v>
      </c>
      <c r="D30" s="6">
        <f t="shared" si="6"/>
        <v>0.68161141004341574</v>
      </c>
      <c r="E30" s="5">
        <f>VLOOKUP(B30,'Z1. Input tables (Assets)'!$P$5:$S$35,3,FALSE)</f>
        <v>1114.745345</v>
      </c>
      <c r="F30" s="6">
        <f t="shared" si="7"/>
        <v>0.15491403916784821</v>
      </c>
      <c r="G30" s="5">
        <f>VLOOKUP(B30,'Z1. Input tables (Assets)'!$P$5:$S$35,4,FALSE)-SUM(E30,C30)</f>
        <v>1176.3458979999996</v>
      </c>
      <c r="H30" s="6">
        <f t="shared" si="8"/>
        <v>0.16347455078873599</v>
      </c>
      <c r="I30" s="5">
        <f>VLOOKUP(B30,'Z1. Input tables (Assets)'!$P$5:$S$35,4,FALSE)</f>
        <v>7195.8961950000003</v>
      </c>
      <c r="K30" s="12" t="s">
        <v>44</v>
      </c>
      <c r="L30" s="13">
        <f>VLOOKUP($K30,'Z4. Input table (SCR and MCR)'!$A:$M,2,FALSE)</f>
        <v>1.5784</v>
      </c>
      <c r="M30" s="13">
        <f>VLOOKUP($K30,'Z4. Input table (SCR and MCR)'!$A:$M,3,FALSE)</f>
        <v>1.39815</v>
      </c>
      <c r="N30" s="13">
        <f>VLOOKUP($K30,'Z4. Input table (SCR and MCR)'!$A:$M,4,FALSE)</f>
        <v>1.4661999999999999</v>
      </c>
      <c r="O30" s="13">
        <f>VLOOKUP($K30,'Z4. Input table (SCR and MCR)'!$A:$M,5,FALSE)</f>
        <v>1.6281000000000001</v>
      </c>
      <c r="P30" s="13">
        <f>VLOOKUP($K30,'Z4. Input table (SCR and MCR)'!$A:$M,6,FALSE)</f>
        <v>2.1774100000000001</v>
      </c>
      <c r="Q30" s="13">
        <f>VLOOKUP($K30,'Z4. Input table (SCR and MCR)'!$A:$M,7,FALSE)</f>
        <v>2.6431399999999998</v>
      </c>
      <c r="R30" s="17">
        <f>VLOOKUP($K30,'Z4. Input table (SCR and MCR)'!$A:$M,8,FALSE)</f>
        <v>3.68764</v>
      </c>
      <c r="S30" s="13">
        <f>VLOOKUP($K30,'Z4. Input table (SCR and MCR)'!$A:$M,9,FALSE)</f>
        <v>1.26783</v>
      </c>
      <c r="T30" s="13">
        <f>VLOOKUP($K30,'Z4. Input table (SCR and MCR)'!$A:$M,10,FALSE)</f>
        <v>2.5409700000000002</v>
      </c>
      <c r="U30" s="13">
        <f>VLOOKUP($K30,'Z4. Input table (SCR and MCR)'!$A:$M,11,FALSE)</f>
        <v>3.5139100000000001</v>
      </c>
      <c r="V30" s="13">
        <f>VLOOKUP($K30,'Z4. Input table (SCR and MCR)'!$A:$M,12,FALSE)</f>
        <v>8.0144500000000001</v>
      </c>
      <c r="W30" s="13">
        <f>VLOOKUP($K30,'Z4. Input table (SCR and MCR)'!$A:$M,13,FALSE)</f>
        <v>9.0397200000000009</v>
      </c>
    </row>
    <row r="31" spans="2:23" x14ac:dyDescent="0.2">
      <c r="B31" s="3" t="s">
        <v>45</v>
      </c>
      <c r="C31" s="5">
        <f>VLOOKUP(B31,'Z1. Input tables (Assets)'!$P$5:$S$35,2,FALSE)</f>
        <v>3577.3721049999999</v>
      </c>
      <c r="D31" s="6">
        <f t="shared" si="6"/>
        <v>0.65166197536396797</v>
      </c>
      <c r="E31" s="5">
        <f>VLOOKUP(B31,'Z1. Input tables (Assets)'!$P$5:$S$35,3,FALSE)</f>
        <v>1178.137567</v>
      </c>
      <c r="F31" s="6">
        <f t="shared" si="7"/>
        <v>0.2146121319302117</v>
      </c>
      <c r="G31" s="5">
        <f>VLOOKUP(B31,'Z1. Input tables (Assets)'!$P$5:$S$35,4,FALSE)-SUM(E31,C31)</f>
        <v>734.10340999999971</v>
      </c>
      <c r="H31" s="6">
        <f t="shared" si="8"/>
        <v>0.13372589270582033</v>
      </c>
      <c r="I31" s="5">
        <f>VLOOKUP(B31,'Z1. Input tables (Assets)'!$P$5:$S$35,4,FALSE)</f>
        <v>5489.6130819999998</v>
      </c>
      <c r="K31" s="12" t="s">
        <v>45</v>
      </c>
      <c r="L31" s="13">
        <f>VLOOKUP($K31,'Z4. Input table (SCR and MCR)'!$A:$M,2,FALSE)</f>
        <v>1.93564</v>
      </c>
      <c r="M31" s="13">
        <f>VLOOKUP($K31,'Z4. Input table (SCR and MCR)'!$A:$M,3,FALSE)</f>
        <v>1.37008</v>
      </c>
      <c r="N31" s="13">
        <f>VLOOKUP($K31,'Z4. Input table (SCR and MCR)'!$A:$M,4,FALSE)</f>
        <v>1.4934400000000001</v>
      </c>
      <c r="O31" s="13">
        <f>VLOOKUP($K31,'Z4. Input table (SCR and MCR)'!$A:$M,5,FALSE)</f>
        <v>1.7158199999999999</v>
      </c>
      <c r="P31" s="13">
        <f>VLOOKUP($K31,'Z4. Input table (SCR and MCR)'!$A:$M,6,FALSE)</f>
        <v>2.0299</v>
      </c>
      <c r="Q31" s="13">
        <f>VLOOKUP($K31,'Z4. Input table (SCR and MCR)'!$A:$M,7,FALSE)</f>
        <v>2.0913900000000001</v>
      </c>
      <c r="R31" s="17">
        <f>VLOOKUP($K31,'Z4. Input table (SCR and MCR)'!$A:$M,8,FALSE)</f>
        <v>4.8321800000000001</v>
      </c>
      <c r="S31" s="13">
        <f>VLOOKUP($K31,'Z4. Input table (SCR and MCR)'!$A:$M,9,FALSE)</f>
        <v>3.2637200000000002</v>
      </c>
      <c r="T31" s="13">
        <f>VLOOKUP($K31,'Z4. Input table (SCR and MCR)'!$A:$M,10,FALSE)</f>
        <v>3.4012699999999998</v>
      </c>
      <c r="U31" s="13">
        <f>VLOOKUP($K31,'Z4. Input table (SCR and MCR)'!$A:$M,11,FALSE)</f>
        <v>4.2044100000000002</v>
      </c>
      <c r="V31" s="13">
        <f>VLOOKUP($K31,'Z4. Input table (SCR and MCR)'!$A:$M,12,FALSE)</f>
        <v>4.5445000000000002</v>
      </c>
      <c r="W31" s="13">
        <f>VLOOKUP($K31,'Z4. Input table (SCR and MCR)'!$A:$M,13,FALSE)</f>
        <v>5.7974300000000003</v>
      </c>
    </row>
    <row r="32" spans="2:23" x14ac:dyDescent="0.2">
      <c r="B32" s="3" t="s">
        <v>46</v>
      </c>
      <c r="C32" s="5">
        <f>VLOOKUP(B32,'Z1. Input tables (Assets)'!$P$5:$S$35,2,FALSE)</f>
        <v>6429.1679620000004</v>
      </c>
      <c r="D32" s="6">
        <f t="shared" si="6"/>
        <v>0.64638912372076751</v>
      </c>
      <c r="E32" s="5">
        <f>VLOOKUP(B32,'Z1. Input tables (Assets)'!$P$5:$S$35,3,FALSE)</f>
        <v>2276.871627</v>
      </c>
      <c r="F32" s="6">
        <f t="shared" si="7"/>
        <v>0.22891687765820545</v>
      </c>
      <c r="G32" s="5">
        <f>VLOOKUP(B32,'Z1. Input tables (Assets)'!$P$5:$S$35,4,FALSE)-SUM(E32,C32)</f>
        <v>1240.2415689999998</v>
      </c>
      <c r="H32" s="6">
        <f t="shared" si="8"/>
        <v>0.12469399862102711</v>
      </c>
      <c r="I32" s="5">
        <f>VLOOKUP(B32,'Z1. Input tables (Assets)'!$P$5:$S$35,4,FALSE)</f>
        <v>9946.2811579999998</v>
      </c>
      <c r="K32" s="12" t="s">
        <v>46</v>
      </c>
      <c r="L32" s="13">
        <f>VLOOKUP($K32,'Z4. Input table (SCR and MCR)'!$A:$M,2,FALSE)</f>
        <v>2.57369</v>
      </c>
      <c r="M32" s="13">
        <f>VLOOKUP($K32,'Z4. Input table (SCR and MCR)'!$A:$M,3,FALSE)</f>
        <v>1.80715</v>
      </c>
      <c r="N32" s="13">
        <f>VLOOKUP($K32,'Z4. Input table (SCR and MCR)'!$A:$M,4,FALSE)</f>
        <v>2.0371299999999999</v>
      </c>
      <c r="O32" s="13">
        <f>VLOOKUP($K32,'Z4. Input table (SCR and MCR)'!$A:$M,5,FALSE)</f>
        <v>2.6833200000000001</v>
      </c>
      <c r="P32" s="13">
        <f>VLOOKUP($K32,'Z4. Input table (SCR and MCR)'!$A:$M,6,FALSE)</f>
        <v>3.01756</v>
      </c>
      <c r="Q32" s="13">
        <f>VLOOKUP($K32,'Z4. Input table (SCR and MCR)'!$A:$M,7,FALSE)</f>
        <v>3.7246899999999998</v>
      </c>
      <c r="R32" s="17">
        <f>VLOOKUP($K32,'Z4. Input table (SCR and MCR)'!$A:$M,8,FALSE)</f>
        <v>7.2762399999999996</v>
      </c>
      <c r="S32" s="13">
        <f>VLOOKUP($K32,'Z4. Input table (SCR and MCR)'!$A:$M,9,FALSE)</f>
        <v>3.9383599999999999</v>
      </c>
      <c r="T32" s="13">
        <f>VLOOKUP($K32,'Z4. Input table (SCR and MCR)'!$A:$M,10,FALSE)</f>
        <v>4.2879399999999999</v>
      </c>
      <c r="U32" s="13">
        <f>VLOOKUP($K32,'Z4. Input table (SCR and MCR)'!$A:$M,11,FALSE)</f>
        <v>6.69339</v>
      </c>
      <c r="V32" s="13">
        <f>VLOOKUP($K32,'Z4. Input table (SCR and MCR)'!$A:$M,12,FALSE)</f>
        <v>10.08046</v>
      </c>
      <c r="W32" s="13">
        <f>VLOOKUP($K32,'Z4. Input table (SCR and MCR)'!$A:$M,13,FALSE)</f>
        <v>11.05776</v>
      </c>
    </row>
    <row r="33" spans="2:23" x14ac:dyDescent="0.2">
      <c r="B33" s="3" t="s">
        <v>47</v>
      </c>
      <c r="C33" s="5">
        <f>VLOOKUP(B33,'Z1. Input tables (Assets)'!$P$5:$S$35,2,FALSE)</f>
        <v>244409.972068</v>
      </c>
      <c r="D33" s="6">
        <f t="shared" si="6"/>
        <v>0.74910891639789534</v>
      </c>
      <c r="E33" s="5">
        <f>VLOOKUP(B33,'Z1. Input tables (Assets)'!$P$5:$S$35,3,FALSE)</f>
        <v>39987.337305000001</v>
      </c>
      <c r="F33" s="6">
        <f t="shared" si="7"/>
        <v>0.12255993757018888</v>
      </c>
      <c r="G33" s="5">
        <f>VLOOKUP(B33,'Z1. Input tables (Assets)'!$P$5:$S$35,4,FALSE)-SUM(E33,C33)</f>
        <v>41870.295668000006</v>
      </c>
      <c r="H33" s="6">
        <f t="shared" si="8"/>
        <v>0.12833114603191581</v>
      </c>
      <c r="I33" s="5">
        <f>VLOOKUP(B33,'Z1. Input tables (Assets)'!$P$5:$S$35,4,FALSE)</f>
        <v>326267.605041</v>
      </c>
      <c r="K33" s="12" t="s">
        <v>47</v>
      </c>
      <c r="L33" s="13">
        <f>VLOOKUP($K33,'Z4. Input table (SCR and MCR)'!$A:$M,2,FALSE)</f>
        <v>2.3700299999999999</v>
      </c>
      <c r="M33" s="13">
        <f>VLOOKUP($K33,'Z4. Input table (SCR and MCR)'!$A:$M,3,FALSE)</f>
        <v>1.68072</v>
      </c>
      <c r="N33" s="13">
        <f>VLOOKUP($K33,'Z4. Input table (SCR and MCR)'!$A:$M,4,FALSE)</f>
        <v>1.98996</v>
      </c>
      <c r="O33" s="13">
        <f>VLOOKUP($K33,'Z4. Input table (SCR and MCR)'!$A:$M,5,FALSE)</f>
        <v>2.45018</v>
      </c>
      <c r="P33" s="13">
        <f>VLOOKUP($K33,'Z4. Input table (SCR and MCR)'!$A:$M,6,FALSE)</f>
        <v>3.43038</v>
      </c>
      <c r="Q33" s="13">
        <f>VLOOKUP($K33,'Z4. Input table (SCR and MCR)'!$A:$M,7,FALSE)</f>
        <v>4.4146299999999998</v>
      </c>
      <c r="R33" s="17">
        <f>VLOOKUP($K33,'Z4. Input table (SCR and MCR)'!$A:$M,8,FALSE)</f>
        <v>6.38429</v>
      </c>
      <c r="S33" s="13">
        <f>VLOOKUP($K33,'Z4. Input table (SCR and MCR)'!$A:$M,9,FALSE)</f>
        <v>3.25082</v>
      </c>
      <c r="T33" s="13">
        <f>VLOOKUP($K33,'Z4. Input table (SCR and MCR)'!$A:$M,10,FALSE)</f>
        <v>4.3264100000000001</v>
      </c>
      <c r="U33" s="13">
        <f>VLOOKUP($K33,'Z4. Input table (SCR and MCR)'!$A:$M,11,FALSE)</f>
        <v>6.5632999999999999</v>
      </c>
      <c r="V33" s="13">
        <f>VLOOKUP($K33,'Z4. Input table (SCR and MCR)'!$A:$M,12,FALSE)</f>
        <v>10.052160000000001</v>
      </c>
      <c r="W33" s="13">
        <f>VLOOKUP($K33,'Z4. Input table (SCR and MCR)'!$A:$M,13,FALSE)</f>
        <v>13.54031</v>
      </c>
    </row>
    <row r="34" spans="2:23" x14ac:dyDescent="0.2">
      <c r="B34" s="3" t="s">
        <v>48</v>
      </c>
      <c r="C34" s="5">
        <f>VLOOKUP(B34,'Z1. Input tables (Assets)'!$P$5:$S$35,2,FALSE)</f>
        <v>146955.698237</v>
      </c>
      <c r="D34" s="6">
        <f t="shared" si="6"/>
        <v>0.35713517932464511</v>
      </c>
      <c r="E34" s="5">
        <f>VLOOKUP(B34,'Z1. Input tables (Assets)'!$P$5:$S$35,3,FALSE)</f>
        <v>242542.82352400001</v>
      </c>
      <c r="F34" s="6">
        <f t="shared" si="7"/>
        <v>0.5894332496957948</v>
      </c>
      <c r="G34" s="5">
        <f>VLOOKUP(B34,'Z1. Input tables (Assets)'!$P$5:$S$35,4,FALSE)-SUM(E34,C34)</f>
        <v>21986.279357999971</v>
      </c>
      <c r="H34" s="6">
        <f t="shared" si="8"/>
        <v>5.3431570979559979E-2</v>
      </c>
      <c r="I34" s="5">
        <f>VLOOKUP(B34,'Z1. Input tables (Assets)'!$P$5:$S$35,4,FALSE)</f>
        <v>411484.80111900001</v>
      </c>
      <c r="K34" s="12" t="s">
        <v>48</v>
      </c>
      <c r="L34" s="13">
        <f>VLOOKUP($K34,'Z4. Input table (SCR and MCR)'!$A:$M,2,FALSE)</f>
        <v>1.83064</v>
      </c>
      <c r="M34" s="13">
        <f>VLOOKUP($K34,'Z4. Input table (SCR and MCR)'!$A:$M,3,FALSE)</f>
        <v>1.46563</v>
      </c>
      <c r="N34" s="13">
        <f>VLOOKUP($K34,'Z4. Input table (SCR and MCR)'!$A:$M,4,FALSE)</f>
        <v>1.6375200000000001</v>
      </c>
      <c r="O34" s="13">
        <f>VLOOKUP($K34,'Z4. Input table (SCR and MCR)'!$A:$M,5,FALSE)</f>
        <v>1.90479</v>
      </c>
      <c r="P34" s="13">
        <f>VLOOKUP($K34,'Z4. Input table (SCR and MCR)'!$A:$M,6,FALSE)</f>
        <v>2.2367300000000001</v>
      </c>
      <c r="Q34" s="13">
        <f>VLOOKUP($K34,'Z4. Input table (SCR and MCR)'!$A:$M,7,FALSE)</f>
        <v>2.97872</v>
      </c>
      <c r="R34" s="17">
        <f>VLOOKUP($K34,'Z4. Input table (SCR and MCR)'!$A:$M,8,FALSE)</f>
        <v>6.7903900000000004</v>
      </c>
      <c r="S34" s="13">
        <f>VLOOKUP($K34,'Z4. Input table (SCR and MCR)'!$A:$M,9,FALSE)</f>
        <v>2.22797</v>
      </c>
      <c r="T34" s="13">
        <f>VLOOKUP($K34,'Z4. Input table (SCR and MCR)'!$A:$M,10,FALSE)</f>
        <v>3.9098999999999999</v>
      </c>
      <c r="U34" s="13">
        <f>VLOOKUP($K34,'Z4. Input table (SCR and MCR)'!$A:$M,11,FALSE)</f>
        <v>6.3160999999999996</v>
      </c>
      <c r="V34" s="13">
        <f>VLOOKUP($K34,'Z4. Input table (SCR and MCR)'!$A:$M,12,FALSE)</f>
        <v>7.78613</v>
      </c>
      <c r="W34" s="13">
        <f>VLOOKUP($K34,'Z4. Input table (SCR and MCR)'!$A:$M,13,FALSE)</f>
        <v>8.8684799999999999</v>
      </c>
    </row>
    <row r="35" spans="2:23" ht="13.5" thickBot="1" x14ac:dyDescent="0.25">
      <c r="B35" s="7" t="s">
        <v>117</v>
      </c>
      <c r="C35" s="8">
        <f>SUM(C5:C34)</f>
        <v>6402845.7577969972</v>
      </c>
      <c r="D35" s="9">
        <f>C35/SUM(C35,E35,G35)</f>
        <v>0.62299270967645481</v>
      </c>
      <c r="E35" s="8">
        <f>SUM(E5:E34)</f>
        <v>2504410.9031270002</v>
      </c>
      <c r="F35" s="9">
        <f>E35/SUM(C35,E35,G35)</f>
        <v>0.24367754490765203</v>
      </c>
      <c r="G35" s="8">
        <f>SUM(G5:G34)</f>
        <v>1370304.630479</v>
      </c>
      <c r="H35" s="9">
        <f>G35/SUM(C35,E35,G35)</f>
        <v>0.13332974541589318</v>
      </c>
      <c r="I35" s="8">
        <f>SUM(I5:I34)</f>
        <v>10277561.291402999</v>
      </c>
      <c r="K35" s="7" t="s">
        <v>117</v>
      </c>
      <c r="L35" s="18">
        <f>VLOOKUP("EEA",'Z4. Input table (SCR and MCR)'!$A:$M,2,FALSE)</f>
        <v>2.4381200000000001</v>
      </c>
      <c r="M35" s="18">
        <f>VLOOKUP("EEA",'Z4. Input table (SCR and MCR)'!$A:$M,3,FALSE)</f>
        <v>1.4536100000000001</v>
      </c>
      <c r="N35" s="18">
        <f>VLOOKUP("EEA",'Z4. Input table (SCR and MCR)'!$A:$M,4,FALSE)</f>
        <v>1.7156</v>
      </c>
      <c r="O35" s="18">
        <f>VLOOKUP("EEA",'Z4. Input table (SCR and MCR)'!$A:$M,5,FALSE)</f>
        <v>2.19963</v>
      </c>
      <c r="P35" s="18">
        <f>VLOOKUP("EEA",'Z4. Input table (SCR and MCR)'!$A:$M,6,FALSE)</f>
        <v>3.0101800000000001</v>
      </c>
      <c r="Q35" s="18">
        <f>VLOOKUP("EEA",'Z4. Input table (SCR and MCR)'!$A:$M,7,FALSE)</f>
        <v>4.2144599999999999</v>
      </c>
      <c r="R35" s="19">
        <f>VLOOKUP("EEA",'Z4. Input table (SCR and MCR)'!$A:$M,8,FALSE)</f>
        <v>6.7014100000000001</v>
      </c>
      <c r="S35" s="18">
        <f>VLOOKUP("EEA",'Z4. Input table (SCR and MCR)'!$A:$M,9,FALSE)</f>
        <v>2.8209200000000001</v>
      </c>
      <c r="T35" s="18">
        <f>VLOOKUP("EEA",'Z4. Input table (SCR and MCR)'!$A:$M,10,FALSE)</f>
        <v>3.9130400000000001</v>
      </c>
      <c r="U35" s="18">
        <f>VLOOKUP("EEA",'Z4. Input table (SCR and MCR)'!$A:$M,11,FALSE)</f>
        <v>6.0210100000000004</v>
      </c>
      <c r="V35" s="18">
        <f>VLOOKUP("EEA",'Z4. Input table (SCR and MCR)'!$A:$M,12,FALSE)</f>
        <v>8.7459199999999999</v>
      </c>
      <c r="W35" s="18">
        <f>VLOOKUP("EEA",'Z4. Input table (SCR and MCR)'!$A:$M,13,FALSE)</f>
        <v>12.55983</v>
      </c>
    </row>
    <row r="36" spans="2:23" ht="13.5" thickTop="1" x14ac:dyDescent="0.2"/>
    <row r="37" spans="2:23" x14ac:dyDescent="0.2">
      <c r="K37" s="44" t="s">
        <v>157</v>
      </c>
    </row>
    <row r="38" spans="2:23" x14ac:dyDescent="0.2">
      <c r="K38" s="45" t="s">
        <v>170</v>
      </c>
    </row>
  </sheetData>
  <mergeCells count="7">
    <mergeCell ref="M3:Q3"/>
    <mergeCell ref="L2:Q2"/>
    <mergeCell ref="R2:W2"/>
    <mergeCell ref="S3:W3"/>
    <mergeCell ref="C3:D3"/>
    <mergeCell ref="E3:F3"/>
    <mergeCell ref="G3:H3"/>
  </mergeCells>
  <pageMargins left="0.7" right="0.7" top="0.75" bottom="0.75" header="0.3" footer="0.3"/>
  <pageSetup paperSize="9" orientation="portrait" r:id="rId1"/>
  <ignoredErrors>
    <ignoredError sqref="H35 D35 F35" formula="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S39"/>
  <sheetViews>
    <sheetView zoomScale="85" zoomScaleNormal="85" workbookViewId="0">
      <selection activeCell="O39" sqref="O39:S39"/>
    </sheetView>
  </sheetViews>
  <sheetFormatPr defaultColWidth="9.140625" defaultRowHeight="15" x14ac:dyDescent="0.25"/>
  <cols>
    <col min="1" max="1" width="9.140625" customWidth="1"/>
    <col min="2" max="2" width="11.140625" customWidth="1"/>
    <col min="3" max="3" width="31.5703125" customWidth="1"/>
    <col min="4" max="4" width="51.85546875" customWidth="1"/>
    <col min="5" max="5" width="11.140625" customWidth="1"/>
    <col min="6" max="6" width="18.85546875" customWidth="1"/>
    <col min="7" max="7" width="16.85546875" customWidth="1"/>
    <col min="8" max="8" width="16.5703125" customWidth="1"/>
    <col min="9" max="9" width="22.5703125" customWidth="1"/>
    <col min="10" max="10" width="33.85546875" customWidth="1"/>
    <col min="11" max="11" width="11.5703125" customWidth="1"/>
    <col min="12" max="12" width="34.28515625" customWidth="1"/>
    <col min="15" max="15" width="9.140625" customWidth="1"/>
    <col min="16" max="16" width="18.140625" customWidth="1"/>
    <col min="17" max="17" width="70.5703125" customWidth="1"/>
    <col min="18" max="18" width="48.42578125" customWidth="1"/>
    <col min="19" max="19" width="14" bestFit="1" customWidth="1"/>
  </cols>
  <sheetData>
    <row r="1" spans="1:19" ht="17.100000000000001" customHeight="1" x14ac:dyDescent="0.25">
      <c r="A1" s="68" t="s">
        <v>118</v>
      </c>
      <c r="B1" s="68"/>
      <c r="C1" s="68"/>
      <c r="D1" s="68"/>
      <c r="E1" s="68"/>
      <c r="F1" s="68"/>
      <c r="G1" s="68"/>
      <c r="H1" s="68"/>
      <c r="I1" s="68"/>
      <c r="J1" s="68"/>
      <c r="K1" s="68"/>
      <c r="L1" s="68"/>
      <c r="O1" s="68" t="s">
        <v>119</v>
      </c>
      <c r="P1" s="68"/>
      <c r="Q1" s="68"/>
      <c r="R1" s="68"/>
      <c r="S1" s="68"/>
    </row>
    <row r="2" spans="1:19" x14ac:dyDescent="0.25">
      <c r="A2" s="27"/>
      <c r="B2" s="27"/>
      <c r="C2" s="27"/>
      <c r="D2" s="27"/>
      <c r="E2" s="27"/>
      <c r="F2" s="27"/>
      <c r="G2" s="27"/>
      <c r="H2" s="27"/>
      <c r="I2" s="27"/>
      <c r="J2" s="27"/>
      <c r="K2" s="27"/>
      <c r="L2" s="27"/>
    </row>
    <row r="3" spans="1:19" x14ac:dyDescent="0.25">
      <c r="A3" s="69"/>
      <c r="B3" s="70"/>
      <c r="C3" s="28" t="s">
        <v>0</v>
      </c>
      <c r="D3" s="28" t="s">
        <v>1</v>
      </c>
      <c r="E3" s="28" t="s">
        <v>2</v>
      </c>
      <c r="F3" s="28" t="s">
        <v>3</v>
      </c>
      <c r="G3" s="28" t="s">
        <v>4</v>
      </c>
      <c r="H3" s="28" t="s">
        <v>5</v>
      </c>
      <c r="I3" s="28" t="s">
        <v>6</v>
      </c>
      <c r="J3" s="28" t="s">
        <v>7</v>
      </c>
      <c r="K3" s="28" t="s">
        <v>8</v>
      </c>
      <c r="L3" s="28" t="s">
        <v>9</v>
      </c>
      <c r="O3" s="71"/>
      <c r="P3" s="72"/>
      <c r="Q3" s="48" t="s">
        <v>51</v>
      </c>
      <c r="R3" s="31" t="s">
        <v>52</v>
      </c>
      <c r="S3" s="49" t="s">
        <v>53</v>
      </c>
    </row>
    <row r="4" spans="1:19" ht="30" x14ac:dyDescent="0.25">
      <c r="A4" s="70"/>
      <c r="B4" s="70"/>
      <c r="C4" s="28" t="s">
        <v>10</v>
      </c>
      <c r="D4" s="28" t="s">
        <v>11</v>
      </c>
      <c r="E4" s="28" t="s">
        <v>12</v>
      </c>
      <c r="F4" s="28" t="s">
        <v>13</v>
      </c>
      <c r="G4" s="28" t="s">
        <v>14</v>
      </c>
      <c r="H4" s="28" t="s">
        <v>15</v>
      </c>
      <c r="I4" s="28" t="s">
        <v>16</v>
      </c>
      <c r="J4" s="28" t="s">
        <v>17</v>
      </c>
      <c r="K4" s="28" t="s">
        <v>18</v>
      </c>
      <c r="L4" s="28" t="s">
        <v>19</v>
      </c>
      <c r="O4" s="73"/>
      <c r="P4" s="74"/>
      <c r="Q4" s="30" t="s">
        <v>54</v>
      </c>
      <c r="R4" s="32" t="s">
        <v>55</v>
      </c>
      <c r="S4" s="33" t="s">
        <v>56</v>
      </c>
    </row>
    <row r="5" spans="1:19" x14ac:dyDescent="0.25">
      <c r="A5" s="29" t="s">
        <v>170</v>
      </c>
      <c r="B5" s="29" t="s">
        <v>50</v>
      </c>
      <c r="C5" s="56">
        <v>102336.575408</v>
      </c>
      <c r="D5" s="56">
        <v>1153940.7559239999</v>
      </c>
      <c r="E5" s="56">
        <v>196892.85420500001</v>
      </c>
      <c r="F5" s="56">
        <v>1716894.324207</v>
      </c>
      <c r="G5" s="56">
        <v>1548610.924942001</v>
      </c>
      <c r="H5" s="56">
        <v>104143.757352</v>
      </c>
      <c r="I5" s="56">
        <v>31886.712309999999</v>
      </c>
      <c r="J5" s="56">
        <v>1423870.7679399999</v>
      </c>
      <c r="K5" s="56">
        <v>68060.455332999991</v>
      </c>
      <c r="L5" s="56">
        <v>49612.732531999987</v>
      </c>
      <c r="O5" s="75" t="s">
        <v>170</v>
      </c>
      <c r="P5" s="50" t="s">
        <v>20</v>
      </c>
      <c r="Q5" s="57">
        <v>100354.355658</v>
      </c>
      <c r="R5" s="57">
        <v>17606.270369999998</v>
      </c>
      <c r="S5" s="57">
        <v>133656.12085000001</v>
      </c>
    </row>
    <row r="6" spans="1:19" x14ac:dyDescent="0.25">
      <c r="A6" s="27"/>
      <c r="B6" s="27"/>
      <c r="C6" s="27"/>
      <c r="D6" s="27"/>
      <c r="E6" s="27"/>
      <c r="F6" s="27"/>
      <c r="G6" s="27"/>
      <c r="H6" s="27"/>
      <c r="I6" s="27"/>
      <c r="J6" s="27"/>
      <c r="K6" s="27"/>
      <c r="L6" s="27"/>
      <c r="O6" s="75"/>
      <c r="P6" s="50" t="s">
        <v>21</v>
      </c>
      <c r="Q6" s="57">
        <v>209609.72954199999</v>
      </c>
      <c r="R6" s="57">
        <v>57505.076265999996</v>
      </c>
      <c r="S6" s="57">
        <v>348614.76668599999</v>
      </c>
    </row>
    <row r="7" spans="1:19" x14ac:dyDescent="0.25">
      <c r="A7" s="68" t="s">
        <v>172</v>
      </c>
      <c r="B7" s="68"/>
      <c r="C7" s="68"/>
      <c r="D7" s="68"/>
      <c r="E7" s="68"/>
      <c r="F7" s="68"/>
      <c r="G7" s="68"/>
      <c r="H7" s="68"/>
      <c r="I7" s="68"/>
      <c r="J7" s="68"/>
      <c r="K7" s="68"/>
      <c r="L7" s="68"/>
      <c r="O7" s="75"/>
      <c r="P7" s="50" t="s">
        <v>22</v>
      </c>
      <c r="Q7" s="57">
        <v>3568.4788229999999</v>
      </c>
      <c r="R7" s="57">
        <v>683.59462699999995</v>
      </c>
      <c r="S7" s="57">
        <v>5747.9625889999998</v>
      </c>
    </row>
    <row r="8" spans="1:19" x14ac:dyDescent="0.25">
      <c r="O8" s="75"/>
      <c r="P8" s="50" t="s">
        <v>23</v>
      </c>
      <c r="Q8" s="57">
        <v>4710.133718</v>
      </c>
      <c r="R8" s="57">
        <v>312.315608</v>
      </c>
      <c r="S8" s="57">
        <v>6164.4520689999999</v>
      </c>
    </row>
    <row r="9" spans="1:19" x14ac:dyDescent="0.25">
      <c r="O9" s="75"/>
      <c r="P9" s="50" t="s">
        <v>24</v>
      </c>
      <c r="Q9" s="57">
        <v>2183.751409</v>
      </c>
      <c r="R9" s="57">
        <v>2240.2106349999999</v>
      </c>
      <c r="S9" s="57">
        <v>5379.0674330000002</v>
      </c>
    </row>
    <row r="10" spans="1:19" x14ac:dyDescent="0.25">
      <c r="O10" s="75"/>
      <c r="P10" t="s">
        <v>171</v>
      </c>
      <c r="Q10" s="57">
        <v>10759.66743</v>
      </c>
      <c r="R10" s="57">
        <v>3600.8045390000002</v>
      </c>
      <c r="S10" s="57">
        <v>18890.303378000001</v>
      </c>
    </row>
    <row r="11" spans="1:19" x14ac:dyDescent="0.25">
      <c r="O11" s="75"/>
      <c r="P11" s="50" t="s">
        <v>26</v>
      </c>
      <c r="Q11" s="57">
        <v>282415.01355199999</v>
      </c>
      <c r="R11" s="57">
        <v>296106.44418200001</v>
      </c>
      <c r="S11" s="57">
        <v>605333.15745399997</v>
      </c>
    </row>
    <row r="12" spans="1:19" x14ac:dyDescent="0.25">
      <c r="O12" s="75"/>
      <c r="P12" s="50" t="s">
        <v>27</v>
      </c>
      <c r="Q12" s="57">
        <v>1326.7170209999999</v>
      </c>
      <c r="R12" s="57">
        <v>1073.864851</v>
      </c>
      <c r="S12" s="57">
        <v>2693.3390629999999</v>
      </c>
    </row>
    <row r="13" spans="1:19" x14ac:dyDescent="0.25">
      <c r="O13" s="75"/>
      <c r="P13" s="50" t="s">
        <v>28</v>
      </c>
      <c r="Q13" s="57">
        <v>30039.759274</v>
      </c>
      <c r="R13" s="57">
        <v>56114.720601000001</v>
      </c>
      <c r="S13" s="57">
        <v>90002.899206000002</v>
      </c>
    </row>
    <row r="14" spans="1:19" x14ac:dyDescent="0.25">
      <c r="C14" s="53"/>
      <c r="D14" s="53"/>
      <c r="E14" s="53"/>
      <c r="F14" s="53"/>
      <c r="G14" s="53"/>
      <c r="H14" s="53"/>
      <c r="I14" s="53"/>
      <c r="J14" s="53"/>
      <c r="K14" s="53"/>
      <c r="L14" s="53"/>
      <c r="O14" s="75"/>
      <c r="P14" s="50" t="s">
        <v>29</v>
      </c>
      <c r="Q14" s="57">
        <v>2069202.786971</v>
      </c>
      <c r="R14" s="57">
        <v>561276.16696900001</v>
      </c>
      <c r="S14" s="57">
        <v>2971551.3575929999</v>
      </c>
    </row>
    <row r="15" spans="1:19" x14ac:dyDescent="0.25">
      <c r="O15" s="75"/>
      <c r="P15" s="50" t="s">
        <v>30</v>
      </c>
      <c r="Q15" s="57">
        <v>1906138.347085</v>
      </c>
      <c r="R15" s="57">
        <v>215259.520662</v>
      </c>
      <c r="S15" s="57">
        <v>2488022.6357229999</v>
      </c>
    </row>
    <row r="16" spans="1:19" x14ac:dyDescent="0.25">
      <c r="O16" s="75"/>
      <c r="P16" s="50" t="s">
        <v>31</v>
      </c>
      <c r="Q16" s="57">
        <v>13323.345304</v>
      </c>
      <c r="R16" s="57">
        <v>5426.8352500000001</v>
      </c>
      <c r="S16" s="57">
        <v>21221.929573000001</v>
      </c>
    </row>
    <row r="17" spans="15:19" x14ac:dyDescent="0.25">
      <c r="O17" s="75"/>
      <c r="P17" s="50" t="s">
        <v>32</v>
      </c>
      <c r="Q17" s="57">
        <v>4023.1933479999998</v>
      </c>
      <c r="R17" s="57">
        <v>5063.4248280000002</v>
      </c>
      <c r="S17" s="57">
        <v>9911.4559430000008</v>
      </c>
    </row>
    <row r="18" spans="15:19" x14ac:dyDescent="0.25">
      <c r="O18" s="75"/>
      <c r="P18" s="50" t="s">
        <v>145</v>
      </c>
      <c r="Q18" s="57">
        <v>1393.858418</v>
      </c>
      <c r="R18" s="57">
        <v>46.395870000000002</v>
      </c>
      <c r="S18" s="57">
        <v>1737.5008800000001</v>
      </c>
    </row>
    <row r="19" spans="15:19" x14ac:dyDescent="0.25">
      <c r="O19" s="75"/>
      <c r="P19" s="50" t="s">
        <v>33</v>
      </c>
      <c r="Q19" s="57">
        <v>90866.234257000004</v>
      </c>
      <c r="R19" s="57">
        <v>314786.80788099999</v>
      </c>
      <c r="S19" s="57">
        <v>517629.99962199997</v>
      </c>
    </row>
    <row r="20" spans="15:19" x14ac:dyDescent="0.25">
      <c r="O20" s="75"/>
      <c r="P20" s="50" t="s">
        <v>34</v>
      </c>
      <c r="Q20" s="57">
        <v>728369.37611499999</v>
      </c>
      <c r="R20" s="57">
        <v>282177.47363399999</v>
      </c>
      <c r="S20" s="57">
        <v>1098629.61258</v>
      </c>
    </row>
    <row r="21" spans="15:19" x14ac:dyDescent="0.25">
      <c r="O21" s="75"/>
      <c r="P21" s="50" t="s">
        <v>35</v>
      </c>
      <c r="Q21" s="57">
        <v>927.43941500000005</v>
      </c>
      <c r="R21" s="57">
        <v>499.99280800000003</v>
      </c>
      <c r="S21" s="57">
        <v>1702.9602400000001</v>
      </c>
    </row>
    <row r="22" spans="15:19" x14ac:dyDescent="0.25">
      <c r="O22" s="75"/>
      <c r="P22" s="50" t="s">
        <v>36</v>
      </c>
      <c r="Q22" s="57">
        <v>4593.2833909999999</v>
      </c>
      <c r="R22" s="57">
        <v>14731.315339999999</v>
      </c>
      <c r="S22" s="57">
        <v>29029.669793000001</v>
      </c>
    </row>
    <row r="23" spans="15:19" x14ac:dyDescent="0.25">
      <c r="O23" s="75"/>
      <c r="P23" s="50" t="s">
        <v>37</v>
      </c>
      <c r="Q23" s="57">
        <v>1121.942677</v>
      </c>
      <c r="R23" s="57">
        <v>659.91426200000001</v>
      </c>
      <c r="S23" s="57">
        <v>2010.0641109999999</v>
      </c>
    </row>
    <row r="24" spans="15:19" x14ac:dyDescent="0.25">
      <c r="O24" s="75"/>
      <c r="P24" s="50" t="s">
        <v>38</v>
      </c>
      <c r="Q24" s="57">
        <v>76292.587954000002</v>
      </c>
      <c r="R24" s="57">
        <v>192461.46264099999</v>
      </c>
      <c r="S24" s="57">
        <v>346693.03337399999</v>
      </c>
    </row>
    <row r="25" spans="15:19" x14ac:dyDescent="0.25">
      <c r="O25" s="75"/>
      <c r="P25" s="50" t="s">
        <v>39</v>
      </c>
      <c r="Q25" s="57">
        <v>8501.7582289999991</v>
      </c>
      <c r="R25" s="57">
        <v>762.21061799999995</v>
      </c>
      <c r="S25" s="57">
        <v>17058.093155999999</v>
      </c>
    </row>
    <row r="26" spans="15:19" x14ac:dyDescent="0.25">
      <c r="O26" s="75"/>
      <c r="P26" s="50" t="s">
        <v>40</v>
      </c>
      <c r="Q26" s="57">
        <v>241712.74729500001</v>
      </c>
      <c r="R26" s="57">
        <v>91897.360906000002</v>
      </c>
      <c r="S26" s="57">
        <v>457050.57903700002</v>
      </c>
    </row>
    <row r="27" spans="15:19" x14ac:dyDescent="0.25">
      <c r="O27" s="75"/>
      <c r="P27" s="50" t="s">
        <v>41</v>
      </c>
      <c r="Q27" s="57">
        <v>136881.85891800001</v>
      </c>
      <c r="R27" s="57">
        <v>70371.933571000001</v>
      </c>
      <c r="S27" s="57">
        <v>232389.880649</v>
      </c>
    </row>
    <row r="28" spans="15:19" x14ac:dyDescent="0.25">
      <c r="O28" s="75"/>
      <c r="P28" s="50" t="s">
        <v>42</v>
      </c>
      <c r="Q28" s="57">
        <v>35577.331296999997</v>
      </c>
      <c r="R28" s="57">
        <v>9107.6013610000009</v>
      </c>
      <c r="S28" s="57">
        <v>51298.342739</v>
      </c>
    </row>
    <row r="29" spans="15:19" x14ac:dyDescent="0.25">
      <c r="O29" s="75"/>
      <c r="P29" s="50" t="s">
        <v>43</v>
      </c>
      <c r="Q29" s="57">
        <v>32675.045372</v>
      </c>
      <c r="R29" s="57">
        <v>17539.269478999999</v>
      </c>
      <c r="S29" s="57">
        <v>54757.911067000001</v>
      </c>
    </row>
    <row r="30" spans="15:19" x14ac:dyDescent="0.25">
      <c r="O30" s="75"/>
      <c r="P30" s="50" t="s">
        <v>44</v>
      </c>
      <c r="Q30" s="57">
        <v>4904.8049520000004</v>
      </c>
      <c r="R30" s="57">
        <v>1114.745345</v>
      </c>
      <c r="S30" s="57">
        <v>7195.8961950000003</v>
      </c>
    </row>
    <row r="31" spans="15:19" x14ac:dyDescent="0.25">
      <c r="O31" s="75"/>
      <c r="P31" s="50" t="s">
        <v>45</v>
      </c>
      <c r="Q31" s="57">
        <v>3577.3721049999999</v>
      </c>
      <c r="R31" s="57">
        <v>1178.137567</v>
      </c>
      <c r="S31" s="57">
        <v>5489.6130819999998</v>
      </c>
    </row>
    <row r="32" spans="15:19" x14ac:dyDescent="0.25">
      <c r="O32" s="75"/>
      <c r="P32" s="50" t="s">
        <v>46</v>
      </c>
      <c r="Q32" s="57">
        <v>6429.1679620000004</v>
      </c>
      <c r="R32" s="57">
        <v>2276.871627</v>
      </c>
      <c r="S32" s="57">
        <v>9946.2811579999998</v>
      </c>
    </row>
    <row r="33" spans="15:19" x14ac:dyDescent="0.25">
      <c r="O33" s="75"/>
      <c r="P33" s="50" t="s">
        <v>47</v>
      </c>
      <c r="Q33" s="57">
        <v>244409.972068</v>
      </c>
      <c r="R33" s="57">
        <v>39987.337305000001</v>
      </c>
      <c r="S33" s="57">
        <v>326267.605041</v>
      </c>
    </row>
    <row r="34" spans="15:19" x14ac:dyDescent="0.25">
      <c r="O34" s="75"/>
      <c r="P34" s="50" t="s">
        <v>48</v>
      </c>
      <c r="Q34" s="57">
        <v>146955.698237</v>
      </c>
      <c r="R34" s="57">
        <v>242542.82352400001</v>
      </c>
      <c r="S34" s="57">
        <v>411484.80111900001</v>
      </c>
    </row>
    <row r="35" spans="15:19" x14ac:dyDescent="0.25">
      <c r="O35" s="76"/>
      <c r="P35" s="46" t="s">
        <v>50</v>
      </c>
      <c r="Q35" s="58">
        <v>6402845.7577969972</v>
      </c>
      <c r="R35" s="58">
        <v>2504410.9031270002</v>
      </c>
      <c r="S35" s="58">
        <v>10277561.291402999</v>
      </c>
    </row>
    <row r="39" spans="15:19" ht="31.5" customHeight="1" x14ac:dyDescent="0.25">
      <c r="O39" s="68" t="s">
        <v>173</v>
      </c>
      <c r="P39" s="68"/>
      <c r="Q39" s="68"/>
      <c r="R39" s="68"/>
      <c r="S39" s="68"/>
    </row>
  </sheetData>
  <mergeCells count="7">
    <mergeCell ref="O39:S39"/>
    <mergeCell ref="A1:L1"/>
    <mergeCell ref="A3:B4"/>
    <mergeCell ref="A7:L7"/>
    <mergeCell ref="O1:S1"/>
    <mergeCell ref="O3:P4"/>
    <mergeCell ref="O5:O35"/>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C23"/>
  <sheetViews>
    <sheetView workbookViewId="0">
      <selection activeCell="A13" sqref="A13"/>
    </sheetView>
  </sheetViews>
  <sheetFormatPr defaultColWidth="9.140625" defaultRowHeight="12.75" x14ac:dyDescent="0.2"/>
  <cols>
    <col min="1" max="1" width="9.140625" style="1"/>
    <col min="2" max="2" width="63" style="1" customWidth="1"/>
    <col min="3" max="3" width="12.140625" style="1" customWidth="1"/>
    <col min="4" max="16384" width="9.140625" style="1"/>
  </cols>
  <sheetData>
    <row r="1" spans="1:3" ht="42.2" customHeight="1" x14ac:dyDescent="0.2">
      <c r="A1" s="78" t="s">
        <v>120</v>
      </c>
      <c r="B1" s="78"/>
      <c r="C1" s="78"/>
    </row>
    <row r="3" spans="1:3" x14ac:dyDescent="0.2">
      <c r="A3" s="77"/>
      <c r="B3" s="77"/>
      <c r="C3" s="23" t="s">
        <v>170</v>
      </c>
    </row>
    <row r="4" spans="1:3" x14ac:dyDescent="0.2">
      <c r="A4" s="25" t="s">
        <v>60</v>
      </c>
      <c r="B4" s="25" t="s">
        <v>61</v>
      </c>
      <c r="C4" s="24">
        <v>772885.09576199984</v>
      </c>
    </row>
    <row r="5" spans="1:3" x14ac:dyDescent="0.2">
      <c r="A5" s="25" t="s">
        <v>62</v>
      </c>
      <c r="B5" s="25" t="s">
        <v>63</v>
      </c>
      <c r="C5" s="24">
        <v>100237.43681299999</v>
      </c>
    </row>
    <row r="6" spans="1:3" x14ac:dyDescent="0.2">
      <c r="A6" s="25" t="s">
        <v>64</v>
      </c>
      <c r="B6" s="25" t="s">
        <v>65</v>
      </c>
      <c r="C6" s="24">
        <v>457897.27552000002</v>
      </c>
    </row>
    <row r="7" spans="1:3" x14ac:dyDescent="0.2">
      <c r="A7" s="25" t="s">
        <v>66</v>
      </c>
      <c r="B7" s="25" t="s">
        <v>67</v>
      </c>
      <c r="C7" s="24">
        <v>3796845.1484520002</v>
      </c>
    </row>
    <row r="8" spans="1:3" x14ac:dyDescent="0.2">
      <c r="A8" s="25" t="s">
        <v>68</v>
      </c>
      <c r="B8" s="25" t="s">
        <v>69</v>
      </c>
      <c r="C8" s="24">
        <v>2472154.5496740001</v>
      </c>
    </row>
    <row r="9" spans="1:3" x14ac:dyDescent="0.2">
      <c r="A9" s="25" t="s">
        <v>121</v>
      </c>
      <c r="B9" s="25" t="s">
        <v>122</v>
      </c>
      <c r="C9" s="24"/>
    </row>
    <row r="10" spans="1:3" x14ac:dyDescent="0.2">
      <c r="A10" s="25" t="s">
        <v>70</v>
      </c>
      <c r="B10" s="25" t="s">
        <v>71</v>
      </c>
      <c r="C10" s="24">
        <v>8629820.3599410001</v>
      </c>
    </row>
    <row r="11" spans="1:3" ht="17.100000000000001" customHeight="1" x14ac:dyDescent="0.2"/>
    <row r="12" spans="1:3" ht="42.2" customHeight="1" x14ac:dyDescent="0.2">
      <c r="A12" s="78" t="s">
        <v>176</v>
      </c>
      <c r="B12" s="78"/>
      <c r="C12" s="78"/>
    </row>
    <row r="13" spans="1:3" ht="17.100000000000001" customHeight="1" x14ac:dyDescent="0.2"/>
    <row r="14" spans="1:3" ht="42.2" customHeight="1" x14ac:dyDescent="0.2">
      <c r="A14" s="20" t="s">
        <v>99</v>
      </c>
    </row>
    <row r="16" spans="1:3" x14ac:dyDescent="0.2">
      <c r="A16" s="26" t="str">
        <f t="shared" ref="A16:C20" si="0">A4</f>
        <v>R0520</v>
      </c>
      <c r="B16" s="26" t="str">
        <f t="shared" si="0"/>
        <v>Technical provisions – non-life (excluding health)</v>
      </c>
      <c r="C16" s="1">
        <f t="shared" si="0"/>
        <v>772885.09576199984</v>
      </c>
    </row>
    <row r="17" spans="1:3" x14ac:dyDescent="0.2">
      <c r="A17" s="26" t="str">
        <f t="shared" si="0"/>
        <v>R0560</v>
      </c>
      <c r="B17" s="26" t="str">
        <f t="shared" si="0"/>
        <v>Technical provisions - health (similar to non-life)</v>
      </c>
      <c r="C17" s="1">
        <f t="shared" si="0"/>
        <v>100237.43681299999</v>
      </c>
    </row>
    <row r="18" spans="1:3" x14ac:dyDescent="0.2">
      <c r="A18" s="26" t="str">
        <f t="shared" si="0"/>
        <v>R0610</v>
      </c>
      <c r="B18" s="26" t="str">
        <f t="shared" si="0"/>
        <v>Technical provisions - health (similar to life)</v>
      </c>
      <c r="C18" s="1">
        <f t="shared" si="0"/>
        <v>457897.27552000002</v>
      </c>
    </row>
    <row r="19" spans="1:3" x14ac:dyDescent="0.2">
      <c r="A19" s="26" t="str">
        <f t="shared" si="0"/>
        <v>R0650</v>
      </c>
      <c r="B19" s="26" t="str">
        <f t="shared" si="0"/>
        <v>Technical provisions – life (excluding health and index-linked and unit-linked)</v>
      </c>
      <c r="C19" s="1">
        <f t="shared" si="0"/>
        <v>3796845.1484520002</v>
      </c>
    </row>
    <row r="20" spans="1:3" x14ac:dyDescent="0.2">
      <c r="A20" s="26" t="str">
        <f t="shared" si="0"/>
        <v>R0690</v>
      </c>
      <c r="B20" s="26" t="str">
        <f t="shared" si="0"/>
        <v>Technical provisions – index-linked and unit-linked</v>
      </c>
      <c r="C20" s="1">
        <f t="shared" si="0"/>
        <v>2472154.5496740001</v>
      </c>
    </row>
    <row r="21" spans="1:3" x14ac:dyDescent="0.2">
      <c r="A21" s="1" t="s">
        <v>72</v>
      </c>
      <c r="B21" s="1" t="s">
        <v>73</v>
      </c>
      <c r="C21" s="1">
        <f>C10-SUM(C4:C8)</f>
        <v>1029800.85372</v>
      </c>
    </row>
    <row r="22" spans="1:3" x14ac:dyDescent="0.2">
      <c r="A22" s="1" t="s">
        <v>74</v>
      </c>
      <c r="B22" s="1" t="s">
        <v>75</v>
      </c>
      <c r="C22" s="1">
        <f>SUM(C16:C21)</f>
        <v>8629820.3599410001</v>
      </c>
    </row>
    <row r="23" spans="1:3" x14ac:dyDescent="0.2">
      <c r="C23" s="1" t="b">
        <f>C22=C10</f>
        <v>1</v>
      </c>
    </row>
  </sheetData>
  <mergeCells count="3">
    <mergeCell ref="A3:B3"/>
    <mergeCell ref="A1:C1"/>
    <mergeCell ref="A12:C12"/>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C39"/>
  <sheetViews>
    <sheetView workbookViewId="0">
      <selection activeCell="B29" sqref="B29"/>
    </sheetView>
  </sheetViews>
  <sheetFormatPr defaultColWidth="9.140625" defaultRowHeight="12.75" x14ac:dyDescent="0.2"/>
  <cols>
    <col min="1" max="1" width="17.42578125" style="1" customWidth="1"/>
    <col min="2" max="2" width="9.140625" style="1"/>
    <col min="3" max="3" width="19.85546875" style="1" customWidth="1"/>
    <col min="4" max="4" width="10" style="1" customWidth="1"/>
    <col min="5" max="16384" width="9.140625" style="1"/>
  </cols>
  <sheetData>
    <row r="1" spans="1:3" ht="28.7" customHeight="1" x14ac:dyDescent="0.2">
      <c r="A1" s="78" t="s">
        <v>123</v>
      </c>
      <c r="B1" s="78"/>
      <c r="C1" s="78"/>
    </row>
    <row r="3" spans="1:3" x14ac:dyDescent="0.2">
      <c r="A3" s="37"/>
      <c r="B3" s="34"/>
      <c r="C3" s="47" t="s">
        <v>76</v>
      </c>
    </row>
    <row r="4" spans="1:3" x14ac:dyDescent="0.2">
      <c r="A4" s="38"/>
      <c r="C4" s="52" t="s">
        <v>77</v>
      </c>
    </row>
    <row r="5" spans="1:3" x14ac:dyDescent="0.2">
      <c r="A5" s="39"/>
      <c r="B5" s="35"/>
      <c r="C5" s="52" t="s">
        <v>170</v>
      </c>
    </row>
    <row r="6" spans="1:3" x14ac:dyDescent="0.2">
      <c r="A6" s="42" t="s">
        <v>29</v>
      </c>
      <c r="B6" s="36"/>
      <c r="C6" s="59">
        <v>138099.876834</v>
      </c>
    </row>
    <row r="7" spans="1:3" x14ac:dyDescent="0.2">
      <c r="A7" s="42" t="s">
        <v>30</v>
      </c>
      <c r="B7" s="36"/>
      <c r="C7" s="59">
        <v>115778.772392</v>
      </c>
    </row>
    <row r="8" spans="1:3" x14ac:dyDescent="0.2">
      <c r="A8" s="42" t="s">
        <v>40</v>
      </c>
      <c r="B8" s="36"/>
      <c r="C8" s="59">
        <v>77053.594144999995</v>
      </c>
    </row>
    <row r="9" spans="1:3" x14ac:dyDescent="0.2">
      <c r="A9" s="42" t="s">
        <v>47</v>
      </c>
      <c r="B9" s="36"/>
      <c r="C9" s="59">
        <v>41612.944089999997</v>
      </c>
    </row>
    <row r="10" spans="1:3" x14ac:dyDescent="0.2">
      <c r="A10" s="42" t="s">
        <v>34</v>
      </c>
      <c r="B10" s="36"/>
      <c r="C10" s="59">
        <v>41321.983323</v>
      </c>
    </row>
    <row r="11" spans="1:3" x14ac:dyDescent="0.2">
      <c r="A11" s="42" t="s">
        <v>21</v>
      </c>
      <c r="B11" s="36"/>
      <c r="C11" s="59">
        <v>26533.288295999999</v>
      </c>
    </row>
    <row r="12" spans="1:3" x14ac:dyDescent="0.2">
      <c r="A12" s="42" t="s">
        <v>33</v>
      </c>
      <c r="B12" s="36"/>
      <c r="C12" s="59">
        <v>19291.597819999999</v>
      </c>
    </row>
    <row r="13" spans="1:3" x14ac:dyDescent="0.2">
      <c r="A13" s="42" t="s">
        <v>38</v>
      </c>
      <c r="B13" s="36"/>
      <c r="C13" s="59">
        <v>17272.414135999999</v>
      </c>
    </row>
    <row r="14" spans="1:3" x14ac:dyDescent="0.2">
      <c r="A14" s="42" t="s">
        <v>42</v>
      </c>
      <c r="B14" s="36"/>
      <c r="C14" s="59">
        <v>13746.832128</v>
      </c>
    </row>
    <row r="15" spans="1:3" x14ac:dyDescent="0.2">
      <c r="A15" s="42" t="s">
        <v>20</v>
      </c>
      <c r="B15" s="36"/>
      <c r="C15" s="59">
        <v>13000.36644</v>
      </c>
    </row>
    <row r="16" spans="1:3" x14ac:dyDescent="0.2">
      <c r="A16" s="42" t="s">
        <v>48</v>
      </c>
      <c r="B16" s="36"/>
      <c r="C16" s="59">
        <v>12914.790935000001</v>
      </c>
    </row>
    <row r="17" spans="1:3" x14ac:dyDescent="0.2">
      <c r="A17" s="42" t="s">
        <v>26</v>
      </c>
      <c r="B17" s="36"/>
      <c r="C17" s="59">
        <v>11335.955212999999</v>
      </c>
    </row>
    <row r="18" spans="1:3" x14ac:dyDescent="0.2">
      <c r="A18" s="42" t="s">
        <v>41</v>
      </c>
      <c r="B18" s="36"/>
      <c r="C18" s="59">
        <v>9356.5890029999991</v>
      </c>
    </row>
    <row r="19" spans="1:3" x14ac:dyDescent="0.2">
      <c r="A19" s="42" t="s">
        <v>43</v>
      </c>
      <c r="B19" s="36"/>
      <c r="C19" s="59">
        <v>6605.7476660000002</v>
      </c>
    </row>
    <row r="20" spans="1:3" x14ac:dyDescent="0.2">
      <c r="A20" s="42" t="s">
        <v>171</v>
      </c>
      <c r="B20" s="36"/>
      <c r="C20" s="59">
        <v>6275.5834050000003</v>
      </c>
    </row>
    <row r="21" spans="1:3" x14ac:dyDescent="0.2">
      <c r="A21" s="42" t="s">
        <v>39</v>
      </c>
      <c r="B21" s="36"/>
      <c r="C21" s="59">
        <v>4439.5801439999996</v>
      </c>
    </row>
    <row r="22" spans="1:3" x14ac:dyDescent="0.2">
      <c r="A22" s="42" t="s">
        <v>28</v>
      </c>
      <c r="B22" s="36"/>
      <c r="C22" s="59">
        <v>4184.3091640000002</v>
      </c>
    </row>
    <row r="23" spans="1:3" x14ac:dyDescent="0.2">
      <c r="A23" s="42" t="s">
        <v>44</v>
      </c>
      <c r="B23" s="36"/>
      <c r="C23" s="59">
        <v>3308.6552390000002</v>
      </c>
    </row>
    <row r="24" spans="1:3" x14ac:dyDescent="0.2">
      <c r="A24" s="42" t="s">
        <v>31</v>
      </c>
      <c r="B24" s="36"/>
      <c r="C24" s="59">
        <v>2611.6758020000002</v>
      </c>
    </row>
    <row r="25" spans="1:3" x14ac:dyDescent="0.2">
      <c r="A25" s="42" t="s">
        <v>32</v>
      </c>
      <c r="B25" s="36"/>
      <c r="C25" s="59">
        <v>2257.2516580000001</v>
      </c>
    </row>
    <row r="26" spans="1:3" x14ac:dyDescent="0.2">
      <c r="A26" s="42" t="s">
        <v>36</v>
      </c>
      <c r="B26" s="36"/>
      <c r="C26" s="59">
        <v>2204.7443360000002</v>
      </c>
    </row>
    <row r="27" spans="1:3" x14ac:dyDescent="0.2">
      <c r="A27" s="42" t="s">
        <v>22</v>
      </c>
      <c r="B27" s="36"/>
      <c r="C27" s="59">
        <v>1845.2432899999999</v>
      </c>
    </row>
    <row r="28" spans="1:3" x14ac:dyDescent="0.2">
      <c r="A28" s="42" t="s">
        <v>46</v>
      </c>
      <c r="B28" s="36"/>
      <c r="C28" s="59">
        <v>1797.046155</v>
      </c>
    </row>
    <row r="29" spans="1:3" x14ac:dyDescent="0.2">
      <c r="A29" s="42" t="s">
        <v>23</v>
      </c>
      <c r="B29" s="36"/>
      <c r="C29" s="59">
        <v>1622.6955949999999</v>
      </c>
    </row>
    <row r="30" spans="1:3" x14ac:dyDescent="0.2">
      <c r="A30" s="42" t="s">
        <v>45</v>
      </c>
      <c r="B30" s="36"/>
      <c r="C30" s="59">
        <v>1269.832662</v>
      </c>
    </row>
    <row r="31" spans="1:3" x14ac:dyDescent="0.2">
      <c r="A31" s="42" t="s">
        <v>24</v>
      </c>
      <c r="B31" s="36"/>
      <c r="C31" s="59">
        <v>1051.2330750000001</v>
      </c>
    </row>
    <row r="32" spans="1:3" x14ac:dyDescent="0.2">
      <c r="A32" s="42" t="s">
        <v>37</v>
      </c>
      <c r="B32" s="36"/>
      <c r="C32" s="59">
        <v>927.49620700000003</v>
      </c>
    </row>
    <row r="33" spans="1:3" x14ac:dyDescent="0.2">
      <c r="A33" s="40" t="s">
        <v>27</v>
      </c>
      <c r="B33" s="41"/>
      <c r="C33" s="60">
        <v>897.30850699999996</v>
      </c>
    </row>
    <row r="34" spans="1:3" x14ac:dyDescent="0.2">
      <c r="A34" s="42" t="s">
        <v>35</v>
      </c>
      <c r="B34" s="36"/>
      <c r="C34" s="59">
        <v>683.594426</v>
      </c>
    </row>
    <row r="35" spans="1:3" x14ac:dyDescent="0.2">
      <c r="A35" s="43" t="s">
        <v>145</v>
      </c>
      <c r="B35" s="51"/>
      <c r="C35" s="61">
        <v>657.53303300000005</v>
      </c>
    </row>
    <row r="36" spans="1:3" ht="15" x14ac:dyDescent="0.25">
      <c r="A36"/>
      <c r="B36"/>
      <c r="C36"/>
    </row>
    <row r="37" spans="1:3" ht="15" x14ac:dyDescent="0.25">
      <c r="A37"/>
      <c r="B37"/>
      <c r="C37"/>
    </row>
    <row r="39" spans="1:3" ht="55.7" customHeight="1" x14ac:dyDescent="0.2">
      <c r="A39" s="78" t="s">
        <v>173</v>
      </c>
      <c r="B39" s="78"/>
      <c r="C39" s="78"/>
    </row>
  </sheetData>
  <autoFilter ref="A5:C5" xr:uid="{00000000-0001-0000-0400-000000000000}">
    <sortState xmlns:xlrd2="http://schemas.microsoft.com/office/spreadsheetml/2017/richdata2" ref="A6:C35">
      <sortCondition descending="1" ref="C5"/>
    </sortState>
  </autoFilter>
  <sortState xmlns:xlrd2="http://schemas.microsoft.com/office/spreadsheetml/2017/richdata2" ref="A6:D34">
    <sortCondition descending="1" ref="C6:C34"/>
  </sortState>
  <mergeCells count="2">
    <mergeCell ref="A1:C1"/>
    <mergeCell ref="A39:C39"/>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G31"/>
  <sheetViews>
    <sheetView zoomScaleNormal="100" workbookViewId="0">
      <selection activeCell="F7" sqref="F7"/>
    </sheetView>
  </sheetViews>
  <sheetFormatPr defaultRowHeight="15" x14ac:dyDescent="0.25"/>
  <cols>
    <col min="1" max="1" width="17" bestFit="1" customWidth="1"/>
    <col min="2" max="2" width="16.5703125" bestFit="1" customWidth="1"/>
    <col min="3" max="3" width="6.140625" bestFit="1" customWidth="1"/>
    <col min="4" max="4" width="13.28515625" bestFit="1" customWidth="1"/>
    <col min="5" max="5" width="9.85546875" bestFit="1" customWidth="1"/>
    <col min="6" max="6" width="11.42578125" bestFit="1" customWidth="1"/>
    <col min="7" max="7" width="29" bestFit="1" customWidth="1"/>
  </cols>
  <sheetData>
    <row r="1" spans="1:7" x14ac:dyDescent="0.25">
      <c r="A1" t="s">
        <v>158</v>
      </c>
      <c r="B1" t="s">
        <v>159</v>
      </c>
      <c r="C1" t="s">
        <v>160</v>
      </c>
      <c r="D1" t="s">
        <v>161</v>
      </c>
      <c r="E1" t="s">
        <v>162</v>
      </c>
      <c r="F1" t="s">
        <v>163</v>
      </c>
      <c r="G1" t="s">
        <v>169</v>
      </c>
    </row>
    <row r="2" spans="1:7" x14ac:dyDescent="0.25">
      <c r="A2" t="s">
        <v>29</v>
      </c>
      <c r="B2" t="s">
        <v>170</v>
      </c>
      <c r="C2" t="s">
        <v>164</v>
      </c>
      <c r="D2" t="s">
        <v>165</v>
      </c>
      <c r="E2" t="s">
        <v>166</v>
      </c>
      <c r="F2" s="57">
        <v>217658.80564999999</v>
      </c>
      <c r="G2">
        <v>20250723</v>
      </c>
    </row>
    <row r="3" spans="1:7" x14ac:dyDescent="0.25">
      <c r="A3" t="s">
        <v>30</v>
      </c>
      <c r="B3" t="s">
        <v>170</v>
      </c>
      <c r="C3" t="s">
        <v>164</v>
      </c>
      <c r="D3" t="s">
        <v>165</v>
      </c>
      <c r="E3" t="s">
        <v>166</v>
      </c>
      <c r="F3" s="57">
        <v>160945.64719600001</v>
      </c>
      <c r="G3">
        <v>20250723</v>
      </c>
    </row>
    <row r="4" spans="1:7" x14ac:dyDescent="0.25">
      <c r="A4" t="s">
        <v>34</v>
      </c>
      <c r="B4" t="s">
        <v>170</v>
      </c>
      <c r="C4" t="s">
        <v>164</v>
      </c>
      <c r="D4" t="s">
        <v>165</v>
      </c>
      <c r="E4" t="s">
        <v>166</v>
      </c>
      <c r="F4" s="57">
        <v>112076.050736</v>
      </c>
      <c r="G4">
        <v>20250723</v>
      </c>
    </row>
    <row r="5" spans="1:7" x14ac:dyDescent="0.25">
      <c r="A5" t="s">
        <v>33</v>
      </c>
      <c r="B5" t="s">
        <v>170</v>
      </c>
      <c r="C5" t="s">
        <v>164</v>
      </c>
      <c r="D5" t="s">
        <v>165</v>
      </c>
      <c r="E5" t="s">
        <v>166</v>
      </c>
      <c r="F5" s="57">
        <v>56860.055789999999</v>
      </c>
      <c r="G5">
        <v>20250723</v>
      </c>
    </row>
    <row r="6" spans="1:7" x14ac:dyDescent="0.25">
      <c r="A6" t="s">
        <v>26</v>
      </c>
      <c r="B6" t="s">
        <v>170</v>
      </c>
      <c r="C6" t="s">
        <v>164</v>
      </c>
      <c r="D6" t="s">
        <v>165</v>
      </c>
      <c r="E6" t="s">
        <v>166</v>
      </c>
      <c r="F6" s="57">
        <v>34288.989201999997</v>
      </c>
      <c r="G6">
        <v>20250723</v>
      </c>
    </row>
    <row r="7" spans="1:7" x14ac:dyDescent="0.25">
      <c r="A7" t="s">
        <v>48</v>
      </c>
      <c r="B7" t="s">
        <v>170</v>
      </c>
      <c r="C7" t="s">
        <v>164</v>
      </c>
      <c r="D7" t="s">
        <v>165</v>
      </c>
      <c r="E7" t="s">
        <v>166</v>
      </c>
      <c r="F7" s="57">
        <v>32619.838731</v>
      </c>
      <c r="G7">
        <v>20250723</v>
      </c>
    </row>
    <row r="8" spans="1:7" x14ac:dyDescent="0.25">
      <c r="A8" t="s">
        <v>47</v>
      </c>
      <c r="B8" t="s">
        <v>170</v>
      </c>
      <c r="C8" t="s">
        <v>164</v>
      </c>
      <c r="D8" t="s">
        <v>165</v>
      </c>
      <c r="E8" t="s">
        <v>166</v>
      </c>
      <c r="F8" s="57">
        <v>31029.387159000002</v>
      </c>
      <c r="G8">
        <v>20250723</v>
      </c>
    </row>
    <row r="9" spans="1:7" x14ac:dyDescent="0.25">
      <c r="A9" t="s">
        <v>38</v>
      </c>
      <c r="B9" t="s">
        <v>170</v>
      </c>
      <c r="C9" t="s">
        <v>164</v>
      </c>
      <c r="D9" t="s">
        <v>165</v>
      </c>
      <c r="E9" t="s">
        <v>166</v>
      </c>
      <c r="F9" s="57">
        <v>30611.827462000001</v>
      </c>
      <c r="G9">
        <v>20250723</v>
      </c>
    </row>
    <row r="10" spans="1:7" x14ac:dyDescent="0.25">
      <c r="A10" t="s">
        <v>21</v>
      </c>
      <c r="B10" t="s">
        <v>170</v>
      </c>
      <c r="C10" t="s">
        <v>164</v>
      </c>
      <c r="D10" t="s">
        <v>165</v>
      </c>
      <c r="E10" t="s">
        <v>166</v>
      </c>
      <c r="F10" s="57">
        <v>19873.779065999999</v>
      </c>
      <c r="G10">
        <v>20250723</v>
      </c>
    </row>
    <row r="11" spans="1:7" x14ac:dyDescent="0.25">
      <c r="A11" t="s">
        <v>40</v>
      </c>
      <c r="B11" t="s">
        <v>170</v>
      </c>
      <c r="C11" t="s">
        <v>164</v>
      </c>
      <c r="D11" t="s">
        <v>165</v>
      </c>
      <c r="E11" t="s">
        <v>166</v>
      </c>
      <c r="F11" s="57">
        <v>16611.624156999998</v>
      </c>
      <c r="G11">
        <v>20250723</v>
      </c>
    </row>
    <row r="12" spans="1:7" x14ac:dyDescent="0.25">
      <c r="A12" t="s">
        <v>41</v>
      </c>
      <c r="B12" t="s">
        <v>170</v>
      </c>
      <c r="C12" t="s">
        <v>164</v>
      </c>
      <c r="D12" t="s">
        <v>165</v>
      </c>
      <c r="E12" t="s">
        <v>166</v>
      </c>
      <c r="F12" s="57">
        <v>16393.512294</v>
      </c>
      <c r="G12">
        <v>20250723</v>
      </c>
    </row>
    <row r="13" spans="1:7" x14ac:dyDescent="0.25">
      <c r="A13" t="s">
        <v>20</v>
      </c>
      <c r="B13" t="s">
        <v>170</v>
      </c>
      <c r="C13" t="s">
        <v>164</v>
      </c>
      <c r="D13" t="s">
        <v>165</v>
      </c>
      <c r="E13" t="s">
        <v>166</v>
      </c>
      <c r="F13" s="57">
        <v>8311.2355910000006</v>
      </c>
      <c r="G13">
        <v>20250723</v>
      </c>
    </row>
    <row r="14" spans="1:7" x14ac:dyDescent="0.25">
      <c r="A14" t="s">
        <v>43</v>
      </c>
      <c r="B14" t="s">
        <v>170</v>
      </c>
      <c r="C14" t="s">
        <v>164</v>
      </c>
      <c r="D14" t="s">
        <v>165</v>
      </c>
      <c r="E14" t="s">
        <v>166</v>
      </c>
      <c r="F14" s="57">
        <v>6686.2020359999997</v>
      </c>
      <c r="G14">
        <v>20250723</v>
      </c>
    </row>
    <row r="15" spans="1:7" x14ac:dyDescent="0.25">
      <c r="A15" t="s">
        <v>28</v>
      </c>
      <c r="B15" t="s">
        <v>170</v>
      </c>
      <c r="C15" t="s">
        <v>164</v>
      </c>
      <c r="D15" t="s">
        <v>165</v>
      </c>
      <c r="E15" t="s">
        <v>166</v>
      </c>
      <c r="F15" s="57">
        <v>5493.4737219999997</v>
      </c>
      <c r="G15">
        <v>20250723</v>
      </c>
    </row>
    <row r="16" spans="1:7" x14ac:dyDescent="0.25">
      <c r="A16" t="s">
        <v>42</v>
      </c>
      <c r="B16" t="s">
        <v>170</v>
      </c>
      <c r="C16" t="s">
        <v>164</v>
      </c>
      <c r="D16" t="s">
        <v>165</v>
      </c>
      <c r="E16" t="s">
        <v>166</v>
      </c>
      <c r="F16" s="57">
        <v>5164.4221500000003</v>
      </c>
      <c r="G16">
        <v>20250723</v>
      </c>
    </row>
    <row r="17" spans="1:7" x14ac:dyDescent="0.25">
      <c r="A17" t="s">
        <v>39</v>
      </c>
      <c r="B17" t="s">
        <v>170</v>
      </c>
      <c r="C17" t="s">
        <v>164</v>
      </c>
      <c r="D17" t="s">
        <v>165</v>
      </c>
      <c r="E17" t="s">
        <v>166</v>
      </c>
      <c r="F17" s="57">
        <v>2916.126792</v>
      </c>
      <c r="G17">
        <v>20250723</v>
      </c>
    </row>
    <row r="18" spans="1:7" x14ac:dyDescent="0.25">
      <c r="A18" t="s">
        <v>31</v>
      </c>
      <c r="B18" t="s">
        <v>170</v>
      </c>
      <c r="C18" t="s">
        <v>164</v>
      </c>
      <c r="D18" t="s">
        <v>165</v>
      </c>
      <c r="E18" t="s">
        <v>166</v>
      </c>
      <c r="F18" s="57">
        <v>2795.814065</v>
      </c>
      <c r="G18">
        <v>20250723</v>
      </c>
    </row>
    <row r="19" spans="1:7" x14ac:dyDescent="0.25">
      <c r="A19" t="s">
        <v>36</v>
      </c>
      <c r="B19" t="s">
        <v>170</v>
      </c>
      <c r="C19" t="s">
        <v>164</v>
      </c>
      <c r="D19" t="s">
        <v>165</v>
      </c>
      <c r="E19" t="s">
        <v>166</v>
      </c>
      <c r="F19" s="57">
        <v>2680.8952939999999</v>
      </c>
      <c r="G19">
        <v>20250723</v>
      </c>
    </row>
    <row r="20" spans="1:7" x14ac:dyDescent="0.25">
      <c r="A20" t="s">
        <v>171</v>
      </c>
      <c r="B20" t="s">
        <v>170</v>
      </c>
      <c r="C20" t="s">
        <v>164</v>
      </c>
      <c r="D20" t="s">
        <v>165</v>
      </c>
      <c r="E20" t="s">
        <v>166</v>
      </c>
      <c r="F20" s="57">
        <v>2011.0918340000001</v>
      </c>
      <c r="G20">
        <v>20250723</v>
      </c>
    </row>
    <row r="21" spans="1:7" x14ac:dyDescent="0.25">
      <c r="A21" t="s">
        <v>32</v>
      </c>
      <c r="B21" t="s">
        <v>170</v>
      </c>
      <c r="C21" t="s">
        <v>164</v>
      </c>
      <c r="D21" t="s">
        <v>165</v>
      </c>
      <c r="E21" t="s">
        <v>166</v>
      </c>
      <c r="F21" s="57">
        <v>1470.2664480000001</v>
      </c>
      <c r="G21">
        <v>20250723</v>
      </c>
    </row>
    <row r="22" spans="1:7" x14ac:dyDescent="0.25">
      <c r="A22" t="s">
        <v>45</v>
      </c>
      <c r="B22" t="s">
        <v>170</v>
      </c>
      <c r="C22" t="s">
        <v>164</v>
      </c>
      <c r="D22" t="s">
        <v>165</v>
      </c>
      <c r="E22" t="s">
        <v>166</v>
      </c>
      <c r="F22" s="57">
        <v>781.72925899999996</v>
      </c>
      <c r="G22">
        <v>20250723</v>
      </c>
    </row>
    <row r="23" spans="1:7" x14ac:dyDescent="0.25">
      <c r="A23" t="s">
        <v>24</v>
      </c>
      <c r="B23" t="s">
        <v>170</v>
      </c>
      <c r="C23" t="s">
        <v>164</v>
      </c>
      <c r="D23" t="s">
        <v>165</v>
      </c>
      <c r="E23" t="s">
        <v>166</v>
      </c>
      <c r="F23" s="57">
        <v>653.76775399999997</v>
      </c>
      <c r="G23">
        <v>20250723</v>
      </c>
    </row>
    <row r="24" spans="1:7" x14ac:dyDescent="0.25">
      <c r="A24" t="s">
        <v>46</v>
      </c>
      <c r="B24" t="s">
        <v>170</v>
      </c>
      <c r="C24" t="s">
        <v>164</v>
      </c>
      <c r="D24" t="s">
        <v>165</v>
      </c>
      <c r="E24" t="s">
        <v>166</v>
      </c>
      <c r="F24" s="57">
        <v>636.29949999999997</v>
      </c>
      <c r="G24">
        <v>20250723</v>
      </c>
    </row>
    <row r="25" spans="1:7" x14ac:dyDescent="0.25">
      <c r="A25" t="s">
        <v>44</v>
      </c>
      <c r="B25" t="s">
        <v>170</v>
      </c>
      <c r="C25" t="s">
        <v>164</v>
      </c>
      <c r="D25" t="s">
        <v>165</v>
      </c>
      <c r="E25" t="s">
        <v>166</v>
      </c>
      <c r="F25" s="57">
        <v>629.94925699999999</v>
      </c>
      <c r="G25">
        <v>20250723</v>
      </c>
    </row>
    <row r="26" spans="1:7" x14ac:dyDescent="0.25">
      <c r="A26" t="s">
        <v>22</v>
      </c>
      <c r="B26" t="s">
        <v>170</v>
      </c>
      <c r="C26" t="s">
        <v>164</v>
      </c>
      <c r="D26" t="s">
        <v>165</v>
      </c>
      <c r="E26" t="s">
        <v>166</v>
      </c>
      <c r="F26" s="57">
        <v>355.47796199999999</v>
      </c>
      <c r="G26">
        <v>20250723</v>
      </c>
    </row>
    <row r="27" spans="1:7" x14ac:dyDescent="0.25">
      <c r="A27" t="s">
        <v>23</v>
      </c>
      <c r="B27" t="s">
        <v>170</v>
      </c>
      <c r="C27" t="s">
        <v>164</v>
      </c>
      <c r="D27" t="s">
        <v>165</v>
      </c>
      <c r="E27" t="s">
        <v>166</v>
      </c>
      <c r="F27" s="57">
        <v>336.20459</v>
      </c>
      <c r="G27">
        <v>20250723</v>
      </c>
    </row>
    <row r="28" spans="1:7" x14ac:dyDescent="0.25">
      <c r="A28" t="s">
        <v>27</v>
      </c>
      <c r="B28" t="s">
        <v>170</v>
      </c>
      <c r="C28" t="s">
        <v>164</v>
      </c>
      <c r="D28" t="s">
        <v>165</v>
      </c>
      <c r="E28" t="s">
        <v>166</v>
      </c>
      <c r="F28" s="57">
        <v>293.205353</v>
      </c>
      <c r="G28">
        <v>20250723</v>
      </c>
    </row>
    <row r="29" spans="1:7" x14ac:dyDescent="0.25">
      <c r="A29" t="s">
        <v>37</v>
      </c>
      <c r="B29" t="s">
        <v>170</v>
      </c>
      <c r="C29" t="s">
        <v>164</v>
      </c>
      <c r="D29" t="s">
        <v>165</v>
      </c>
      <c r="E29" t="s">
        <v>166</v>
      </c>
      <c r="F29" s="57">
        <v>176.764162</v>
      </c>
      <c r="G29">
        <v>20250723</v>
      </c>
    </row>
    <row r="30" spans="1:7" x14ac:dyDescent="0.25">
      <c r="A30" t="s">
        <v>35</v>
      </c>
      <c r="B30" t="s">
        <v>170</v>
      </c>
      <c r="C30" t="s">
        <v>164</v>
      </c>
      <c r="D30" t="s">
        <v>165</v>
      </c>
      <c r="E30" t="s">
        <v>166</v>
      </c>
      <c r="F30" s="57">
        <v>97.219649000000004</v>
      </c>
      <c r="G30">
        <v>20250723</v>
      </c>
    </row>
    <row r="31" spans="1:7" x14ac:dyDescent="0.25">
      <c r="A31" t="s">
        <v>145</v>
      </c>
      <c r="B31" t="s">
        <v>170</v>
      </c>
      <c r="C31" t="s">
        <v>164</v>
      </c>
      <c r="D31" t="s">
        <v>165</v>
      </c>
      <c r="E31" t="s">
        <v>166</v>
      </c>
      <c r="F31" s="57">
        <v>69.457329999999999</v>
      </c>
      <c r="G31">
        <v>20250723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M33"/>
  <sheetViews>
    <sheetView topLeftCell="A2" zoomScaleNormal="100" workbookViewId="0">
      <selection activeCell="J23" sqref="J23"/>
    </sheetView>
  </sheetViews>
  <sheetFormatPr defaultColWidth="9.140625" defaultRowHeight="12.75" x14ac:dyDescent="0.2"/>
  <cols>
    <col min="1" max="16384" width="9.140625" style="1"/>
  </cols>
  <sheetData>
    <row r="1" spans="1:13" x14ac:dyDescent="0.2">
      <c r="A1" s="1" t="s">
        <v>162</v>
      </c>
      <c r="B1" s="1" t="s">
        <v>100</v>
      </c>
      <c r="C1" s="1" t="s">
        <v>101</v>
      </c>
      <c r="D1" s="1" t="s">
        <v>102</v>
      </c>
      <c r="E1" s="1" t="s">
        <v>103</v>
      </c>
      <c r="F1" s="1" t="s">
        <v>104</v>
      </c>
      <c r="G1" s="1" t="s">
        <v>105</v>
      </c>
      <c r="H1" s="1" t="s">
        <v>106</v>
      </c>
      <c r="I1" s="1" t="s">
        <v>107</v>
      </c>
      <c r="J1" s="1" t="s">
        <v>108</v>
      </c>
      <c r="K1" s="1" t="s">
        <v>109</v>
      </c>
      <c r="L1" s="1" t="s">
        <v>110</v>
      </c>
      <c r="M1" s="1" t="s">
        <v>111</v>
      </c>
    </row>
    <row r="2" spans="1:13" s="54" customFormat="1" ht="63.75" x14ac:dyDescent="0.2">
      <c r="A2" s="54" t="s">
        <v>174</v>
      </c>
      <c r="B2" s="54" t="s">
        <v>84</v>
      </c>
      <c r="C2" s="54" t="s">
        <v>85</v>
      </c>
      <c r="D2" s="54" t="s">
        <v>86</v>
      </c>
      <c r="E2" s="54" t="s">
        <v>87</v>
      </c>
      <c r="F2" s="54" t="s">
        <v>88</v>
      </c>
      <c r="G2" s="54" t="s">
        <v>89</v>
      </c>
      <c r="H2" s="54" t="s">
        <v>78</v>
      </c>
      <c r="I2" s="54" t="s">
        <v>79</v>
      </c>
      <c r="J2" s="54" t="s">
        <v>80</v>
      </c>
      <c r="K2" s="54" t="s">
        <v>81</v>
      </c>
      <c r="L2" s="54" t="s">
        <v>82</v>
      </c>
      <c r="M2" s="54" t="s">
        <v>83</v>
      </c>
    </row>
    <row r="3" spans="1:13" x14ac:dyDescent="0.2">
      <c r="A3" s="1" t="s">
        <v>20</v>
      </c>
      <c r="B3" s="1">
        <v>2.9462700000000002</v>
      </c>
      <c r="C3" s="1">
        <v>1.6758999999999999</v>
      </c>
      <c r="D3" s="1">
        <v>2.0523899999999999</v>
      </c>
      <c r="E3" s="1">
        <v>2.5283000000000002</v>
      </c>
      <c r="F3" s="1">
        <v>3.1586799999999999</v>
      </c>
      <c r="G3" s="1">
        <v>3.2783500000000001</v>
      </c>
      <c r="H3" s="1">
        <v>9.8082399999999996</v>
      </c>
      <c r="I3" s="1">
        <v>4.4165700000000001</v>
      </c>
      <c r="J3" s="1">
        <v>5.3467099999999999</v>
      </c>
      <c r="K3" s="1">
        <v>8.1113900000000001</v>
      </c>
      <c r="L3" s="1">
        <v>10.59901</v>
      </c>
      <c r="M3" s="1">
        <v>12.163880000000001</v>
      </c>
    </row>
    <row r="4" spans="1:13" x14ac:dyDescent="0.2">
      <c r="A4" s="1" t="s">
        <v>21</v>
      </c>
      <c r="B4" s="1">
        <v>2.0031699999999999</v>
      </c>
      <c r="C4" s="1">
        <v>1.5550999999999999</v>
      </c>
      <c r="D4" s="1">
        <v>1.77904</v>
      </c>
      <c r="E4" s="1">
        <v>2.0381499999999999</v>
      </c>
      <c r="F4" s="1">
        <v>2.7417500000000001</v>
      </c>
      <c r="G4" s="1">
        <v>3.56006</v>
      </c>
      <c r="H4" s="1">
        <v>4.5706300000000004</v>
      </c>
      <c r="I4" s="1">
        <v>3.1099399999999999</v>
      </c>
      <c r="J4" s="1">
        <v>4.0119300000000004</v>
      </c>
      <c r="K4" s="1">
        <v>5.5625400000000003</v>
      </c>
      <c r="L4" s="1">
        <v>8.0632900000000003</v>
      </c>
      <c r="M4" s="1">
        <v>10.050090000000001</v>
      </c>
    </row>
    <row r="5" spans="1:13" x14ac:dyDescent="0.2">
      <c r="A5" s="1" t="s">
        <v>22</v>
      </c>
      <c r="B5" s="1">
        <v>1.83853</v>
      </c>
      <c r="C5" s="1">
        <v>1.2922800000000001</v>
      </c>
      <c r="D5" s="1">
        <v>1.4459500000000001</v>
      </c>
      <c r="E5" s="1">
        <v>1.7334000000000001</v>
      </c>
      <c r="F5" s="1">
        <v>2.2376800000000001</v>
      </c>
      <c r="G5" s="1">
        <v>3.1409099999999999</v>
      </c>
      <c r="H5" s="1">
        <v>4.9942799999999998</v>
      </c>
      <c r="I5" s="1">
        <v>1.3803799999999999</v>
      </c>
      <c r="J5" s="1">
        <v>1.7863199999999999</v>
      </c>
      <c r="K5" s="1">
        <v>3.4812799999999999</v>
      </c>
      <c r="L5" s="1">
        <v>5.1002799999999997</v>
      </c>
      <c r="M5" s="1">
        <v>5.96638</v>
      </c>
    </row>
    <row r="6" spans="1:13" x14ac:dyDescent="0.2">
      <c r="A6" s="1" t="s">
        <v>23</v>
      </c>
      <c r="B6" s="1">
        <v>2.2987000000000002</v>
      </c>
      <c r="C6" s="1">
        <v>1.4923599999999999</v>
      </c>
      <c r="D6" s="1">
        <v>1.85429</v>
      </c>
      <c r="E6" s="1">
        <v>2.0365799999999998</v>
      </c>
      <c r="F6" s="1">
        <v>2.5280100000000001</v>
      </c>
      <c r="G6" s="1">
        <v>2.7633399999999999</v>
      </c>
      <c r="H6" s="1">
        <v>6.8099499999999997</v>
      </c>
      <c r="I6" s="1">
        <v>3.2783099999999998</v>
      </c>
      <c r="J6" s="1">
        <v>3.6107499999999999</v>
      </c>
      <c r="K6" s="1">
        <v>4.8220900000000002</v>
      </c>
      <c r="L6" s="1">
        <v>7.4042300000000001</v>
      </c>
      <c r="M6" s="1">
        <v>8.6765600000000003</v>
      </c>
    </row>
    <row r="7" spans="1:13" x14ac:dyDescent="0.2">
      <c r="A7" s="1" t="s">
        <v>24</v>
      </c>
      <c r="B7" s="1">
        <v>2.7757800000000001</v>
      </c>
      <c r="C7" s="1">
        <v>1.4087700000000001</v>
      </c>
      <c r="D7" s="1">
        <v>1.74339</v>
      </c>
      <c r="E7" s="1">
        <v>2.0486</v>
      </c>
      <c r="F7" s="1">
        <v>2.48394</v>
      </c>
      <c r="G7" s="1">
        <v>3.1183000000000001</v>
      </c>
      <c r="H7" s="1">
        <v>7.4123299999999999</v>
      </c>
      <c r="I7" s="1">
        <v>1.2381599999999999</v>
      </c>
      <c r="J7" s="1">
        <v>2.4806900000000001</v>
      </c>
      <c r="K7" s="1">
        <v>4.4664099999999998</v>
      </c>
      <c r="L7" s="1">
        <v>7.6987399999999999</v>
      </c>
      <c r="M7" s="1">
        <v>10.303570000000001</v>
      </c>
    </row>
    <row r="8" spans="1:13" x14ac:dyDescent="0.2">
      <c r="A8" s="1" t="s">
        <v>171</v>
      </c>
      <c r="B8" s="1">
        <v>2.0293600000000001</v>
      </c>
      <c r="C8" s="1">
        <v>1.42797</v>
      </c>
      <c r="D8" s="1">
        <v>1.59396</v>
      </c>
      <c r="E8" s="1">
        <v>1.8340000000000001</v>
      </c>
      <c r="F8" s="1">
        <v>2.1164200000000002</v>
      </c>
      <c r="G8" s="1">
        <v>2.6611400000000001</v>
      </c>
      <c r="H8" s="1">
        <v>5.01152</v>
      </c>
      <c r="I8" s="1">
        <v>1.9681500000000001</v>
      </c>
      <c r="J8" s="1">
        <v>2.6384300000000001</v>
      </c>
      <c r="K8" s="1">
        <v>3.8706999999999998</v>
      </c>
      <c r="L8" s="1">
        <v>5.6580599999999999</v>
      </c>
      <c r="M8" s="1">
        <v>6.0406000000000004</v>
      </c>
    </row>
    <row r="9" spans="1:13" x14ac:dyDescent="0.2">
      <c r="A9" s="1" t="s">
        <v>26</v>
      </c>
      <c r="B9" s="1">
        <v>2.4100600000000001</v>
      </c>
      <c r="C9" s="1">
        <v>1.7028000000000001</v>
      </c>
      <c r="D9" s="1">
        <v>1.9938199999999999</v>
      </c>
      <c r="E9" s="1">
        <v>2.6672699999999998</v>
      </c>
      <c r="F9" s="1">
        <v>3.0948000000000002</v>
      </c>
      <c r="G9" s="1">
        <v>3.8638599999999999</v>
      </c>
      <c r="H9" s="1">
        <v>6.3311700000000002</v>
      </c>
      <c r="I9" s="1">
        <v>2.9764499999999998</v>
      </c>
      <c r="J9" s="1">
        <v>4.0024199999999999</v>
      </c>
      <c r="K9" s="1">
        <v>6.7820900000000002</v>
      </c>
      <c r="L9" s="1">
        <v>9.9641800000000007</v>
      </c>
      <c r="M9" s="1">
        <v>12.32508</v>
      </c>
    </row>
    <row r="10" spans="1:13" x14ac:dyDescent="0.2">
      <c r="A10" s="1" t="s">
        <v>175</v>
      </c>
      <c r="B10" s="1">
        <v>2.4381200000000001</v>
      </c>
      <c r="C10" s="1">
        <v>1.4536100000000001</v>
      </c>
      <c r="D10" s="1">
        <v>1.7156</v>
      </c>
      <c r="E10" s="1">
        <v>2.19963</v>
      </c>
      <c r="F10" s="1">
        <v>3.0101800000000001</v>
      </c>
      <c r="G10" s="1">
        <v>4.2144599999999999</v>
      </c>
      <c r="H10" s="1">
        <v>6.7014100000000001</v>
      </c>
      <c r="I10" s="1">
        <v>2.8209200000000001</v>
      </c>
      <c r="J10" s="1">
        <v>3.9130400000000001</v>
      </c>
      <c r="K10" s="1">
        <v>6.0210100000000004</v>
      </c>
      <c r="L10" s="1">
        <v>8.7459199999999999</v>
      </c>
      <c r="M10" s="1">
        <v>12.55983</v>
      </c>
    </row>
    <row r="11" spans="1:13" x14ac:dyDescent="0.2">
      <c r="A11" s="1" t="s">
        <v>27</v>
      </c>
      <c r="B11" s="1">
        <v>1.60165</v>
      </c>
      <c r="C11" s="1">
        <v>1.47926</v>
      </c>
      <c r="D11" s="1">
        <v>1.5235000000000001</v>
      </c>
      <c r="E11" s="1">
        <v>1.5616000000000001</v>
      </c>
      <c r="F11" s="1">
        <v>1.94129</v>
      </c>
      <c r="G11" s="1">
        <v>2.4895800000000001</v>
      </c>
      <c r="H11" s="1">
        <v>4.6408100000000001</v>
      </c>
      <c r="I11" s="1">
        <v>2.4674499999999999</v>
      </c>
      <c r="J11" s="1">
        <v>3.3195600000000001</v>
      </c>
      <c r="K11" s="1">
        <v>4.1737000000000002</v>
      </c>
      <c r="L11" s="1">
        <v>6.1767000000000003</v>
      </c>
      <c r="M11" s="1">
        <v>6.4298299999999999</v>
      </c>
    </row>
    <row r="12" spans="1:13" x14ac:dyDescent="0.2">
      <c r="A12" s="1" t="s">
        <v>28</v>
      </c>
      <c r="B12" s="1">
        <v>2.3798599999999999</v>
      </c>
      <c r="C12" s="1">
        <v>1.9200999999999999</v>
      </c>
      <c r="D12" s="1">
        <v>2.0762499999999999</v>
      </c>
      <c r="E12" s="1">
        <v>2.4552999999999998</v>
      </c>
      <c r="F12" s="1">
        <v>2.73889</v>
      </c>
      <c r="G12" s="1">
        <v>3.1789900000000002</v>
      </c>
      <c r="H12" s="1">
        <v>8.7608999999999995</v>
      </c>
      <c r="I12" s="1">
        <v>5.5326000000000004</v>
      </c>
      <c r="J12" s="1">
        <v>7.1721500000000002</v>
      </c>
      <c r="K12" s="1">
        <v>9.4080499999999994</v>
      </c>
      <c r="L12" s="1">
        <v>10.680009999999999</v>
      </c>
      <c r="M12" s="1">
        <v>12.697369999999999</v>
      </c>
    </row>
    <row r="13" spans="1:13" x14ac:dyDescent="0.2">
      <c r="A13" s="1" t="s">
        <v>29</v>
      </c>
      <c r="B13" s="1">
        <v>2.3940700000000001</v>
      </c>
      <c r="C13" s="1">
        <v>1.4703999999999999</v>
      </c>
      <c r="D13" s="1">
        <v>1.8142199999999999</v>
      </c>
      <c r="E13" s="1">
        <v>2.3830900000000002</v>
      </c>
      <c r="F13" s="1">
        <v>3.3478400000000001</v>
      </c>
      <c r="G13" s="1">
        <v>4.7363299999999997</v>
      </c>
      <c r="H13" s="1">
        <v>6.4070499999999999</v>
      </c>
      <c r="I13" s="1">
        <v>2.72994</v>
      </c>
      <c r="J13" s="1">
        <v>3.9240499999999998</v>
      </c>
      <c r="K13" s="1">
        <v>6.4118399999999998</v>
      </c>
      <c r="L13" s="1">
        <v>9.8685799999999997</v>
      </c>
      <c r="M13" s="1">
        <v>14.195740000000001</v>
      </c>
    </row>
    <row r="14" spans="1:13" x14ac:dyDescent="0.2">
      <c r="A14" s="1" t="s">
        <v>30</v>
      </c>
      <c r="B14" s="1">
        <v>2.8777499999999998</v>
      </c>
      <c r="C14" s="1">
        <v>1.59144</v>
      </c>
      <c r="D14" s="1">
        <v>1.9065099999999999</v>
      </c>
      <c r="E14" s="1">
        <v>2.6576900000000001</v>
      </c>
      <c r="F14" s="1">
        <v>3.9083399999999999</v>
      </c>
      <c r="G14" s="1">
        <v>5.4704800000000002</v>
      </c>
      <c r="H14" s="1">
        <v>8.1673899999999993</v>
      </c>
      <c r="I14" s="1">
        <v>3.4096799999999998</v>
      </c>
      <c r="J14" s="1">
        <v>4.7475399999999999</v>
      </c>
      <c r="K14" s="1">
        <v>6.9487100000000002</v>
      </c>
      <c r="L14" s="1">
        <v>11.369859999999999</v>
      </c>
      <c r="M14" s="1">
        <v>16.53199</v>
      </c>
    </row>
    <row r="15" spans="1:13" x14ac:dyDescent="0.2">
      <c r="A15" s="1" t="s">
        <v>31</v>
      </c>
      <c r="B15" s="1">
        <v>1.7306699999999999</v>
      </c>
      <c r="C15" s="1">
        <v>1.3762000000000001</v>
      </c>
      <c r="D15" s="1">
        <v>1.5035799999999999</v>
      </c>
      <c r="E15" s="1">
        <v>1.7949999999999999</v>
      </c>
      <c r="F15" s="1">
        <v>2.3826700000000001</v>
      </c>
      <c r="G15" s="1">
        <v>3.06589</v>
      </c>
      <c r="H15" s="1">
        <v>4.5603300000000004</v>
      </c>
      <c r="I15" s="1">
        <v>2.28511</v>
      </c>
      <c r="J15" s="1">
        <v>2.9302999999999999</v>
      </c>
      <c r="K15" s="1">
        <v>3.8443999999999998</v>
      </c>
      <c r="L15" s="1">
        <v>6.0962899999999998</v>
      </c>
      <c r="M15" s="1">
        <v>8.0743399999999994</v>
      </c>
    </row>
    <row r="16" spans="1:13" x14ac:dyDescent="0.2">
      <c r="A16" s="1" t="s">
        <v>32</v>
      </c>
      <c r="B16" s="1">
        <v>1.9655400000000001</v>
      </c>
      <c r="C16" s="1">
        <v>1.6919599999999999</v>
      </c>
      <c r="D16" s="1">
        <v>1.84842</v>
      </c>
      <c r="E16" s="1">
        <v>2.0082</v>
      </c>
      <c r="F16" s="1">
        <v>2.6945299999999999</v>
      </c>
      <c r="G16" s="1">
        <v>3.3521100000000001</v>
      </c>
      <c r="H16" s="1">
        <v>6.0899299999999998</v>
      </c>
      <c r="I16" s="1">
        <v>2.1001599999999998</v>
      </c>
      <c r="J16" s="1">
        <v>4.0523199999999999</v>
      </c>
      <c r="K16" s="1">
        <v>5.0497500000000004</v>
      </c>
      <c r="L16" s="1">
        <v>7.0368300000000001</v>
      </c>
      <c r="M16" s="1">
        <v>10.442489999999999</v>
      </c>
    </row>
    <row r="17" spans="1:13" x14ac:dyDescent="0.2">
      <c r="A17" s="1" t="s">
        <v>145</v>
      </c>
      <c r="B17" s="1">
        <v>1.5347900000000001</v>
      </c>
      <c r="C17" s="1">
        <v>1.3878600000000001</v>
      </c>
      <c r="D17" s="1">
        <v>1.47298</v>
      </c>
      <c r="E17" s="1">
        <v>1.71184</v>
      </c>
      <c r="F17" s="1">
        <v>1.7524999999999999</v>
      </c>
      <c r="G17" s="1">
        <v>1.80054</v>
      </c>
      <c r="H17" s="1">
        <v>3.6527699999999999</v>
      </c>
      <c r="I17" s="1">
        <v>1.55335</v>
      </c>
      <c r="J17" s="1">
        <v>2.4026800000000001</v>
      </c>
      <c r="K17" s="1">
        <v>2.9525800000000002</v>
      </c>
      <c r="L17" s="1">
        <v>3.8155899999999998</v>
      </c>
      <c r="M17" s="1">
        <v>4.8661099999999999</v>
      </c>
    </row>
    <row r="18" spans="1:13" x14ac:dyDescent="0.2">
      <c r="A18" s="1" t="s">
        <v>33</v>
      </c>
      <c r="B18" s="1">
        <v>1.7679800000000001</v>
      </c>
      <c r="C18" s="1">
        <v>1.4512499999999999</v>
      </c>
      <c r="D18" s="1">
        <v>1.62277</v>
      </c>
      <c r="E18" s="1">
        <v>1.9577500000000001</v>
      </c>
      <c r="F18" s="1">
        <v>2.5900300000000001</v>
      </c>
      <c r="G18" s="1">
        <v>3.8986000000000001</v>
      </c>
      <c r="H18" s="1">
        <v>4.8768099999999999</v>
      </c>
      <c r="I18" s="1">
        <v>2.84911</v>
      </c>
      <c r="J18" s="1">
        <v>3.9941599999999999</v>
      </c>
      <c r="K18" s="1">
        <v>6.1104000000000003</v>
      </c>
      <c r="L18" s="1">
        <v>7.7522900000000003</v>
      </c>
      <c r="M18" s="1">
        <v>10.15104</v>
      </c>
    </row>
    <row r="19" spans="1:13" x14ac:dyDescent="0.2">
      <c r="A19" s="1" t="s">
        <v>34</v>
      </c>
      <c r="B19" s="1">
        <v>2.5941399999999999</v>
      </c>
      <c r="C19" s="1">
        <v>1.6204499999999999</v>
      </c>
      <c r="D19" s="1">
        <v>1.83321</v>
      </c>
      <c r="E19" s="1">
        <v>2.29541</v>
      </c>
      <c r="F19" s="1">
        <v>2.7270400000000001</v>
      </c>
      <c r="G19" s="1">
        <v>3.4649299999999998</v>
      </c>
      <c r="H19" s="1">
        <v>6.4206300000000001</v>
      </c>
      <c r="I19" s="1">
        <v>3.3764500000000002</v>
      </c>
      <c r="J19" s="1">
        <v>3.9742500000000001</v>
      </c>
      <c r="K19" s="1">
        <v>5.52034</v>
      </c>
      <c r="L19" s="1">
        <v>6.7379899999999999</v>
      </c>
      <c r="M19" s="1">
        <v>8.6202199999999998</v>
      </c>
    </row>
    <row r="20" spans="1:13" x14ac:dyDescent="0.2">
      <c r="A20" s="1" t="s">
        <v>35</v>
      </c>
      <c r="B20" s="1">
        <v>1.50553</v>
      </c>
      <c r="C20" s="1">
        <v>1.3372999999999999</v>
      </c>
      <c r="D20" s="1">
        <v>1.3530899999999999</v>
      </c>
      <c r="E20" s="1">
        <v>1.4907999999999999</v>
      </c>
      <c r="F20" s="1">
        <v>1.6792100000000001</v>
      </c>
      <c r="G20" s="1">
        <v>2.1331500000000001</v>
      </c>
      <c r="H20" s="1">
        <v>3.28186</v>
      </c>
      <c r="I20" s="1">
        <v>1.9911399999999999</v>
      </c>
      <c r="J20" s="1">
        <v>2.56508</v>
      </c>
      <c r="K20" s="1">
        <v>2.9177499999999998</v>
      </c>
      <c r="L20" s="1">
        <v>3.44171</v>
      </c>
      <c r="M20" s="1">
        <v>4.7385700000000002</v>
      </c>
    </row>
    <row r="21" spans="1:13" x14ac:dyDescent="0.2">
      <c r="A21" s="1" t="s">
        <v>36</v>
      </c>
      <c r="B21" s="1">
        <v>1.85178</v>
      </c>
      <c r="C21" s="1">
        <v>1.4580299999999999</v>
      </c>
      <c r="D21" s="1">
        <v>1.6014600000000001</v>
      </c>
      <c r="E21" s="1">
        <v>2.1682999999999999</v>
      </c>
      <c r="F21" s="1">
        <v>2.7614999999999998</v>
      </c>
      <c r="G21" s="1">
        <v>4.2731899999999996</v>
      </c>
      <c r="H21" s="1">
        <v>5.4588099999999997</v>
      </c>
      <c r="I21" s="1">
        <v>2.56094</v>
      </c>
      <c r="J21" s="1">
        <v>3.4613299999999998</v>
      </c>
      <c r="K21" s="1">
        <v>5.4875699999999998</v>
      </c>
      <c r="L21" s="1">
        <v>8.6190999999999995</v>
      </c>
      <c r="M21" s="1">
        <v>10.9925</v>
      </c>
    </row>
    <row r="22" spans="1:13" x14ac:dyDescent="0.2">
      <c r="A22" s="1" t="s">
        <v>37</v>
      </c>
      <c r="B22" s="1">
        <v>1.6863699999999999</v>
      </c>
      <c r="C22" s="1">
        <v>1.4217900000000001</v>
      </c>
      <c r="D22" s="1">
        <v>1.5623100000000001</v>
      </c>
      <c r="E22" s="1">
        <v>1.8976599999999999</v>
      </c>
      <c r="F22" s="1">
        <v>2.0264799999999998</v>
      </c>
      <c r="G22" s="1">
        <v>2.09206</v>
      </c>
      <c r="H22" s="1">
        <v>4.3880699999999999</v>
      </c>
      <c r="I22" s="1">
        <v>2.3268599999999999</v>
      </c>
      <c r="J22" s="1">
        <v>2.9503200000000001</v>
      </c>
      <c r="K22" s="1">
        <v>5.36815</v>
      </c>
      <c r="L22" s="1">
        <v>7.8947700000000003</v>
      </c>
      <c r="M22" s="1">
        <v>8.1166300000000007</v>
      </c>
    </row>
    <row r="23" spans="1:13" x14ac:dyDescent="0.2">
      <c r="A23" s="1" t="s">
        <v>38</v>
      </c>
      <c r="B23" s="1">
        <v>2.1276000000000002</v>
      </c>
      <c r="C23" s="1">
        <v>1.3179000000000001</v>
      </c>
      <c r="D23" s="1">
        <v>1.5847599999999999</v>
      </c>
      <c r="E23" s="1">
        <v>2.1259999999999999</v>
      </c>
      <c r="F23" s="1">
        <v>2.9752200000000002</v>
      </c>
      <c r="G23" s="1">
        <v>4.12174</v>
      </c>
      <c r="H23" s="1">
        <v>6.0947699999999996</v>
      </c>
      <c r="I23" s="1">
        <v>3.2408800000000002</v>
      </c>
      <c r="J23" s="1">
        <v>4.7873799999999997</v>
      </c>
      <c r="K23" s="1">
        <v>6.7055899999999999</v>
      </c>
      <c r="L23" s="1">
        <v>9.5182099999999998</v>
      </c>
      <c r="M23" s="1">
        <v>13.75755</v>
      </c>
    </row>
    <row r="24" spans="1:13" x14ac:dyDescent="0.2">
      <c r="A24" s="1" t="s">
        <v>39</v>
      </c>
      <c r="B24" s="1">
        <v>2.4567600000000001</v>
      </c>
      <c r="C24" s="1">
        <v>1.2890600000000001</v>
      </c>
      <c r="D24" s="1">
        <v>1.5292399999999999</v>
      </c>
      <c r="E24" s="1">
        <v>2.23963</v>
      </c>
      <c r="F24" s="1">
        <v>2.8994300000000002</v>
      </c>
      <c r="G24" s="1">
        <v>3.9006099999999999</v>
      </c>
      <c r="H24" s="1">
        <v>6.3864000000000001</v>
      </c>
      <c r="I24" s="1">
        <v>1.6596299999999999</v>
      </c>
      <c r="J24" s="1">
        <v>3.3233899999999998</v>
      </c>
      <c r="K24" s="1">
        <v>4.2083000000000004</v>
      </c>
      <c r="L24" s="1">
        <v>6.8111899999999999</v>
      </c>
      <c r="M24" s="1">
        <v>8.4498300000000004</v>
      </c>
    </row>
    <row r="25" spans="1:13" x14ac:dyDescent="0.2">
      <c r="A25" s="1" t="s">
        <v>40</v>
      </c>
      <c r="B25" s="1">
        <v>1.86097</v>
      </c>
      <c r="C25" s="1">
        <v>1.3990400000000001</v>
      </c>
      <c r="D25" s="1">
        <v>1.6295200000000001</v>
      </c>
      <c r="E25" s="1">
        <v>1.9690799999999999</v>
      </c>
      <c r="F25" s="1">
        <v>2.5082800000000001</v>
      </c>
      <c r="G25" s="1">
        <v>3.1126299999999998</v>
      </c>
      <c r="H25" s="1">
        <v>4.5115699999999999</v>
      </c>
      <c r="I25" s="1">
        <v>3.05905</v>
      </c>
      <c r="J25" s="1">
        <v>3.61659</v>
      </c>
      <c r="K25" s="1">
        <v>4.6002799999999997</v>
      </c>
      <c r="L25" s="1">
        <v>7.9867800000000004</v>
      </c>
      <c r="M25" s="1">
        <v>10.226789999999999</v>
      </c>
    </row>
    <row r="26" spans="1:13" x14ac:dyDescent="0.2">
      <c r="A26" s="1" t="s">
        <v>41</v>
      </c>
      <c r="B26" s="1">
        <v>2.50468</v>
      </c>
      <c r="C26" s="1">
        <v>1.5223500000000001</v>
      </c>
      <c r="D26" s="1">
        <v>1.9264699999999999</v>
      </c>
      <c r="E26" s="1">
        <v>2.3667799999999999</v>
      </c>
      <c r="F26" s="1">
        <v>2.7220499999999999</v>
      </c>
      <c r="G26" s="1">
        <v>3.4516800000000001</v>
      </c>
      <c r="H26" s="1">
        <v>6.2124100000000002</v>
      </c>
      <c r="I26" s="1">
        <v>3.0121699999999998</v>
      </c>
      <c r="J26" s="1">
        <v>3.7295600000000002</v>
      </c>
      <c r="K26" s="1">
        <v>5.5295399999999999</v>
      </c>
      <c r="L26" s="1">
        <v>7.6311799999999996</v>
      </c>
      <c r="M26" s="1">
        <v>10.846550000000001</v>
      </c>
    </row>
    <row r="27" spans="1:13" x14ac:dyDescent="0.2">
      <c r="A27" s="1" t="s">
        <v>42</v>
      </c>
      <c r="B27" s="1">
        <v>2.2952699999999999</v>
      </c>
      <c r="C27" s="1">
        <v>1.5915299999999999</v>
      </c>
      <c r="D27" s="1">
        <v>1.7316400000000001</v>
      </c>
      <c r="E27" s="1">
        <v>2.0360499999999999</v>
      </c>
      <c r="F27" s="1">
        <v>2.4304700000000001</v>
      </c>
      <c r="G27" s="1">
        <v>2.9496500000000001</v>
      </c>
      <c r="H27" s="1">
        <v>6.4922599999999999</v>
      </c>
      <c r="I27" s="1">
        <v>2.2635999999999998</v>
      </c>
      <c r="J27" s="1">
        <v>3.7591299999999999</v>
      </c>
      <c r="K27" s="1">
        <v>5.0838700000000001</v>
      </c>
      <c r="L27" s="1">
        <v>7.0058499999999997</v>
      </c>
      <c r="M27" s="1">
        <v>8.9524699999999999</v>
      </c>
    </row>
    <row r="28" spans="1:13" x14ac:dyDescent="0.2">
      <c r="A28" s="1" t="s">
        <v>43</v>
      </c>
      <c r="B28" s="1">
        <v>2.0766800000000001</v>
      </c>
      <c r="C28" s="1">
        <v>1.4876</v>
      </c>
      <c r="D28" s="1">
        <v>1.7074800000000001</v>
      </c>
      <c r="E28" s="1">
        <v>2.0897999999999999</v>
      </c>
      <c r="F28" s="1">
        <v>2.5329899999999999</v>
      </c>
      <c r="G28" s="1">
        <v>3.8379799999999999</v>
      </c>
      <c r="H28" s="1">
        <v>5.4581299999999997</v>
      </c>
      <c r="I28" s="1">
        <v>2.4786299999999999</v>
      </c>
      <c r="J28" s="1">
        <v>3.4979</v>
      </c>
      <c r="K28" s="1">
        <v>4.8273799999999998</v>
      </c>
      <c r="L28" s="1">
        <v>6.05619</v>
      </c>
      <c r="M28" s="1">
        <v>7.65367</v>
      </c>
    </row>
    <row r="29" spans="1:13" x14ac:dyDescent="0.2">
      <c r="A29" s="1" t="s">
        <v>44</v>
      </c>
      <c r="B29" s="1">
        <v>1.5784</v>
      </c>
      <c r="C29" s="1">
        <v>1.39815</v>
      </c>
      <c r="D29" s="1">
        <v>1.4661999999999999</v>
      </c>
      <c r="E29" s="1">
        <v>1.6281000000000001</v>
      </c>
      <c r="F29" s="1">
        <v>2.1774100000000001</v>
      </c>
      <c r="G29" s="1">
        <v>2.6431399999999998</v>
      </c>
      <c r="H29" s="1">
        <v>3.68764</v>
      </c>
      <c r="I29" s="1">
        <v>1.26783</v>
      </c>
      <c r="J29" s="1">
        <v>2.5409700000000002</v>
      </c>
      <c r="K29" s="1">
        <v>3.5139100000000001</v>
      </c>
      <c r="L29" s="1">
        <v>8.0144500000000001</v>
      </c>
      <c r="M29" s="1">
        <v>9.0397200000000009</v>
      </c>
    </row>
    <row r="30" spans="1:13" x14ac:dyDescent="0.2">
      <c r="A30" s="1" t="s">
        <v>45</v>
      </c>
      <c r="B30" s="1">
        <v>1.93564</v>
      </c>
      <c r="C30" s="1">
        <v>1.37008</v>
      </c>
      <c r="D30" s="1">
        <v>1.4934400000000001</v>
      </c>
      <c r="E30" s="1">
        <v>1.7158199999999999</v>
      </c>
      <c r="F30" s="1">
        <v>2.0299</v>
      </c>
      <c r="G30" s="1">
        <v>2.0913900000000001</v>
      </c>
      <c r="H30" s="1">
        <v>4.8321800000000001</v>
      </c>
      <c r="I30" s="1">
        <v>3.2637200000000002</v>
      </c>
      <c r="J30" s="1">
        <v>3.4012699999999998</v>
      </c>
      <c r="K30" s="1">
        <v>4.2044100000000002</v>
      </c>
      <c r="L30" s="1">
        <v>4.5445000000000002</v>
      </c>
      <c r="M30" s="1">
        <v>5.7974300000000003</v>
      </c>
    </row>
    <row r="31" spans="1:13" x14ac:dyDescent="0.2">
      <c r="A31" s="1" t="s">
        <v>46</v>
      </c>
      <c r="B31" s="1">
        <v>2.57369</v>
      </c>
      <c r="C31" s="1">
        <v>1.80715</v>
      </c>
      <c r="D31" s="1">
        <v>2.0371299999999999</v>
      </c>
      <c r="E31" s="1">
        <v>2.6833200000000001</v>
      </c>
      <c r="F31" s="1">
        <v>3.01756</v>
      </c>
      <c r="G31" s="1">
        <v>3.7246899999999998</v>
      </c>
      <c r="H31" s="1">
        <v>7.2762399999999996</v>
      </c>
      <c r="I31" s="1">
        <v>3.9383599999999999</v>
      </c>
      <c r="J31" s="1">
        <v>4.2879399999999999</v>
      </c>
      <c r="K31" s="1">
        <v>6.69339</v>
      </c>
      <c r="L31" s="1">
        <v>10.08046</v>
      </c>
      <c r="M31" s="1">
        <v>11.05776</v>
      </c>
    </row>
    <row r="32" spans="1:13" x14ac:dyDescent="0.2">
      <c r="A32" s="1" t="s">
        <v>47</v>
      </c>
      <c r="B32" s="1">
        <v>2.3700299999999999</v>
      </c>
      <c r="C32" s="1">
        <v>1.68072</v>
      </c>
      <c r="D32" s="1">
        <v>1.98996</v>
      </c>
      <c r="E32" s="1">
        <v>2.45018</v>
      </c>
      <c r="F32" s="1">
        <v>3.43038</v>
      </c>
      <c r="G32" s="1">
        <v>4.4146299999999998</v>
      </c>
      <c r="H32" s="1">
        <v>6.38429</v>
      </c>
      <c r="I32" s="1">
        <v>3.25082</v>
      </c>
      <c r="J32" s="1">
        <v>4.3264100000000001</v>
      </c>
      <c r="K32" s="1">
        <v>6.5632999999999999</v>
      </c>
      <c r="L32" s="1">
        <v>10.052160000000001</v>
      </c>
      <c r="M32" s="1">
        <v>13.54031</v>
      </c>
    </row>
    <row r="33" spans="1:13" x14ac:dyDescent="0.2">
      <c r="A33" s="1" t="s">
        <v>48</v>
      </c>
      <c r="B33" s="1">
        <v>1.83064</v>
      </c>
      <c r="C33" s="1">
        <v>1.46563</v>
      </c>
      <c r="D33" s="1">
        <v>1.6375200000000001</v>
      </c>
      <c r="E33" s="1">
        <v>1.90479</v>
      </c>
      <c r="F33" s="1">
        <v>2.2367300000000001</v>
      </c>
      <c r="G33" s="1">
        <v>2.97872</v>
      </c>
      <c r="H33" s="1">
        <v>6.7903900000000004</v>
      </c>
      <c r="I33" s="1">
        <v>2.22797</v>
      </c>
      <c r="J33" s="1">
        <v>3.9098999999999999</v>
      </c>
      <c r="K33" s="1">
        <v>6.3160999999999996</v>
      </c>
      <c r="L33" s="1">
        <v>7.78613</v>
      </c>
      <c r="M33" s="1">
        <v>8.8684799999999999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B32"/>
  <sheetViews>
    <sheetView workbookViewId="0">
      <selection activeCell="A24" sqref="A24"/>
    </sheetView>
  </sheetViews>
  <sheetFormatPr defaultRowHeight="15" x14ac:dyDescent="0.25"/>
  <cols>
    <col min="1" max="1" width="19.42578125" bestFit="1" customWidth="1"/>
    <col min="2" max="2" width="3.85546875" bestFit="1" customWidth="1"/>
  </cols>
  <sheetData>
    <row r="1" spans="1:2" x14ac:dyDescent="0.25">
      <c r="A1" t="s">
        <v>156</v>
      </c>
    </row>
    <row r="2" spans="1:2" x14ac:dyDescent="0.25">
      <c r="A2" t="s">
        <v>20</v>
      </c>
      <c r="B2" t="s">
        <v>124</v>
      </c>
    </row>
    <row r="3" spans="1:2" x14ac:dyDescent="0.25">
      <c r="A3" t="s">
        <v>21</v>
      </c>
      <c r="B3" t="s">
        <v>125</v>
      </c>
    </row>
    <row r="4" spans="1:2" x14ac:dyDescent="0.25">
      <c r="A4" t="s">
        <v>22</v>
      </c>
      <c r="B4" t="s">
        <v>126</v>
      </c>
    </row>
    <row r="5" spans="1:2" x14ac:dyDescent="0.25">
      <c r="A5" t="s">
        <v>24</v>
      </c>
      <c r="B5" t="s">
        <v>128</v>
      </c>
    </row>
    <row r="6" spans="1:2" x14ac:dyDescent="0.25">
      <c r="A6" t="s">
        <v>25</v>
      </c>
      <c r="B6" t="s">
        <v>129</v>
      </c>
    </row>
    <row r="7" spans="1:2" x14ac:dyDescent="0.25">
      <c r="A7" t="s">
        <v>30</v>
      </c>
      <c r="B7" t="s">
        <v>134</v>
      </c>
    </row>
    <row r="8" spans="1:2" x14ac:dyDescent="0.25">
      <c r="A8" t="s">
        <v>26</v>
      </c>
      <c r="B8" t="s">
        <v>130</v>
      </c>
    </row>
    <row r="9" spans="1:2" x14ac:dyDescent="0.25">
      <c r="A9" t="s">
        <v>27</v>
      </c>
      <c r="B9" t="s">
        <v>131</v>
      </c>
    </row>
    <row r="10" spans="1:2" x14ac:dyDescent="0.25">
      <c r="A10" t="s">
        <v>47</v>
      </c>
      <c r="B10" t="s">
        <v>142</v>
      </c>
    </row>
    <row r="11" spans="1:2" x14ac:dyDescent="0.25">
      <c r="A11" t="s">
        <v>28</v>
      </c>
      <c r="B11" t="s">
        <v>132</v>
      </c>
    </row>
    <row r="12" spans="1:2" x14ac:dyDescent="0.25">
      <c r="A12" t="s">
        <v>29</v>
      </c>
      <c r="B12" t="s">
        <v>133</v>
      </c>
    </row>
    <row r="13" spans="1:2" x14ac:dyDescent="0.25">
      <c r="A13" t="s">
        <v>49</v>
      </c>
      <c r="B13" t="s">
        <v>143</v>
      </c>
    </row>
    <row r="14" spans="1:2" x14ac:dyDescent="0.25">
      <c r="A14" t="s">
        <v>31</v>
      </c>
      <c r="B14" t="s">
        <v>135</v>
      </c>
    </row>
    <row r="15" spans="1:2" x14ac:dyDescent="0.25">
      <c r="A15" t="s">
        <v>23</v>
      </c>
      <c r="B15" t="s">
        <v>127</v>
      </c>
    </row>
    <row r="16" spans="1:2" x14ac:dyDescent="0.25">
      <c r="A16" t="s">
        <v>32</v>
      </c>
      <c r="B16" t="s">
        <v>136</v>
      </c>
    </row>
    <row r="17" spans="1:2" x14ac:dyDescent="0.25">
      <c r="A17" t="s">
        <v>33</v>
      </c>
      <c r="B17" t="s">
        <v>137</v>
      </c>
    </row>
    <row r="18" spans="1:2" x14ac:dyDescent="0.25">
      <c r="A18" t="s">
        <v>145</v>
      </c>
      <c r="B18" t="s">
        <v>144</v>
      </c>
    </row>
    <row r="19" spans="1:2" x14ac:dyDescent="0.25">
      <c r="A19" t="s">
        <v>34</v>
      </c>
      <c r="B19" t="s">
        <v>138</v>
      </c>
    </row>
    <row r="20" spans="1:2" x14ac:dyDescent="0.25">
      <c r="A20" t="s">
        <v>36</v>
      </c>
      <c r="B20" t="s">
        <v>140</v>
      </c>
    </row>
    <row r="21" spans="1:2" x14ac:dyDescent="0.25">
      <c r="A21" t="s">
        <v>37</v>
      </c>
      <c r="B21" t="s">
        <v>139</v>
      </c>
    </row>
    <row r="22" spans="1:2" x14ac:dyDescent="0.25">
      <c r="A22" t="s">
        <v>38</v>
      </c>
      <c r="B22" t="s">
        <v>146</v>
      </c>
    </row>
    <row r="23" spans="1:2" x14ac:dyDescent="0.25">
      <c r="A23" t="s">
        <v>35</v>
      </c>
      <c r="B23" t="s">
        <v>141</v>
      </c>
    </row>
    <row r="24" spans="1:2" x14ac:dyDescent="0.25">
      <c r="A24" t="s">
        <v>39</v>
      </c>
      <c r="B24" t="s">
        <v>147</v>
      </c>
    </row>
    <row r="25" spans="1:2" x14ac:dyDescent="0.25">
      <c r="A25" t="s">
        <v>40</v>
      </c>
      <c r="B25" t="s">
        <v>148</v>
      </c>
    </row>
    <row r="26" spans="1:2" x14ac:dyDescent="0.25">
      <c r="A26" t="s">
        <v>41</v>
      </c>
      <c r="B26" t="s">
        <v>149</v>
      </c>
    </row>
    <row r="27" spans="1:2" x14ac:dyDescent="0.25">
      <c r="A27" t="s">
        <v>42</v>
      </c>
      <c r="B27" t="s">
        <v>150</v>
      </c>
    </row>
    <row r="28" spans="1:2" x14ac:dyDescent="0.25">
      <c r="A28" t="s">
        <v>43</v>
      </c>
      <c r="B28" t="s">
        <v>151</v>
      </c>
    </row>
    <row r="29" spans="1:2" x14ac:dyDescent="0.25">
      <c r="A29" t="s">
        <v>44</v>
      </c>
      <c r="B29" t="s">
        <v>152</v>
      </c>
    </row>
    <row r="30" spans="1:2" x14ac:dyDescent="0.25">
      <c r="A30" t="s">
        <v>48</v>
      </c>
      <c r="B30" t="s">
        <v>153</v>
      </c>
    </row>
    <row r="31" spans="1:2" x14ac:dyDescent="0.25">
      <c r="A31" t="s">
        <v>46</v>
      </c>
      <c r="B31" t="s">
        <v>154</v>
      </c>
    </row>
    <row r="32" spans="1:2" x14ac:dyDescent="0.25">
      <c r="A32" t="s">
        <v>45</v>
      </c>
      <c r="B32" t="s">
        <v>155</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mso-contentType ?>
<SharedContentType xmlns="Microsoft.SharePoint.Taxonomy.ContentTypeSync" SourceId="2b1776d1-ae3b-49f8-a97b-1474fa7fa346" ContentTypeId="0x0101" PreviousValue="false"/>
</file>

<file path=customXml/item2.xml><?xml version="1.0" encoding="utf-8"?>
<?mso-contentType ?>
<FormTemplates>
  <Display>DocumentLibraryForm</Display>
  <Edit>DocumentLibraryForm</Edit>
  <New>DocumentLibraryForm</New>
  <MobileDisplayFormUrl/>
  <MobileEditFormUrl/>
  <MobileNewFormUrl/>
</FormTemplates>
</file>

<file path=customXml/item3.xml><?xml version="1.0" encoding="utf-8"?>
<?mso-contentType ?>
<FormTemplates xmlns="http://schemas.microsoft.com/sharepoint/v3/contenttype/forms">
  <Display>NFListDisplayForm</Display>
  <Edit>NFListEditForm</Edit>
  <New>NFListEditForm</New>
</FormTemplates>
</file>

<file path=customXml/item4.xml><?xml version="1.0" encoding="utf-8"?>
<ct:contentTypeSchema xmlns:ct="http://schemas.microsoft.com/office/2006/metadata/contentType" xmlns:ma="http://schemas.microsoft.com/office/2006/metadata/properties/metaAttributes" ct:_="" ma:_="" ma:contentTypeName="Publication Document" ma:contentTypeID="0x010100F025371A0D5F1846930DBA2C9EDAF56600AFC9069F21C440458F2314C115976576" ma:contentTypeVersion="11" ma:contentTypeDescription="Create a new document." ma:contentTypeScope="" ma:versionID="6e209b6a576250e7fc5b8ecf72f2839e">
  <xsd:schema xmlns:xsd="http://www.w3.org/2001/XMLSchema" xmlns:xs="http://www.w3.org/2001/XMLSchema" xmlns:p="http://schemas.microsoft.com/office/2006/metadata/properties" xmlns:ns1="http://schemas.microsoft.com/sharepoint/v3" xmlns:ns2="ab8f74c7-0748-4175-b0a7-798791edd7a4" xmlns:ns3="46cf5d05-017c-4f03-b1f6-893edf8c1825" xmlns:ns4="2b395ac2-8163-4b1c-b2c0-fcf6a8d6604b" targetNamespace="http://schemas.microsoft.com/office/2006/metadata/properties" ma:root="true" ma:fieldsID="fbf1aeb962f0084c7fe7eb88515c8747" ns1:_="" ns2:_="" ns3:_="" ns4:_="">
    <xsd:import namespace="http://schemas.microsoft.com/sharepoint/v3"/>
    <xsd:import namespace="ab8f74c7-0748-4175-b0a7-798791edd7a4"/>
    <xsd:import namespace="46cf5d05-017c-4f03-b1f6-893edf8c1825"/>
    <xsd:import namespace="2b395ac2-8163-4b1c-b2c0-fcf6a8d6604b"/>
    <xsd:element name="properties">
      <xsd:complexType>
        <xsd:sequence>
          <xsd:element name="documentManagement">
            <xsd:complexType>
              <xsd:all>
                <xsd:element ref="ns2:TaxCatchAll" minOccurs="0"/>
                <xsd:element ref="ns2:TaxCatchAllLabel" minOccurs="0"/>
                <xsd:element ref="ns3:m4e5b9a57ee34142859f8aa69e31e7bd" minOccurs="0"/>
                <xsd:element ref="ns3:e3b8259dbd224628b8b94cebb83fde6b" minOccurs="0"/>
                <xsd:element ref="ns3:b687f5c370784be381b55f490b18f6b4" minOccurs="0"/>
                <xsd:element ref="ns4:Publication_x0020_Date" minOccurs="0"/>
                <xsd:element ref="ns1:StartDate" minOccurs="0"/>
                <xsd:element ref="ns3:SharedWithUsers" minOccurs="0"/>
                <xsd:element ref="ns2:bc77dcd2bf4f4077b5153d8986ab7c79" minOccurs="0"/>
                <xsd:element ref="ns2:m303bdcee8174b2eb036ac305aa5a282"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StartDate" ma:index="17" nillable="true" ma:displayName="Start Date" ma:default="[today]" ma:format="DateTime" ma:internalName="StartDat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ab8f74c7-0748-4175-b0a7-798791edd7a4" elementFormDefault="qualified">
    <xsd:import namespace="http://schemas.microsoft.com/office/2006/documentManagement/types"/>
    <xsd:import namespace="http://schemas.microsoft.com/office/infopath/2007/PartnerControls"/>
    <xsd:element name="TaxCatchAll" ma:index="8" nillable="true" ma:displayName="Taxonomy Catch All Column" ma:hidden="true" ma:list="{df6c9081-745a-4c96-a42a-40c5dedd0e67}" ma:internalName="TaxCatchAll" ma:showField="CatchAllData" ma:web="46cf5d05-017c-4f03-b1f6-893edf8c1825">
      <xsd:complexType>
        <xsd:complexContent>
          <xsd:extension base="dms:MultiChoiceLookup">
            <xsd:sequence>
              <xsd:element name="Value" type="dms:Lookup" maxOccurs="unbounded" minOccurs="0" nillable="true"/>
            </xsd:sequence>
          </xsd:extension>
        </xsd:complexContent>
      </xsd:complexType>
    </xsd:element>
    <xsd:element name="TaxCatchAllLabel" ma:index="9" nillable="true" ma:displayName="Taxonomy Catch All Column1" ma:hidden="true" ma:list="{df6c9081-745a-4c96-a42a-40c5dedd0e67}" ma:internalName="TaxCatchAllLabel" ma:readOnly="true" ma:showField="CatchAllDataLabel" ma:web="46cf5d05-017c-4f03-b1f6-893edf8c1825">
      <xsd:complexType>
        <xsd:complexContent>
          <xsd:extension base="dms:MultiChoiceLookup">
            <xsd:sequence>
              <xsd:element name="Value" type="dms:Lookup" maxOccurs="unbounded" minOccurs="0" nillable="true"/>
            </xsd:sequence>
          </xsd:extension>
        </xsd:complexContent>
      </xsd:complexType>
    </xsd:element>
    <xsd:element name="bc77dcd2bf4f4077b5153d8986ab7c79" ma:index="20" nillable="true" ma:taxonomy="true" ma:internalName="bc77dcd2bf4f4077b5153d8986ab7c79" ma:taxonomyFieldName="ERISDocumentType" ma:displayName="Document Type" ma:default="" ma:fieldId="{bc77dcd2-bf4f-4077-b515-3d8986ab7c79}" ma:sspId="2b1776d1-ae3b-49f8-a97b-1474fa7fa346" ma:termSetId="8291263e-1670-46c0-b090-f3efb02d9c12" ma:anchorId="00000000-0000-0000-0000-000000000000" ma:open="false" ma:isKeyword="false">
      <xsd:complexType>
        <xsd:sequence>
          <xsd:element ref="pc:Terms" minOccurs="0" maxOccurs="1"/>
        </xsd:sequence>
      </xsd:complexType>
    </xsd:element>
    <xsd:element name="m303bdcee8174b2eb036ac305aa5a282" ma:index="22" nillable="true" ma:taxonomy="true" ma:internalName="m303bdcee8174b2eb036ac305aa5a282" ma:taxonomyFieldName="ERISKeywords" ma:displayName="Tags and Keywords" ma:default="" ma:fieldId="{6303bdce-e817-4b2e-b036-ac305aa5a282}" ma:taxonomyMulti="true" ma:sspId="2b1776d1-ae3b-49f8-a97b-1474fa7fa346" ma:termSetId="041e8d27-50b6-44df-be8e-d4aba88ea6ef"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46cf5d05-017c-4f03-b1f6-893edf8c1825" elementFormDefault="qualified">
    <xsd:import namespace="http://schemas.microsoft.com/office/2006/documentManagement/types"/>
    <xsd:import namespace="http://schemas.microsoft.com/office/infopath/2007/PartnerControls"/>
    <xsd:element name="m4e5b9a57ee34142859f8aa69e31e7bd" ma:index="10" nillable="true" ma:displayName="Document Type_0" ma:hidden="true" ma:internalName="m4e5b9a57ee34142859f8aa69e31e7bd">
      <xsd:simpleType>
        <xsd:restriction base="dms:Note"/>
      </xsd:simpleType>
    </xsd:element>
    <xsd:element name="e3b8259dbd224628b8b94cebb83fde6b" ma:index="12" nillable="true" ma:displayName="Document Topic_0" ma:hidden="true" ma:internalName="e3b8259dbd224628b8b94cebb83fde6b">
      <xsd:simpleType>
        <xsd:restriction base="dms:Note"/>
      </xsd:simpleType>
    </xsd:element>
    <xsd:element name="b687f5c370784be381b55f490b18f6b4" ma:index="14" nillable="true" ma:displayName="Involved Party_0" ma:hidden="true" ma:internalName="b687f5c370784be381b55f490b18f6b4">
      <xsd:simpleType>
        <xsd:restriction base="dms:Note"/>
      </xsd:simpleType>
    </xsd:element>
    <xsd:element name="SharedWithUsers" ma:index="1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2b395ac2-8163-4b1c-b2c0-fcf6a8d6604b" elementFormDefault="qualified">
    <xsd:import namespace="http://schemas.microsoft.com/office/2006/documentManagement/types"/>
    <xsd:import namespace="http://schemas.microsoft.com/office/infopath/2007/PartnerControls"/>
    <xsd:element name="Publication_x0020_Date" ma:index="16" nillable="true" ma:displayName="Publication Date" ma:format="DateOnly" ma:internalName="Publication_x0020_Date">
      <xsd:simpleType>
        <xsd:restriction base="dms:DateTim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5.xml><?xml version="1.0" encoding="utf-8"?>
<p:properties xmlns:p="http://schemas.microsoft.com/office/2006/metadata/properties" xmlns:xsi="http://www.w3.org/2001/XMLSchema-instance" xmlns:pc="http://schemas.microsoft.com/office/infopath/2007/PartnerControls">
  <documentManagement>
    <TaxCatchAll xmlns="ab8f74c7-0748-4175-b0a7-798791edd7a4">
      <Value>48</Value>
      <Value>13</Value>
      <Value>59</Value>
      <Value>3</Value>
      <Value>2</Value>
      <Value>1</Value>
    </TaxCatchAll>
    <m303bdcee8174b2eb036ac305aa5a282 xmlns="ab8f74c7-0748-4175-b0a7-798791edd7a4">
      <Terms xmlns="http://schemas.microsoft.com/office/infopath/2007/PartnerControls"/>
    </m303bdcee8174b2eb036ac305aa5a282>
    <Publication_x0020_Date xmlns="2b395ac2-8163-4b1c-b2c0-fcf6a8d6604b" xsi:nil="true"/>
    <b687f5c370784be381b55f490b18f6b4 xmlns="46cf5d05-017c-4f03-b1f6-893edf8c1825" xsi:nil="true"/>
    <StartDate xmlns="http://schemas.microsoft.com/sharepoint/v3">2025-08-18T14:05:06+00:00</StartDate>
    <e3b8259dbd224628b8b94cebb83fde6b xmlns="46cf5d05-017c-4f03-b1f6-893edf8c1825" xsi:nil="true"/>
    <bc77dcd2bf4f4077b5153d8986ab7c79 xmlns="ab8f74c7-0748-4175-b0a7-798791edd7a4">
      <Terms xmlns="http://schemas.microsoft.com/office/infopath/2007/PartnerControls"/>
    </bc77dcd2bf4f4077b5153d8986ab7c79>
    <m4e5b9a57ee34142859f8aa69e31e7bd xmlns="46cf5d05-017c-4f03-b1f6-893edf8c1825" xsi:nil="true"/>
  </documentManagement>
</p:properties>
</file>

<file path=customXml/itemProps1.xml><?xml version="1.0" encoding="utf-8"?>
<ds:datastoreItem xmlns:ds="http://schemas.openxmlformats.org/officeDocument/2006/customXml" ds:itemID="{127FFC07-7036-4BB0-84E1-9A89B2622FF2}"/>
</file>

<file path=customXml/itemProps2.xml><?xml version="1.0" encoding="utf-8"?>
<ds:datastoreItem xmlns:ds="http://schemas.openxmlformats.org/officeDocument/2006/customXml" ds:itemID="{F62EBC86-208E-4E6A-B0FB-19202B65D003}"/>
</file>

<file path=customXml/itemProps3.xml><?xml version="1.0" encoding="utf-8"?>
<ds:datastoreItem xmlns:ds="http://schemas.openxmlformats.org/officeDocument/2006/customXml" ds:itemID="{A34D9CBE-F909-4496-AA01-91EDD96D9AFF}"/>
</file>

<file path=customXml/itemProps4.xml><?xml version="1.0" encoding="utf-8"?>
<ds:datastoreItem xmlns:ds="http://schemas.openxmlformats.org/officeDocument/2006/customXml" ds:itemID="{A4B51432-F5B2-4BB8-A957-B09F631A7FB0}"/>
</file>

<file path=customXml/itemProps5.xml><?xml version="1.0" encoding="utf-8"?>
<ds:datastoreItem xmlns:ds="http://schemas.openxmlformats.org/officeDocument/2006/customXml" ds:itemID="{6D3515AD-67EF-4B93-8D9B-900FBEE05624}"/>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A. Charts</vt:lpstr>
      <vt:lpstr>B. Tables</vt:lpstr>
      <vt:lpstr>Z1. Input tables (Assets)</vt:lpstr>
      <vt:lpstr>Z2. Input table (Liab.)</vt:lpstr>
      <vt:lpstr>Z3. Input table (GWP)</vt:lpstr>
      <vt:lpstr>Z3b. Input table (GWP Life)</vt:lpstr>
      <vt:lpstr>Z4. Input table (SCR and MCR)</vt:lpstr>
      <vt:lpstr>Z5. Country ISO codes</vt:lpstr>
      <vt:lpstr>'Z3b. Input table (GWP Life)'!SA_Life_premiums_CSV_file_for_acc_note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2025-08-12T14:12:31Z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lqminfo">
    <vt:i4>1</vt:i4>
  </property>
  <property fmtid="{D5CDD505-2E9C-101B-9397-08002B2CF9AE}" pid="3" name="lqmsess">
    <vt:lpwstr>e7b40868-6199-40f9-870a-cd91388239c9</vt:lpwstr>
  </property>
  <property fmtid="{D5CDD505-2E9C-101B-9397-08002B2CF9AE}" pid="4" name="MDU">
    <vt:lpwstr/>
  </property>
  <property fmtid="{D5CDD505-2E9C-101B-9397-08002B2CF9AE}" pid="5" name="ContentTypeId">
    <vt:lpwstr>0x010100F025371A0D5F1846930DBA2C9EDAF56600AFC9069F21C440458F2314C115976576</vt:lpwstr>
  </property>
  <property fmtid="{D5CDD505-2E9C-101B-9397-08002B2CF9AE}" pid="6" name="ERIS_Keywords">
    <vt:lpwstr>3;#Financial Stability|049b862d-b39b-44a2-9998-86d5f061724c;#13;#Statistics|ba571e84-2701-4ba2-b5c7-aa5f8ee0017a;#48;#Publications|a6ee47a0-4a06-4952-b9ee-4e86bc46da67</vt:lpwstr>
  </property>
  <property fmtid="{D5CDD505-2E9C-101B-9397-08002B2CF9AE}" pid="7" name="ERIS_Department">
    <vt:lpwstr>1;#Risks ＆ Financial Stability Department|364f0868-cf23-4007-af85-0c17c2d1b8b6</vt:lpwstr>
  </property>
  <property fmtid="{D5CDD505-2E9C-101B-9397-08002B2CF9AE}" pid="8" name="ERIS_DocumentType">
    <vt:lpwstr>59;#Dataset|6307a20c-6c27-4cd8-a9d7-75ecfca5c519</vt:lpwstr>
  </property>
  <property fmtid="{D5CDD505-2E9C-101B-9397-08002B2CF9AE}" pid="9" name="ERIS_Language">
    <vt:lpwstr>2;#English|2741a941-2920-4ba4-aa70-d8ed6ac1785d</vt:lpwstr>
  </property>
  <property fmtid="{D5CDD505-2E9C-101B-9397-08002B2CF9AE}" pid="10" name="RecordPoint_WorkflowType">
    <vt:lpwstr>ActiveSubmitStub</vt:lpwstr>
  </property>
  <property fmtid="{D5CDD505-2E9C-101B-9397-08002B2CF9AE}" pid="11" name="RecordPoint_ActiveItemWebId">
    <vt:lpwstr>{2b4eb5f0-16ec-4584-a238-532f1a5198d2}</vt:lpwstr>
  </property>
  <property fmtid="{D5CDD505-2E9C-101B-9397-08002B2CF9AE}" pid="12" name="RecordPoint_ActiveItemSiteId">
    <vt:lpwstr>{61999160-d9b8-4a87-bd5b-b288d02af9da}</vt:lpwstr>
  </property>
  <property fmtid="{D5CDD505-2E9C-101B-9397-08002B2CF9AE}" pid="13" name="RecordPoint_ActiveItemListId">
    <vt:lpwstr>{c0a8e0a3-e82c-4b81-aea5-cc0f8052eb5b}</vt:lpwstr>
  </property>
  <property fmtid="{D5CDD505-2E9C-101B-9397-08002B2CF9AE}" pid="14" name="RecordPoint_ActiveItemUniqueId">
    <vt:lpwstr>{8827af34-d265-4557-be5b-7893aa6a43ed}</vt:lpwstr>
  </property>
  <property fmtid="{D5CDD505-2E9C-101B-9397-08002B2CF9AE}" pid="15" name="RecordPoint_RecordNumberSubmitted">
    <vt:lpwstr>EIOPA(2025)0150500</vt:lpwstr>
  </property>
  <property fmtid="{D5CDD505-2E9C-101B-9397-08002B2CF9AE}" pid="16" name="RecordPoint_SubmissionCompleted">
    <vt:lpwstr>2025-08-12T16:37:04.0736388+02:00</vt:lpwstr>
  </property>
  <property fmtid="{D5CDD505-2E9C-101B-9397-08002B2CF9AE}" pid="17" name="RecordPoint_SubmissionDate">
    <vt:lpwstr/>
  </property>
  <property fmtid="{D5CDD505-2E9C-101B-9397-08002B2CF9AE}" pid="18" name="RecordPoint_RecordFormat">
    <vt:lpwstr/>
  </property>
  <property fmtid="{D5CDD505-2E9C-101B-9397-08002B2CF9AE}" pid="19" name="RecordPoint_ActiveItemMoved">
    <vt:lpwstr/>
  </property>
</Properties>
</file>